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threadedComments/threadedComment1.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9.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drawings/drawing10.xml" ContentType="application/vnd.openxmlformats-officedocument.drawing+xml"/>
  <Override PartName="/xl/comments6.xml" ContentType="application/vnd.openxmlformats-officedocument.spreadsheetml.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drawings/drawing11.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drawings/drawing12.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drawings/drawing13.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drawings/drawing14.xml" ContentType="application/vnd.openxmlformats-officedocument.drawingml.chartshapes+xml"/>
  <Override PartName="/xl/drawings/drawing1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0.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1.xml" ContentType="application/vnd.openxmlformats-officedocument.themeOverride+xml"/>
  <Override PartName="/xl/drawings/drawing16.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2.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3.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4.xml" ContentType="application/vnd.openxmlformats-officedocument.themeOverride+xml"/>
  <Override PartName="/xl/drawings/drawing17.xml" ContentType="application/vnd.openxmlformats-officedocument.drawing+xml"/>
  <Override PartName="/xl/comments7.xml" ContentType="application/vnd.openxmlformats-officedocument.spreadsheetml.comment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5.xml" ContentType="application/vnd.openxmlformats-officedocument.themeOverride+xml"/>
  <Override PartName="/xl/drawings/drawing18.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6.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7.xml" ContentType="application/vnd.openxmlformats-officedocument.themeOverride+xml"/>
  <Override PartName="/xl/drawings/drawing19.xml" ContentType="application/vnd.openxmlformats-officedocument.drawing+xml"/>
  <Override PartName="/xl/drawings/drawing20.xml" ContentType="application/vnd.openxmlformats-officedocument.drawing+xml"/>
  <Override PartName="/xl/comments8.xml" ContentType="application/vnd.openxmlformats-officedocument.spreadsheetml.comments+xml"/>
  <Override PartName="/xl/threadedComments/threadedComment2.xml" ContentType="application/vnd.ms-excel.threadedcomment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8.xml" ContentType="application/vnd.openxmlformats-officedocument.themeOverride+xml"/>
  <Override PartName="/xl/drawings/drawing21.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9.xml" ContentType="application/vnd.openxmlformats-officedocument.themeOverride+xml"/>
  <Override PartName="/xl/drawings/drawing22.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20.xml" ContentType="application/vnd.openxmlformats-officedocument.themeOverride+xml"/>
  <Override PartName="/xl/drawings/drawing23.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21.xml" ContentType="application/vnd.openxmlformats-officedocument.themeOverride+xml"/>
  <Override PartName="/xl/drawings/drawing24.xml" ContentType="application/vnd.openxmlformats-officedocument.drawingml.chartshape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22.xml" ContentType="application/vnd.openxmlformats-officedocument.themeOverrid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23.xml" ContentType="application/vnd.openxmlformats-officedocument.themeOverrid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24.xml" ContentType="application/vnd.openxmlformats-officedocument.themeOverrid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25.xml" ContentType="application/vnd.openxmlformats-officedocument.themeOverride+xml"/>
  <Override PartName="/xl/drawings/drawing25.xml" ContentType="application/vnd.openxmlformats-officedocument.drawingml.chartshapes+xml"/>
  <Override PartName="/xl/drawings/drawing26.xml" ContentType="application/vnd.openxmlformats-officedocument.drawing+xml"/>
  <Override PartName="/xl/comments9.xml" ContentType="application/vnd.openxmlformats-officedocument.spreadsheetml.comments+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26.xml" ContentType="application/vnd.openxmlformats-officedocument.themeOverride+xml"/>
  <Override PartName="/xl/drawings/drawing27.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7.xml" ContentType="application/vnd.openxmlformats-officedocument.themeOverride+xml"/>
  <Override PartName="/xl/drawings/drawing28.xml" ContentType="application/vnd.openxmlformats-officedocument.drawingml.chartshape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28.xml" ContentType="application/vnd.openxmlformats-officedocument.themeOverride+xml"/>
  <Override PartName="/xl/drawings/drawing29.xml" ContentType="application/vnd.openxmlformats-officedocument.drawingml.chartshapes+xml"/>
  <Override PartName="/xl/drawings/drawing30.xml" ContentType="application/vnd.openxmlformats-officedocument.drawing+xml"/>
  <Override PartName="/xl/drawings/drawing31.xml" ContentType="application/vnd.openxmlformats-officedocument.drawing+xml"/>
  <Override PartName="/xl/comments10.xml" ContentType="application/vnd.openxmlformats-officedocument.spreadsheetml.comments+xml"/>
  <Override PartName="/xl/drawings/drawing32.xml" ContentType="application/vnd.openxmlformats-officedocument.drawing+xml"/>
  <Override PartName="/xl/comments11.xml" ContentType="application/vnd.openxmlformats-officedocument.spreadsheetml.comment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29.xml" ContentType="application/vnd.openxmlformats-officedocument.themeOverride+xml"/>
  <Override PartName="/xl/drawings/drawing33.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30.xml" ContentType="application/vnd.openxmlformats-officedocument.themeOverrid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31.xml" ContentType="application/vnd.openxmlformats-officedocument.themeOverride+xml"/>
  <Override PartName="/xl/drawings/drawing34.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32.xml" ContentType="application/vnd.openxmlformats-officedocument.themeOverride+xml"/>
  <Override PartName="/xl/drawings/drawing35.xml" ContentType="application/vnd.openxmlformats-officedocument.drawingml.chartshapes+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33.xml" ContentType="application/vnd.openxmlformats-officedocument.themeOverride+xml"/>
  <Override PartName="/xl/drawings/drawing36.xml" ContentType="application/vnd.openxmlformats-officedocument.drawingml.chartshape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37.xml" ContentType="application/vnd.openxmlformats-officedocument.drawing+xml"/>
  <Override PartName="/xl/comments12.xml" ContentType="application/vnd.openxmlformats-officedocument.spreadsheetml.comments+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34.xml" ContentType="application/vnd.openxmlformats-officedocument.themeOverride+xml"/>
  <Override PartName="/xl/drawings/drawing38.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35.xml" ContentType="application/vnd.openxmlformats-officedocument.themeOverride+xml"/>
  <Override PartName="/xl/drawings/drawing39.xml" ContentType="application/vnd.openxmlformats-officedocument.drawingml.chartshapes+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36.xml" ContentType="application/vnd.openxmlformats-officedocument.themeOverride+xml"/>
  <Override PartName="/xl/drawings/drawing40.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37.xml" ContentType="application/vnd.openxmlformats-officedocument.themeOverride+xml"/>
  <Override PartName="/xl/drawings/drawing41.xml" ContentType="application/vnd.openxmlformats-officedocument.drawingml.chartshapes+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38.xml" ContentType="application/vnd.openxmlformats-officedocument.themeOverride+xml"/>
  <Override PartName="/xl/drawings/drawing42.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39.xml" ContentType="application/vnd.openxmlformats-officedocument.themeOverride+xml"/>
  <Override PartName="/xl/drawings/drawing43.xml" ContentType="application/vnd.openxmlformats-officedocument.drawingml.chartshapes+xml"/>
  <Override PartName="/xl/charts/chart43.xml" ContentType="application/vnd.openxmlformats-officedocument.drawingml.chart+xml"/>
  <Override PartName="/xl/drawings/drawing44.xml" ContentType="application/vnd.openxmlformats-officedocument.drawing+xml"/>
  <Override PartName="/xl/comments13.xml" ContentType="application/vnd.openxmlformats-officedocument.spreadsheetml.comments+xml"/>
  <Override PartName="/xl/charts/chart44.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40.xml" ContentType="application/vnd.openxmlformats-officedocument.themeOverride+xml"/>
  <Override PartName="/xl/drawings/drawing45.xml" ContentType="application/vnd.openxmlformats-officedocument.drawingml.chartshapes+xml"/>
  <Override PartName="/xl/drawings/drawing46.xml" ContentType="application/vnd.openxmlformats-officedocument.drawing+xml"/>
  <Override PartName="/xl/comments14.xml" ContentType="application/vnd.openxmlformats-officedocument.spreadsheetml.comments+xml"/>
  <Override PartName="/xl/charts/chart45.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41.xml" ContentType="application/vnd.openxmlformats-officedocument.themeOverride+xml"/>
  <Override PartName="/xl/drawings/drawing47.xml" ContentType="application/vnd.openxmlformats-officedocument.drawingml.chartshapes+xml"/>
  <Override PartName="/xl/charts/chart46.xml" ContentType="application/vnd.openxmlformats-officedocument.drawingml.chart+xml"/>
  <Override PartName="/xl/charts/style45.xml" ContentType="application/vnd.ms-office.chartstyle+xml"/>
  <Override PartName="/xl/charts/colors45.xml" ContentType="application/vnd.ms-office.chartcolorstyle+xml"/>
  <Override PartName="/xl/theme/themeOverride42.xml" ContentType="application/vnd.openxmlformats-officedocument.themeOverride+xml"/>
  <Override PartName="/xl/drawings/drawing48.xml" ContentType="application/vnd.openxmlformats-officedocument.drawingml.chartshapes+xml"/>
  <Override PartName="/xl/charts/chart47.xml" ContentType="application/vnd.openxmlformats-officedocument.drawingml.chart+xml"/>
  <Override PartName="/xl/charts/style46.xml" ContentType="application/vnd.ms-office.chartstyle+xml"/>
  <Override PartName="/xl/charts/colors46.xml" ContentType="application/vnd.ms-office.chartcolorstyle+xml"/>
  <Override PartName="/xl/theme/themeOverride43.xml" ContentType="application/vnd.openxmlformats-officedocument.themeOverride+xml"/>
  <Override PartName="/xl/drawings/drawing49.xml" ContentType="application/vnd.openxmlformats-officedocument.drawingml.chartshapes+xml"/>
  <Override PartName="/xl/charts/chart48.xml" ContentType="application/vnd.openxmlformats-officedocument.drawingml.chart+xml"/>
  <Override PartName="/xl/charts/style47.xml" ContentType="application/vnd.ms-office.chartstyle+xml"/>
  <Override PartName="/xl/charts/colors47.xml" ContentType="application/vnd.ms-office.chartcolorstyle+xml"/>
  <Override PartName="/xl/theme/themeOverride44.xml" ContentType="application/vnd.openxmlformats-officedocument.themeOverride+xml"/>
  <Override PartName="/xl/drawings/drawing50.xml" ContentType="application/vnd.openxmlformats-officedocument.drawingml.chartshapes+xml"/>
  <Override PartName="/xl/drawings/drawing51.xml" ContentType="application/vnd.openxmlformats-officedocument.drawing+xml"/>
  <Override PartName="/xl/comments15.xml" ContentType="application/vnd.openxmlformats-officedocument.spreadsheetml.comments+xml"/>
  <Override PartName="/xl/charts/chart49.xml" ContentType="application/vnd.openxmlformats-officedocument.drawingml.chart+xml"/>
  <Override PartName="/xl/charts/style48.xml" ContentType="application/vnd.ms-office.chartstyle+xml"/>
  <Override PartName="/xl/charts/colors48.xml" ContentType="application/vnd.ms-office.chartcolorstyle+xml"/>
  <Override PartName="/xl/theme/themeOverride45.xml" ContentType="application/vnd.openxmlformats-officedocument.themeOverride+xml"/>
  <Override PartName="/xl/drawings/drawing52.xml" ContentType="application/vnd.openxmlformats-officedocument.drawingml.chartshapes+xml"/>
  <Override PartName="/xl/charts/chart50.xml" ContentType="application/vnd.openxmlformats-officedocument.drawingml.chart+xml"/>
  <Override PartName="/xl/charts/style49.xml" ContentType="application/vnd.ms-office.chartstyle+xml"/>
  <Override PartName="/xl/charts/colors49.xml" ContentType="application/vnd.ms-office.chartcolorstyle+xml"/>
  <Override PartName="/xl/theme/themeOverride46.xml" ContentType="application/vnd.openxmlformats-officedocument.themeOverride+xml"/>
  <Override PartName="/xl/drawings/drawing53.xml" ContentType="application/vnd.openxmlformats-officedocument.drawingml.chartshapes+xml"/>
  <Override PartName="/xl/charts/chart51.xml" ContentType="application/vnd.openxmlformats-officedocument.drawingml.chart+xml"/>
  <Override PartName="/xl/charts/style50.xml" ContentType="application/vnd.ms-office.chartstyle+xml"/>
  <Override PartName="/xl/charts/colors50.xml" ContentType="application/vnd.ms-office.chartcolorstyle+xml"/>
  <Override PartName="/xl/theme/themeOverride47.xml" ContentType="application/vnd.openxmlformats-officedocument.themeOverride+xml"/>
  <Override PartName="/xl/drawings/drawing54.xml" ContentType="application/vnd.openxmlformats-officedocument.drawingml.chartshapes+xml"/>
  <Override PartName="/xl/charts/chart52.xml" ContentType="application/vnd.openxmlformats-officedocument.drawingml.chart+xml"/>
  <Override PartName="/xl/charts/style51.xml" ContentType="application/vnd.ms-office.chartstyle+xml"/>
  <Override PartName="/xl/charts/colors51.xml" ContentType="application/vnd.ms-office.chartcolorstyle+xml"/>
  <Override PartName="/xl/theme/themeOverride48.xml" ContentType="application/vnd.openxmlformats-officedocument.themeOverride+xml"/>
  <Override PartName="/xl/drawings/drawing55.xml" ContentType="application/vnd.openxmlformats-officedocument.drawingml.chartshapes+xml"/>
  <Override PartName="/xl/charts/chart53.xml" ContentType="application/vnd.openxmlformats-officedocument.drawingml.chart+xml"/>
  <Override PartName="/xl/charts/style52.xml" ContentType="application/vnd.ms-office.chartstyle+xml"/>
  <Override PartName="/xl/charts/colors52.xml" ContentType="application/vnd.ms-office.chartcolorstyle+xml"/>
  <Override PartName="/xl/theme/themeOverride49.xml" ContentType="application/vnd.openxmlformats-officedocument.themeOverride+xml"/>
  <Override PartName="/xl/drawings/drawing56.xml" ContentType="application/vnd.openxmlformats-officedocument.drawingml.chartshapes+xml"/>
  <Override PartName="/xl/charts/chart54.xml" ContentType="application/vnd.openxmlformats-officedocument.drawingml.chart+xml"/>
  <Override PartName="/xl/charts/style53.xml" ContentType="application/vnd.ms-office.chartstyle+xml"/>
  <Override PartName="/xl/charts/colors53.xml" ContentType="application/vnd.ms-office.chartcolorstyle+xml"/>
  <Override PartName="/xl/theme/themeOverride50.xml" ContentType="application/vnd.openxmlformats-officedocument.themeOverride+xml"/>
  <Override PartName="/xl/drawings/drawing57.xml" ContentType="application/vnd.openxmlformats-officedocument.drawingml.chartshapes+xml"/>
  <Override PartName="/xl/drawings/drawing58.xml" ContentType="application/vnd.openxmlformats-officedocument.drawing+xml"/>
  <Override PartName="/xl/comments16.xml" ContentType="application/vnd.openxmlformats-officedocument.spreadsheetml.comments+xml"/>
  <Override PartName="/xl/charts/chart55.xml" ContentType="application/vnd.openxmlformats-officedocument.drawingml.chart+xml"/>
  <Override PartName="/xl/charts/style54.xml" ContentType="application/vnd.ms-office.chartstyle+xml"/>
  <Override PartName="/xl/charts/colors54.xml" ContentType="application/vnd.ms-office.chartcolorstyle+xml"/>
  <Override PartName="/xl/theme/themeOverride51.xml" ContentType="application/vnd.openxmlformats-officedocument.themeOverride+xml"/>
  <Override PartName="/xl/drawings/drawing59.xml" ContentType="application/vnd.openxmlformats-officedocument.drawingml.chartshapes+xml"/>
  <Override PartName="/xl/charts/chart56.xml" ContentType="application/vnd.openxmlformats-officedocument.drawingml.chart+xml"/>
  <Override PartName="/xl/charts/style55.xml" ContentType="application/vnd.ms-office.chartstyle+xml"/>
  <Override PartName="/xl/charts/colors55.xml" ContentType="application/vnd.ms-office.chartcolorstyle+xml"/>
  <Override PartName="/xl/theme/themeOverride52.xml" ContentType="application/vnd.openxmlformats-officedocument.themeOverride+xml"/>
  <Override PartName="/xl/drawings/drawing60.xml" ContentType="application/vnd.openxmlformats-officedocument.drawingml.chartshapes+xml"/>
  <Override PartName="/xl/drawings/drawing61.xml" ContentType="application/vnd.openxmlformats-officedocument.drawing+xml"/>
  <Override PartName="/xl/charts/chart57.xml" ContentType="application/vnd.openxmlformats-officedocument.drawingml.chart+xml"/>
  <Override PartName="/xl/charts/style56.xml" ContentType="application/vnd.ms-office.chartstyle+xml"/>
  <Override PartName="/xl/charts/colors56.xml" ContentType="application/vnd.ms-office.chartcolorstyle+xml"/>
  <Override PartName="/xl/theme/themeOverride53.xml" ContentType="application/vnd.openxmlformats-officedocument.themeOverride+xml"/>
  <Override PartName="/xl/drawings/drawing62.xml" ContentType="application/vnd.openxmlformats-officedocument.drawingml.chartshapes+xml"/>
  <Override PartName="/xl/charts/chart58.xml" ContentType="application/vnd.openxmlformats-officedocument.drawingml.chart+xml"/>
  <Override PartName="/xl/charts/style57.xml" ContentType="application/vnd.ms-office.chartstyle+xml"/>
  <Override PartName="/xl/charts/colors57.xml" ContentType="application/vnd.ms-office.chartcolorstyle+xml"/>
  <Override PartName="/xl/theme/themeOverride54.xml" ContentType="application/vnd.openxmlformats-officedocument.themeOverride+xml"/>
  <Override PartName="/xl/drawings/drawing63.xml" ContentType="application/vnd.openxmlformats-officedocument.drawingml.chartshapes+xml"/>
  <Override PartName="/xl/charts/chart59.xml" ContentType="application/vnd.openxmlformats-officedocument.drawingml.chart+xml"/>
  <Override PartName="/xl/charts/style58.xml" ContentType="application/vnd.ms-office.chartstyle+xml"/>
  <Override PartName="/xl/charts/colors58.xml" ContentType="application/vnd.ms-office.chartcolorstyle+xml"/>
  <Override PartName="/xl/theme/themeOverride55.xml" ContentType="application/vnd.openxmlformats-officedocument.themeOverride+xml"/>
  <Override PartName="/xl/drawings/drawing64.xml" ContentType="application/vnd.openxmlformats-officedocument.drawingml.chartshapes+xml"/>
  <Override PartName="/xl/charts/chart60.xml" ContentType="application/vnd.openxmlformats-officedocument.drawingml.chart+xml"/>
  <Override PartName="/xl/charts/style59.xml" ContentType="application/vnd.ms-office.chartstyle+xml"/>
  <Override PartName="/xl/charts/colors59.xml" ContentType="application/vnd.ms-office.chartcolorstyle+xml"/>
  <Override PartName="/xl/theme/themeOverride56.xml" ContentType="application/vnd.openxmlformats-officedocument.themeOverride+xml"/>
  <Override PartName="/xl/drawings/drawing65.xml" ContentType="application/vnd.openxmlformats-officedocument.drawingml.chartshapes+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comments17.xml" ContentType="application/vnd.openxmlformats-officedocument.spreadsheetml.comments+xml"/>
  <Override PartName="/xl/charts/chart61.xml" ContentType="application/vnd.openxmlformats-officedocument.drawingml.chart+xml"/>
  <Override PartName="/xl/charts/style60.xml" ContentType="application/vnd.ms-office.chartstyle+xml"/>
  <Override PartName="/xl/charts/colors60.xml" ContentType="application/vnd.ms-office.chartcolorstyle+xml"/>
  <Override PartName="/xl/theme/themeOverride57.xml" ContentType="application/vnd.openxmlformats-officedocument.themeOverride+xml"/>
  <Override PartName="/xl/charts/chart62.xml" ContentType="application/vnd.openxmlformats-officedocument.drawingml.chart+xml"/>
  <Override PartName="/xl/charts/style61.xml" ContentType="application/vnd.ms-office.chartstyle+xml"/>
  <Override PartName="/xl/charts/colors61.xml" ContentType="application/vnd.ms-office.chartcolorstyle+xml"/>
  <Override PartName="/xl/theme/themeOverride58.xml" ContentType="application/vnd.openxmlformats-officedocument.themeOverride+xml"/>
  <Override PartName="/xl/charts/chart63.xml" ContentType="application/vnd.openxmlformats-officedocument.drawingml.chart+xml"/>
  <Override PartName="/xl/charts/style62.xml" ContentType="application/vnd.ms-office.chartstyle+xml"/>
  <Override PartName="/xl/charts/colors62.xml" ContentType="application/vnd.ms-office.chartcolorstyle+xml"/>
  <Override PartName="/xl/theme/themeOverride59.xml" ContentType="application/vnd.openxmlformats-officedocument.themeOverride+xml"/>
  <Override PartName="/xl/charts/chart64.xml" ContentType="application/vnd.openxmlformats-officedocument.drawingml.chart+xml"/>
  <Override PartName="/xl/charts/style63.xml" ContentType="application/vnd.ms-office.chartstyle+xml"/>
  <Override PartName="/xl/charts/colors63.xml" ContentType="application/vnd.ms-office.chartcolorstyle+xml"/>
  <Override PartName="/xl/theme/themeOverride60.xml" ContentType="application/vnd.openxmlformats-officedocument.themeOverride+xml"/>
  <Override PartName="/xl/charts/chart65.xml" ContentType="application/vnd.openxmlformats-officedocument.drawingml.chart+xml"/>
  <Override PartName="/xl/charts/style64.xml" ContentType="application/vnd.ms-office.chartstyle+xml"/>
  <Override PartName="/xl/charts/colors64.xml" ContentType="application/vnd.ms-office.chartcolorstyle+xml"/>
  <Override PartName="/xl/theme/themeOverride61.xml" ContentType="application/vnd.openxmlformats-officedocument.themeOverride+xml"/>
  <Override PartName="/xl/charts/chart66.xml" ContentType="application/vnd.openxmlformats-officedocument.drawingml.chart+xml"/>
  <Override PartName="/xl/charts/style65.xml" ContentType="application/vnd.ms-office.chartstyle+xml"/>
  <Override PartName="/xl/charts/colors65.xml" ContentType="application/vnd.ms-office.chartcolorstyle+xml"/>
  <Override PartName="/xl/theme/themeOverride62.xml" ContentType="application/vnd.openxmlformats-officedocument.themeOverride+xml"/>
  <Override PartName="/xl/drawings/drawing69.xml" ContentType="application/vnd.openxmlformats-officedocument.drawing+xml"/>
  <Override PartName="/xl/comments18.xml" ContentType="application/vnd.openxmlformats-officedocument.spreadsheetml.comments+xml"/>
  <Override PartName="/xl/charts/chart67.xml" ContentType="application/vnd.openxmlformats-officedocument.drawingml.chart+xml"/>
  <Override PartName="/xl/charts/style66.xml" ContentType="application/vnd.ms-office.chartstyle+xml"/>
  <Override PartName="/xl/charts/colors66.xml" ContentType="application/vnd.ms-office.chartcolorstyle+xml"/>
  <Override PartName="/xl/theme/themeOverride63.xml" ContentType="application/vnd.openxmlformats-officedocument.themeOverride+xml"/>
  <Override PartName="/xl/drawings/drawing70.xml" ContentType="application/vnd.openxmlformats-officedocument.drawingml.chartshapes+xml"/>
  <Override PartName="/xl/charts/chart68.xml" ContentType="application/vnd.openxmlformats-officedocument.drawingml.chart+xml"/>
  <Override PartName="/xl/charts/style67.xml" ContentType="application/vnd.ms-office.chartstyle+xml"/>
  <Override PartName="/xl/charts/colors67.xml" ContentType="application/vnd.ms-office.chartcolorstyle+xml"/>
  <Override PartName="/xl/theme/themeOverride64.xml" ContentType="application/vnd.openxmlformats-officedocument.themeOverride+xml"/>
  <Override PartName="/xl/drawings/drawing71.xml" ContentType="application/vnd.openxmlformats-officedocument.drawingml.chartshapes+xml"/>
  <Override PartName="/xl/charts/chart69.xml" ContentType="application/vnd.openxmlformats-officedocument.drawingml.chart+xml"/>
  <Override PartName="/xl/charts/style68.xml" ContentType="application/vnd.ms-office.chartstyle+xml"/>
  <Override PartName="/xl/charts/colors68.xml" ContentType="application/vnd.ms-office.chartcolorstyle+xml"/>
  <Override PartName="/xl/theme/themeOverride65.xml" ContentType="application/vnd.openxmlformats-officedocument.themeOverride+xml"/>
  <Override PartName="/xl/drawings/drawing72.xml" ContentType="application/vnd.openxmlformats-officedocument.drawingml.chartshapes+xml"/>
  <Override PartName="/xl/drawings/drawing73.xml" ContentType="application/vnd.openxmlformats-officedocument.drawing+xml"/>
  <Override PartName="/xl/comments19.xml" ContentType="application/vnd.openxmlformats-officedocument.spreadsheetml.comments+xml"/>
  <Override PartName="/xl/charts/chart70.xml" ContentType="application/vnd.openxmlformats-officedocument.drawingml.chart+xml"/>
  <Override PartName="/xl/charts/style69.xml" ContentType="application/vnd.ms-office.chartstyle+xml"/>
  <Override PartName="/xl/charts/colors69.xml" ContentType="application/vnd.ms-office.chartcolorstyle+xml"/>
  <Override PartName="/xl/theme/themeOverride66.xml" ContentType="application/vnd.openxmlformats-officedocument.themeOverride+xml"/>
  <Override PartName="/xl/drawings/drawing74.xml" ContentType="application/vnd.openxmlformats-officedocument.drawingml.chartshapes+xml"/>
  <Override PartName="/xl/charts/chart71.xml" ContentType="application/vnd.openxmlformats-officedocument.drawingml.chart+xml"/>
  <Override PartName="/xl/charts/style70.xml" ContentType="application/vnd.ms-office.chartstyle+xml"/>
  <Override PartName="/xl/charts/colors70.xml" ContentType="application/vnd.ms-office.chartcolorstyle+xml"/>
  <Override PartName="/xl/theme/themeOverride67.xml" ContentType="application/vnd.openxmlformats-officedocument.themeOverride+xml"/>
  <Override PartName="/xl/drawings/drawing75.xml" ContentType="application/vnd.openxmlformats-officedocument.drawingml.chartshapes+xml"/>
  <Override PartName="/xl/charts/chart72.xml" ContentType="application/vnd.openxmlformats-officedocument.drawingml.chart+xml"/>
  <Override PartName="/xl/charts/style71.xml" ContentType="application/vnd.ms-office.chartstyle+xml"/>
  <Override PartName="/xl/charts/colors71.xml" ContentType="application/vnd.ms-office.chartcolorstyle+xml"/>
  <Override PartName="/xl/theme/themeOverride68.xml" ContentType="application/vnd.openxmlformats-officedocument.themeOverride+xml"/>
  <Override PartName="/xl/drawings/drawing76.xml" ContentType="application/vnd.openxmlformats-officedocument.drawingml.chartshape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updateLinks="never" codeName="ThisWorkbook"/>
  <mc:AlternateContent xmlns:mc="http://schemas.openxmlformats.org/markup-compatibility/2006">
    <mc:Choice Requires="x15">
      <x15ac:absPath xmlns:x15ac="http://schemas.microsoft.com/office/spreadsheetml/2010/11/ac" url="https://aramark365-my.sharepoint.com/personal/stott-graham_aramark_com/Documents/Desktop/"/>
    </mc:Choice>
  </mc:AlternateContent>
  <xr:revisionPtr revIDLastSave="2731" documentId="13_ncr:1_{2E28F9BC-A5DF-4396-AD14-B66ED29F475B}" xr6:coauthVersionLast="47" xr6:coauthVersionMax="47" xr10:uidLastSave="{8CF6E70B-D3A6-4145-BBBA-98BE27DBF97C}"/>
  <bookViews>
    <workbookView xWindow="-120" yWindow="-120" windowWidth="29040" windowHeight="15840" tabRatio="825" firstSheet="3" activeTab="3" xr2:uid="{00000000-000D-0000-FFFF-FFFF00000000}"/>
  </bookViews>
  <sheets>
    <sheet name="Admin2" sheetId="31" state="hidden" r:id="rId1"/>
    <sheet name="Admin3" sheetId="32" state="hidden" r:id="rId2"/>
    <sheet name="Admin4" sheetId="38" state="hidden" r:id="rId3"/>
    <sheet name="AC" sheetId="26" r:id="rId4"/>
    <sheet name="Cover" sheetId="18" r:id="rId5"/>
    <sheet name="Summary" sheetId="34" r:id="rId6"/>
    <sheet name="Turnover" sheetId="35" r:id="rId7"/>
    <sheet name="S&amp;B" sheetId="27" r:id="rId8"/>
    <sheet name="Acc Ops" sheetId="20" r:id="rId9"/>
    <sheet name="SOX" sheetId="28" state="hidden" r:id="rId10"/>
    <sheet name="AR" sheetId="2" r:id="rId11"/>
    <sheet name="CB" sheetId="6" r:id="rId12"/>
    <sheet name="FA" sheetId="7" r:id="rId13"/>
    <sheet name="GL" sheetId="8" r:id="rId14"/>
    <sheet name="Pay Ops" sheetId="50" r:id="rId15"/>
    <sheet name="AP" sheetId="5" r:id="rId16"/>
    <sheet name="PR" sheetId="14" r:id="rId17"/>
    <sheet name="Sup Ops" sheetId="51" r:id="rId18"/>
    <sheet name="PMO" sheetId="29" r:id="rId19"/>
    <sheet name="BSS" sheetId="16" r:id="rId20"/>
    <sheet name="CC" sheetId="44" state="hidden" r:id="rId21"/>
    <sheet name="HRSO" sheetId="12" state="hidden" r:id="rId22"/>
    <sheet name="ADJ" sheetId="10" state="hidden" r:id="rId23"/>
    <sheet name="MyHRT1" sheetId="11" state="hidden" r:id="rId24"/>
    <sheet name="SC" sheetId="9" state="hidden" r:id="rId25"/>
    <sheet name="PS" sheetId="15" r:id="rId26"/>
    <sheet name="HR Ops" sheetId="52" state="hidden" r:id="rId27"/>
    <sheet name="GBS_HR" sheetId="55" state="hidden" r:id="rId28"/>
    <sheet name="HRT" sheetId="39" state="hidden" r:id="rId29"/>
    <sheet name="MyTC" sheetId="47" state="hidden" r:id="rId30"/>
    <sheet name="MyCC" sheetId="48" state="hidden" r:id="rId31"/>
  </sheets>
  <externalReferences>
    <externalReference r:id="rId32"/>
    <externalReference r:id="rId33"/>
  </externalReferences>
  <definedNames>
    <definedName name="_xlnm._FilterDatabase" localSheetId="2" hidden="1">Admin4!$H$4:$M$24</definedName>
    <definedName name="_xlnm._FilterDatabase" localSheetId="24" hidden="1">SC!$B$75:$BE$76</definedName>
    <definedName name="_xlnm.Print_Area" localSheetId="3">AC!$B$1:$K$97</definedName>
    <definedName name="_xlnm.Print_Area" localSheetId="8">'Acc Ops'!$A$1:$M$45</definedName>
    <definedName name="_xlnm.Print_Area" localSheetId="22">ADJ!$A$1:$BF$110</definedName>
    <definedName name="_xlnm.Print_Area" localSheetId="0">Admin2!$A$4:$P$61</definedName>
    <definedName name="_xlnm.Print_Area" localSheetId="1">Admin3!$B$4:$O$407</definedName>
    <definedName name="_xlnm.Print_Area" localSheetId="15">AP!$A$1:$BF$166</definedName>
    <definedName name="_xlnm.Print_Area" localSheetId="10">AR!$A$1:$BF$115</definedName>
    <definedName name="_xlnm.Print_Area" localSheetId="19">BSS!$A$1:$BF$357</definedName>
    <definedName name="_xlnm.Print_Area" localSheetId="11">CB!$A$1:$BF$119</definedName>
    <definedName name="_xlnm.Print_Area" localSheetId="20">CC!$A$1:$BF$136</definedName>
    <definedName name="_xlnm.Print_Area" localSheetId="4">Cover!$C$1:$N$40</definedName>
    <definedName name="_xlnm.Print_Area" localSheetId="12">FA!$A$1:$BF$93</definedName>
    <definedName name="_xlnm.Print_Area" localSheetId="27">GBS_HR!$A$1:$BE$27</definedName>
    <definedName name="_xlnm.Print_Area" localSheetId="13">GL!$A$1:$BF$93</definedName>
    <definedName name="_xlnm.Print_Area" localSheetId="26">'HR Ops'!$A$1:$M$45</definedName>
    <definedName name="_xlnm.Print_Area" localSheetId="21">HRSO!$A$1:$BF$77</definedName>
    <definedName name="_xlnm.Print_Area" localSheetId="28">HRT!$A$1:$BF$33</definedName>
    <definedName name="_xlnm.Print_Area" localSheetId="30">MyCC!$A$1:$BF$41</definedName>
    <definedName name="_xlnm.Print_Area" localSheetId="23">MyHRT1!$A$1:$BF$119</definedName>
    <definedName name="_xlnm.Print_Area" localSheetId="29">MyTC!$A$1:$BF$41</definedName>
    <definedName name="_xlnm.Print_Area" localSheetId="14">'Pay Ops'!$A$1:$M$45</definedName>
    <definedName name="_xlnm.Print_Area" localSheetId="18">PMO!$A$1:$BF$43</definedName>
    <definedName name="_xlnm.Print_Area" localSheetId="16">PR!$A$1:$BF$93</definedName>
    <definedName name="_xlnm.Print_Area" localSheetId="25">PS!$A$1:$BF$100</definedName>
    <definedName name="_xlnm.Print_Area" localSheetId="7">'S&amp;B'!$A$2:$U$41</definedName>
    <definedName name="_xlnm.Print_Area" localSheetId="24">SC!$A$1:$BF$70</definedName>
    <definedName name="_xlnm.Print_Area" localSheetId="9">SOX!$A$1:$K$38</definedName>
    <definedName name="_xlnm.Print_Area" localSheetId="5">Summary!$B$2:$M$42</definedName>
    <definedName name="_xlnm.Print_Area" localSheetId="17">'Sup Ops'!$A$1:$M$45</definedName>
    <definedName name="_xlnm.Print_Area" localSheetId="6">Turnover!$A$1:$X$52</definedName>
    <definedName name="_xlnm.Print_Titles" localSheetId="3">AC!$1:$6</definedName>
    <definedName name="_xlnm.Print_Titles" localSheetId="22">ADJ!$1:$5</definedName>
    <definedName name="_xlnm.Print_Titles" localSheetId="0">Admin2!$4:$7</definedName>
    <definedName name="_xlnm.Print_Titles" localSheetId="15">AP!$1:$6</definedName>
    <definedName name="_xlnm.Print_Titles" localSheetId="10">AR!$1:$5</definedName>
    <definedName name="_xlnm.Print_Titles" localSheetId="19">BSS!$1:$5</definedName>
    <definedName name="_xlnm.Print_Titles" localSheetId="11">CB!$1:$5</definedName>
    <definedName name="_xlnm.Print_Titles" localSheetId="20">CC!$1:$5</definedName>
    <definedName name="_xlnm.Print_Titles" localSheetId="12">FA!$1:$5</definedName>
    <definedName name="_xlnm.Print_Titles" localSheetId="13">GL!$1:$5</definedName>
    <definedName name="_xlnm.Print_Titles" localSheetId="21">HRSO!$1:$5</definedName>
    <definedName name="_xlnm.Print_Titles" localSheetId="28">HRT!$1:$5</definedName>
    <definedName name="_xlnm.Print_Titles" localSheetId="30">MyCC!$1:$5</definedName>
    <definedName name="_xlnm.Print_Titles" localSheetId="23">MyHRT1!$1:$5</definedName>
    <definedName name="_xlnm.Print_Titles" localSheetId="29">MyTC!$1:$5</definedName>
    <definedName name="_xlnm.Print_Titles" localSheetId="18">PMO!$1:$5</definedName>
    <definedName name="_xlnm.Print_Titles" localSheetId="16">PR!$1:$5</definedName>
    <definedName name="_xlnm.Print_Titles" localSheetId="25">PS!$1:$5</definedName>
    <definedName name="_xlnm.Print_Titles" localSheetId="24">SC!$1:$5</definedName>
    <definedName name="_xlnm.Print_Titles" localSheetId="9">SOX!$1:$5</definedName>
    <definedName name="ProjectStartDate" localSheetId="8">#REF!</definedName>
    <definedName name="ProjectStartDate" localSheetId="22">#REF!</definedName>
    <definedName name="ProjectStartDate" localSheetId="15">#REF!</definedName>
    <definedName name="ProjectStartDate" localSheetId="10">#REF!</definedName>
    <definedName name="ProjectStartDate" localSheetId="19">#REF!</definedName>
    <definedName name="ProjectStartDate" localSheetId="11">#REF!</definedName>
    <definedName name="ProjectStartDate" localSheetId="4">#REF!</definedName>
    <definedName name="ProjectStartDate" localSheetId="12">#REF!</definedName>
    <definedName name="ProjectStartDate" localSheetId="13">#REF!</definedName>
    <definedName name="ProjectStartDate" localSheetId="26">#REF!</definedName>
    <definedName name="ProjectStartDate" localSheetId="21">#REF!</definedName>
    <definedName name="ProjectStartDate" localSheetId="28">#REF!</definedName>
    <definedName name="ProjectStartDate" localSheetId="30">#REF!</definedName>
    <definedName name="ProjectStartDate" localSheetId="23">#REF!</definedName>
    <definedName name="ProjectStartDate" localSheetId="29">#REF!</definedName>
    <definedName name="ProjectStartDate" localSheetId="14">#REF!</definedName>
    <definedName name="ProjectStartDate" localSheetId="18">#REF!</definedName>
    <definedName name="ProjectStartDate" localSheetId="16">#REF!</definedName>
    <definedName name="ProjectStartDate" localSheetId="25">#REF!</definedName>
    <definedName name="ProjectStartDate" localSheetId="7">#REF!</definedName>
    <definedName name="ProjectStartDate" localSheetId="24">#REF!</definedName>
    <definedName name="ProjectStartDate" localSheetId="9">#REF!</definedName>
    <definedName name="ProjectStartDate" localSheetId="5">#REF!</definedName>
    <definedName name="ProjectStartDate" localSheetId="17">#REF!</definedName>
    <definedName name="ProjectStartDate" localSheetId="6">#REF!</definedName>
    <definedName name="ProjectStartDate">#REF!</definedName>
    <definedName name="Staffing" localSheetId="28">#REF!</definedName>
    <definedName name="Staffing" localSheetId="30">#REF!</definedName>
    <definedName name="Staffing" localSheetId="29">#REF!</definedName>
    <definedName name="Staffing" localSheetId="5">#REF!</definedName>
    <definedName name="Staffing" localSheetId="6">#REF!</definedName>
    <definedName name="Staffing">#REF!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6" i="26" l="1"/>
  <c r="F12" i="26"/>
  <c r="AE42" i="15" l="1"/>
  <c r="BY57" i="7"/>
  <c r="BY46" i="7"/>
  <c r="BY47" i="7"/>
  <c r="BY48" i="7"/>
  <c r="BY49" i="7"/>
  <c r="BY50" i="7"/>
  <c r="BY51" i="7"/>
  <c r="BY52" i="7"/>
  <c r="BY53" i="7"/>
  <c r="BY54" i="7"/>
  <c r="BY55" i="7"/>
  <c r="BY56" i="7"/>
  <c r="BY45" i="7"/>
  <c r="BY38" i="7"/>
  <c r="BY27" i="7"/>
  <c r="BY28" i="7"/>
  <c r="BY29" i="7"/>
  <c r="BY30" i="7"/>
  <c r="BY31" i="7"/>
  <c r="BY32" i="7"/>
  <c r="BY33" i="7"/>
  <c r="BY34" i="7"/>
  <c r="BY35" i="7"/>
  <c r="BY36" i="7"/>
  <c r="BY37" i="7"/>
  <c r="BY26" i="7"/>
  <c r="B66" i="5"/>
  <c r="CB141" i="5" l="1"/>
  <c r="BY141" i="5" s="1"/>
  <c r="BY153" i="5"/>
  <c r="BY142" i="5"/>
  <c r="BY143" i="5"/>
  <c r="BY144" i="5"/>
  <c r="BY145" i="5"/>
  <c r="BY146" i="5"/>
  <c r="BY147" i="5"/>
  <c r="BY148" i="5"/>
  <c r="BY149" i="5"/>
  <c r="BY150" i="5"/>
  <c r="BY151" i="5"/>
  <c r="BY152" i="5"/>
  <c r="BQ151" i="5"/>
  <c r="BR151" i="5"/>
  <c r="BS151" i="5" s="1"/>
  <c r="BM142" i="5"/>
  <c r="BM143" i="5"/>
  <c r="BM144" i="5"/>
  <c r="BM145" i="5"/>
  <c r="BM146" i="5"/>
  <c r="BM147" i="5"/>
  <c r="BM148" i="5"/>
  <c r="BM149" i="5"/>
  <c r="BM150" i="5"/>
  <c r="BM151" i="5"/>
  <c r="BM152" i="5"/>
  <c r="BM141" i="5"/>
  <c r="BL142" i="5"/>
  <c r="BL143" i="5"/>
  <c r="BL144" i="5"/>
  <c r="BL145" i="5"/>
  <c r="BL146" i="5"/>
  <c r="BL147" i="5"/>
  <c r="BL148" i="5"/>
  <c r="BL149" i="5"/>
  <c r="BL150" i="5"/>
  <c r="BL151" i="5"/>
  <c r="BL152" i="5"/>
  <c r="BL141" i="5"/>
  <c r="BQ142" i="5"/>
  <c r="BQ143" i="5"/>
  <c r="BQ144" i="5"/>
  <c r="BQ145" i="5"/>
  <c r="BQ146" i="5"/>
  <c r="BQ147" i="5"/>
  <c r="BQ148" i="5"/>
  <c r="BQ149" i="5"/>
  <c r="BQ150" i="5"/>
  <c r="BQ152" i="5"/>
  <c r="BQ141" i="5"/>
  <c r="BS141" i="5" s="1"/>
  <c r="BR142" i="5"/>
  <c r="BS142" i="5" s="1"/>
  <c r="BR143" i="5"/>
  <c r="BS143" i="5" s="1"/>
  <c r="BR144" i="5"/>
  <c r="BS144" i="5" s="1"/>
  <c r="BR145" i="5"/>
  <c r="BS145" i="5" s="1"/>
  <c r="BR146" i="5"/>
  <c r="BS146" i="5" s="1"/>
  <c r="BR147" i="5"/>
  <c r="BS147" i="5" s="1"/>
  <c r="BR148" i="5"/>
  <c r="BS148" i="5" s="1"/>
  <c r="BR149" i="5"/>
  <c r="BS149" i="5" s="1"/>
  <c r="BR150" i="5"/>
  <c r="BR152" i="5"/>
  <c r="BR141" i="5"/>
  <c r="BS150" i="5"/>
  <c r="BS152" i="5"/>
  <c r="BX26" i="5"/>
  <c r="BY26" i="5" s="1"/>
  <c r="BP26" i="5"/>
  <c r="BQ64" i="7"/>
  <c r="BN141" i="5" l="1"/>
  <c r="B135" i="5"/>
  <c r="AE112" i="5"/>
  <c r="B112" i="5"/>
  <c r="AE89" i="5"/>
  <c r="B89" i="5"/>
  <c r="AE66" i="5"/>
  <c r="BN142" i="5"/>
  <c r="BN143" i="5"/>
  <c r="BN144" i="5"/>
  <c r="BN145" i="5"/>
  <c r="BN146" i="5"/>
  <c r="BN147" i="5"/>
  <c r="BN148" i="5"/>
  <c r="BN149" i="5"/>
  <c r="BN150" i="5"/>
  <c r="BN151" i="5"/>
  <c r="BN152" i="5"/>
  <c r="AE86" i="2" l="1"/>
  <c r="B86" i="2"/>
  <c r="AE63" i="2"/>
  <c r="B63" i="2"/>
  <c r="AE65" i="15" l="1"/>
  <c r="B65" i="15"/>
  <c r="BT66" i="16"/>
  <c r="BQ66" i="16" l="1"/>
  <c r="BX103" i="5" l="1"/>
  <c r="BX104" i="5"/>
  <c r="BX105" i="5"/>
  <c r="BX106" i="5"/>
  <c r="BX107" i="5"/>
  <c r="BX108" i="5"/>
  <c r="BX109" i="5"/>
  <c r="BY109" i="5" s="1"/>
  <c r="BX110" i="5"/>
  <c r="BX111" i="5"/>
  <c r="BX112" i="5"/>
  <c r="BX113" i="5"/>
  <c r="BX102" i="5"/>
  <c r="BP103" i="5"/>
  <c r="BP104" i="5"/>
  <c r="BP105" i="5"/>
  <c r="BP106" i="5"/>
  <c r="BQ106" i="5" s="1"/>
  <c r="BP107" i="5"/>
  <c r="BP108" i="5"/>
  <c r="BP109" i="5"/>
  <c r="BP110" i="5"/>
  <c r="BP111" i="5"/>
  <c r="BP112" i="5"/>
  <c r="BP113" i="5"/>
  <c r="BP102" i="5"/>
  <c r="BQ102" i="5" s="1"/>
  <c r="BP37" i="5"/>
  <c r="BP30" i="5"/>
  <c r="BP27" i="5"/>
  <c r="BP28" i="5"/>
  <c r="BP29" i="5"/>
  <c r="BP31" i="5"/>
  <c r="BP32" i="5"/>
  <c r="BP33" i="5"/>
  <c r="BP34" i="5"/>
  <c r="BP35" i="5"/>
  <c r="BP36" i="5"/>
  <c r="B111" i="6" l="1"/>
  <c r="AE87" i="6"/>
  <c r="B87" i="6"/>
  <c r="AE64" i="6"/>
  <c r="B64" i="6"/>
  <c r="B85" i="14" l="1"/>
  <c r="AE62" i="14"/>
  <c r="B62" i="14"/>
  <c r="B85" i="8"/>
  <c r="AE62" i="8"/>
  <c r="B62" i="8"/>
  <c r="D87" i="31" l="1"/>
  <c r="E87" i="31"/>
  <c r="F87" i="31"/>
  <c r="G87" i="31"/>
  <c r="H87" i="31"/>
  <c r="I87" i="31"/>
  <c r="J87" i="31"/>
  <c r="K87" i="31"/>
  <c r="L87" i="31"/>
  <c r="M87" i="31"/>
  <c r="N87" i="31"/>
  <c r="O87" i="31"/>
  <c r="C87" i="31"/>
  <c r="D86" i="31"/>
  <c r="E86" i="31"/>
  <c r="F86" i="31"/>
  <c r="G86" i="31"/>
  <c r="H86" i="31"/>
  <c r="I86" i="31"/>
  <c r="J86" i="31"/>
  <c r="K86" i="31"/>
  <c r="L86" i="31"/>
  <c r="M86" i="31"/>
  <c r="N86" i="31"/>
  <c r="O86" i="31"/>
  <c r="C86" i="31"/>
  <c r="D85" i="31"/>
  <c r="E85" i="31"/>
  <c r="F85" i="31"/>
  <c r="G85" i="31"/>
  <c r="H85" i="31"/>
  <c r="I85" i="31"/>
  <c r="J85" i="31"/>
  <c r="K85" i="31"/>
  <c r="L85" i="31"/>
  <c r="M85" i="31"/>
  <c r="N85" i="31"/>
  <c r="O85" i="31"/>
  <c r="C85" i="31"/>
  <c r="BT150" i="5" l="1"/>
  <c r="BT147" i="5"/>
  <c r="BT144" i="5"/>
  <c r="BT141" i="5"/>
  <c r="BY104" i="5"/>
  <c r="BZ105" i="5"/>
  <c r="BZ108" i="5"/>
  <c r="BY111" i="5"/>
  <c r="BY102" i="5"/>
  <c r="W42" i="5" s="1"/>
  <c r="BR35" i="5"/>
  <c r="BR32" i="5"/>
  <c r="BR29" i="5"/>
  <c r="BR26" i="5"/>
  <c r="BX27" i="5"/>
  <c r="BY27" i="5" s="1"/>
  <c r="BX28" i="5"/>
  <c r="BY28" i="5" s="1"/>
  <c r="BX29" i="5"/>
  <c r="BZ29" i="5" s="1"/>
  <c r="BX30" i="5"/>
  <c r="BY30" i="5" s="1"/>
  <c r="BX31" i="5"/>
  <c r="BY31" i="5" s="1"/>
  <c r="BX32" i="5"/>
  <c r="BZ32" i="5" s="1"/>
  <c r="BX33" i="5"/>
  <c r="BY33" i="5" s="1"/>
  <c r="BX34" i="5"/>
  <c r="BY34" i="5" s="1"/>
  <c r="BX35" i="5"/>
  <c r="BZ35" i="5" s="1"/>
  <c r="BX36" i="5"/>
  <c r="BY36" i="5" s="1"/>
  <c r="BX37" i="5"/>
  <c r="BY37" i="5" s="1"/>
  <c r="BO147" i="5"/>
  <c r="BO144" i="5"/>
  <c r="BO150" i="5"/>
  <c r="BO141" i="5"/>
  <c r="BT45" i="5"/>
  <c r="BT48" i="5"/>
  <c r="CB45" i="5"/>
  <c r="CP789" i="16"/>
  <c r="CO789" i="16"/>
  <c r="CN789" i="16"/>
  <c r="CM789" i="16"/>
  <c r="CL789" i="16"/>
  <c r="CK789" i="16"/>
  <c r="CJ789" i="16"/>
  <c r="CI789" i="16"/>
  <c r="Q44" i="5"/>
  <c r="BJ14" i="6"/>
  <c r="BK14" i="16"/>
  <c r="BJ14" i="16"/>
  <c r="BT54" i="16"/>
  <c r="BT51" i="16"/>
  <c r="BT48" i="16"/>
  <c r="BT45" i="16"/>
  <c r="BO54" i="16"/>
  <c r="BO51" i="16"/>
  <c r="BO48" i="16"/>
  <c r="BO45" i="16"/>
  <c r="CR789" i="16"/>
  <c r="CQ789" i="16"/>
  <c r="CG789" i="16"/>
  <c r="CC788" i="16"/>
  <c r="BS788" i="16"/>
  <c r="CC787" i="16"/>
  <c r="BS787" i="16"/>
  <c r="CC786" i="16"/>
  <c r="CD786" i="16" s="1"/>
  <c r="BS786" i="16"/>
  <c r="CC785" i="16"/>
  <c r="BS785" i="16"/>
  <c r="CC784" i="16"/>
  <c r="BS784" i="16"/>
  <c r="CC783" i="16"/>
  <c r="CD783" i="16" s="1"/>
  <c r="BS783" i="16"/>
  <c r="CC782" i="16"/>
  <c r="BS782" i="16"/>
  <c r="CC781" i="16"/>
  <c r="BS781" i="16"/>
  <c r="CC780" i="16"/>
  <c r="CD780" i="16" s="1"/>
  <c r="BS780" i="16"/>
  <c r="CC779" i="16"/>
  <c r="BS779" i="16"/>
  <c r="CC778" i="16"/>
  <c r="BS778" i="16"/>
  <c r="CC777" i="16"/>
  <c r="CD777" i="16" s="1"/>
  <c r="BS777" i="16"/>
  <c r="A2" i="32"/>
  <c r="BN65" i="5"/>
  <c r="BN66" i="5"/>
  <c r="BN67" i="5"/>
  <c r="BN68" i="5"/>
  <c r="BN69" i="5"/>
  <c r="BN70" i="5"/>
  <c r="BN71" i="5"/>
  <c r="BN72" i="5"/>
  <c r="BN73" i="5"/>
  <c r="BN74" i="5"/>
  <c r="BN75" i="5"/>
  <c r="BN64" i="5"/>
  <c r="BQ26" i="5"/>
  <c r="BQ27" i="5"/>
  <c r="BQ28" i="5"/>
  <c r="BQ29" i="5"/>
  <c r="BQ30" i="5"/>
  <c r="BQ31" i="5"/>
  <c r="BQ32" i="5"/>
  <c r="BQ33" i="5"/>
  <c r="BQ34" i="5"/>
  <c r="BQ35" i="5"/>
  <c r="BQ36" i="5"/>
  <c r="BQ37" i="5"/>
  <c r="BZ26" i="5" l="1"/>
  <c r="BZ102" i="5"/>
  <c r="BZ111" i="5"/>
  <c r="BY35" i="5"/>
  <c r="BY32" i="5"/>
  <c r="BY29" i="5"/>
  <c r="BT780" i="16"/>
  <c r="BT783" i="16"/>
  <c r="BT777" i="16"/>
  <c r="CR788" i="16"/>
  <c r="BT786" i="16"/>
  <c r="CR787" i="16" l="1"/>
  <c r="CR786" i="16" l="1"/>
  <c r="CR785" i="16" l="1"/>
  <c r="CR784" i="16" l="1"/>
  <c r="CR783" i="16" l="1"/>
  <c r="CR782" i="16" l="1"/>
  <c r="CR781" i="16" l="1"/>
  <c r="CR780" i="16" l="1"/>
  <c r="CR779" i="16" l="1"/>
  <c r="CR778" i="16" l="1"/>
  <c r="CR777" i="16" s="1"/>
  <c r="J14" i="35" l="1"/>
  <c r="J49" i="35" l="1"/>
  <c r="K49" i="35"/>
  <c r="L49" i="35"/>
  <c r="M49" i="35"/>
  <c r="N49" i="35"/>
  <c r="O49" i="35"/>
  <c r="P49" i="35"/>
  <c r="Q49" i="35"/>
  <c r="R49" i="35"/>
  <c r="S49" i="35"/>
  <c r="T49" i="35"/>
  <c r="J48" i="35"/>
  <c r="K48" i="35"/>
  <c r="L48" i="35"/>
  <c r="M48" i="35"/>
  <c r="N48" i="35"/>
  <c r="O48" i="35"/>
  <c r="P48" i="35"/>
  <c r="Q48" i="35"/>
  <c r="R48" i="35"/>
  <c r="S48" i="35"/>
  <c r="T48" i="35"/>
  <c r="J47" i="35"/>
  <c r="K47" i="35"/>
  <c r="L47" i="35"/>
  <c r="M47" i="35"/>
  <c r="N47" i="35"/>
  <c r="O47" i="35"/>
  <c r="P47" i="35"/>
  <c r="Q47" i="35"/>
  <c r="R47" i="35"/>
  <c r="S47" i="35"/>
  <c r="T47" i="35"/>
  <c r="J46" i="35"/>
  <c r="K46" i="35"/>
  <c r="L46" i="35"/>
  <c r="M46" i="35"/>
  <c r="N46" i="35"/>
  <c r="O46" i="35"/>
  <c r="P46" i="35"/>
  <c r="Q46" i="35"/>
  <c r="R46" i="35"/>
  <c r="S46" i="35"/>
  <c r="T46" i="35"/>
  <c r="J45" i="35"/>
  <c r="K45" i="35"/>
  <c r="L45" i="35"/>
  <c r="M45" i="35"/>
  <c r="N45" i="35"/>
  <c r="O45" i="35"/>
  <c r="P45" i="35"/>
  <c r="Q45" i="35"/>
  <c r="R45" i="35"/>
  <c r="S45" i="35"/>
  <c r="T45" i="35"/>
  <c r="K42" i="35"/>
  <c r="L42" i="35"/>
  <c r="M42" i="35"/>
  <c r="N42" i="35"/>
  <c r="O42" i="35"/>
  <c r="P42" i="35"/>
  <c r="Q42" i="35"/>
  <c r="R42" i="35"/>
  <c r="S42" i="35"/>
  <c r="T42" i="35"/>
  <c r="K41" i="35"/>
  <c r="L41" i="35"/>
  <c r="M41" i="35"/>
  <c r="N41" i="35"/>
  <c r="O41" i="35"/>
  <c r="P41" i="35"/>
  <c r="Q41" i="35"/>
  <c r="R41" i="35"/>
  <c r="S41" i="35"/>
  <c r="T41" i="35"/>
  <c r="J40" i="35"/>
  <c r="K40" i="35"/>
  <c r="L40" i="35"/>
  <c r="M40" i="35"/>
  <c r="N40" i="35"/>
  <c r="O40" i="35"/>
  <c r="P40" i="35"/>
  <c r="Q40" i="35"/>
  <c r="R40" i="35"/>
  <c r="S40" i="35"/>
  <c r="T40" i="35"/>
  <c r="G39" i="35"/>
  <c r="J39" i="35"/>
  <c r="K39" i="35"/>
  <c r="L39" i="35"/>
  <c r="M39" i="35"/>
  <c r="N39" i="35"/>
  <c r="O39" i="35"/>
  <c r="P39" i="35"/>
  <c r="Q39" i="35"/>
  <c r="R39" i="35"/>
  <c r="S39" i="35"/>
  <c r="T39" i="35"/>
  <c r="K38" i="35"/>
  <c r="L38" i="35"/>
  <c r="M38" i="35"/>
  <c r="N38" i="35"/>
  <c r="O38" i="35"/>
  <c r="P38" i="35"/>
  <c r="Q38" i="35"/>
  <c r="R38" i="35"/>
  <c r="S38" i="35"/>
  <c r="T38" i="35"/>
  <c r="K37" i="35"/>
  <c r="L37" i="35"/>
  <c r="M37" i="35"/>
  <c r="N37" i="35"/>
  <c r="O37" i="35"/>
  <c r="P37" i="35"/>
  <c r="Q37" i="35"/>
  <c r="R37" i="35"/>
  <c r="S37" i="35"/>
  <c r="T37" i="35"/>
  <c r="J36" i="35"/>
  <c r="K36" i="35"/>
  <c r="L36" i="35"/>
  <c r="M36" i="35"/>
  <c r="N36" i="35"/>
  <c r="O36" i="35"/>
  <c r="P36" i="35"/>
  <c r="Q36" i="35"/>
  <c r="R36" i="35"/>
  <c r="S36" i="35"/>
  <c r="T36" i="35"/>
  <c r="K35" i="35"/>
  <c r="L35" i="35"/>
  <c r="M35" i="35"/>
  <c r="N35" i="35"/>
  <c r="O35" i="35"/>
  <c r="P35" i="35"/>
  <c r="Q35" i="35"/>
  <c r="R35" i="35"/>
  <c r="S35" i="35"/>
  <c r="T35" i="35"/>
  <c r="K34" i="35"/>
  <c r="L34" i="35"/>
  <c r="M34" i="35"/>
  <c r="N34" i="35"/>
  <c r="O34" i="35"/>
  <c r="P34" i="35"/>
  <c r="Q34" i="35"/>
  <c r="R34" i="35"/>
  <c r="S34" i="35"/>
  <c r="T34" i="35"/>
  <c r="K33" i="35"/>
  <c r="L33" i="35"/>
  <c r="M33" i="35"/>
  <c r="N33" i="35"/>
  <c r="O33" i="35"/>
  <c r="P33" i="35"/>
  <c r="Q33" i="35"/>
  <c r="R33" i="35"/>
  <c r="S33" i="35"/>
  <c r="T33" i="35"/>
  <c r="K32" i="35"/>
  <c r="L32" i="35"/>
  <c r="M32" i="35"/>
  <c r="N32" i="35"/>
  <c r="O32" i="35"/>
  <c r="P32" i="35"/>
  <c r="Q32" i="35"/>
  <c r="R32" i="35"/>
  <c r="S32" i="35"/>
  <c r="T32" i="35"/>
  <c r="J26" i="35"/>
  <c r="K26" i="35"/>
  <c r="L26" i="35"/>
  <c r="M26" i="35"/>
  <c r="N26" i="35"/>
  <c r="O26" i="35"/>
  <c r="P26" i="35"/>
  <c r="Q26" i="35"/>
  <c r="R26" i="35"/>
  <c r="S26" i="35"/>
  <c r="T26" i="35"/>
  <c r="J25" i="35"/>
  <c r="K25" i="35"/>
  <c r="L25" i="35"/>
  <c r="M25" i="35"/>
  <c r="N25" i="35"/>
  <c r="O25" i="35"/>
  <c r="P25" i="35"/>
  <c r="Q25" i="35"/>
  <c r="R25" i="35"/>
  <c r="S25" i="35"/>
  <c r="T25" i="35"/>
  <c r="J24" i="35"/>
  <c r="K24" i="35"/>
  <c r="L24" i="35"/>
  <c r="M24" i="35"/>
  <c r="N24" i="35"/>
  <c r="O24" i="35"/>
  <c r="P24" i="35"/>
  <c r="Q24" i="35"/>
  <c r="R24" i="35"/>
  <c r="S24" i="35"/>
  <c r="T24" i="35"/>
  <c r="J23" i="35"/>
  <c r="K23" i="35"/>
  <c r="L23" i="35"/>
  <c r="M23" i="35"/>
  <c r="N23" i="35"/>
  <c r="O23" i="35"/>
  <c r="P23" i="35"/>
  <c r="Q23" i="35"/>
  <c r="R23" i="35"/>
  <c r="S23" i="35"/>
  <c r="T23" i="35"/>
  <c r="J22" i="35"/>
  <c r="K22" i="35"/>
  <c r="L22" i="35"/>
  <c r="M22" i="35"/>
  <c r="N22" i="35"/>
  <c r="O22" i="35"/>
  <c r="P22" i="35"/>
  <c r="Q22" i="35"/>
  <c r="R22" i="35"/>
  <c r="S22" i="35"/>
  <c r="T22" i="35"/>
  <c r="J21" i="35"/>
  <c r="K21" i="35"/>
  <c r="L21" i="35"/>
  <c r="M21" i="35"/>
  <c r="N21" i="35"/>
  <c r="O21" i="35"/>
  <c r="P21" i="35"/>
  <c r="Q21" i="35"/>
  <c r="R21" i="35"/>
  <c r="S21" i="35"/>
  <c r="T21" i="35"/>
  <c r="K12" i="35"/>
  <c r="L12" i="35"/>
  <c r="M12" i="35"/>
  <c r="N12" i="35"/>
  <c r="O12" i="35"/>
  <c r="P12" i="35"/>
  <c r="Q12" i="35"/>
  <c r="R12" i="35"/>
  <c r="S12" i="35"/>
  <c r="T12" i="35"/>
  <c r="K13" i="35"/>
  <c r="L13" i="35"/>
  <c r="M13" i="35"/>
  <c r="N13" i="35"/>
  <c r="O13" i="35"/>
  <c r="P13" i="35"/>
  <c r="Q13" i="35"/>
  <c r="R13" i="35"/>
  <c r="S13" i="35"/>
  <c r="T13" i="35"/>
  <c r="K14" i="35"/>
  <c r="L14" i="35"/>
  <c r="M14" i="35"/>
  <c r="N14" i="35"/>
  <c r="O14" i="35"/>
  <c r="P14" i="35"/>
  <c r="Q14" i="35"/>
  <c r="R14" i="35"/>
  <c r="S14" i="35"/>
  <c r="T14" i="35"/>
  <c r="K15" i="35"/>
  <c r="L15" i="35"/>
  <c r="M15" i="35"/>
  <c r="N15" i="35"/>
  <c r="O15" i="35"/>
  <c r="P15" i="35"/>
  <c r="Q15" i="35"/>
  <c r="R15" i="35"/>
  <c r="S15" i="35"/>
  <c r="T15" i="35"/>
  <c r="K16" i="35"/>
  <c r="L16" i="35"/>
  <c r="M16" i="35"/>
  <c r="N16" i="35"/>
  <c r="O16" i="35"/>
  <c r="P16" i="35"/>
  <c r="Q16" i="35"/>
  <c r="R16" i="35"/>
  <c r="S16" i="35"/>
  <c r="T16" i="35"/>
  <c r="K17" i="35"/>
  <c r="L17" i="35"/>
  <c r="M17" i="35"/>
  <c r="N17" i="35"/>
  <c r="O17" i="35"/>
  <c r="P17" i="35"/>
  <c r="Q17" i="35"/>
  <c r="R17" i="35"/>
  <c r="S17" i="35"/>
  <c r="T17" i="35"/>
  <c r="K11" i="35"/>
  <c r="L11" i="35"/>
  <c r="M11" i="35"/>
  <c r="N11" i="35"/>
  <c r="O11" i="35"/>
  <c r="P11" i="35"/>
  <c r="Q11" i="35"/>
  <c r="R11" i="35"/>
  <c r="S11" i="35"/>
  <c r="T11" i="35"/>
  <c r="K10" i="35"/>
  <c r="L10" i="35"/>
  <c r="M10" i="35"/>
  <c r="N10" i="35"/>
  <c r="O10" i="35"/>
  <c r="P10" i="35"/>
  <c r="Q10" i="35"/>
  <c r="R10" i="35"/>
  <c r="S10" i="35"/>
  <c r="T10" i="35"/>
  <c r="CC151" i="5"/>
  <c r="BW153" i="5"/>
  <c r="CD153" i="5" s="1"/>
  <c r="CC170" i="5" l="1"/>
  <c r="CD152" i="5"/>
  <c r="CD151" i="5" l="1"/>
  <c r="BX151" i="5" l="1"/>
  <c r="CD150" i="5"/>
  <c r="CD149" i="5" l="1"/>
  <c r="CD148" i="5" l="1"/>
  <c r="CD147" i="5" l="1"/>
  <c r="CD146" i="5" l="1"/>
  <c r="CD145" i="5" l="1"/>
  <c r="CD144" i="5" l="1"/>
  <c r="CD143" i="5" l="1"/>
  <c r="CD142" i="5" l="1"/>
  <c r="CD141" i="5" s="1"/>
  <c r="BS37" i="7" l="1"/>
  <c r="BS36" i="7"/>
  <c r="BT35" i="7"/>
  <c r="BS35" i="7"/>
  <c r="BS34" i="7"/>
  <c r="BS33" i="7"/>
  <c r="BT32" i="7"/>
  <c r="BS32" i="7"/>
  <c r="BS31" i="7"/>
  <c r="BS30" i="7"/>
  <c r="BT29" i="7"/>
  <c r="BS29" i="7"/>
  <c r="BS28" i="7"/>
  <c r="BS27" i="7"/>
  <c r="BT26" i="7"/>
  <c r="BS26" i="7"/>
  <c r="BO26" i="7"/>
  <c r="BN37" i="7"/>
  <c r="BN36" i="7"/>
  <c r="BN35" i="7"/>
  <c r="BN34" i="7"/>
  <c r="BN33" i="7"/>
  <c r="BN32" i="7"/>
  <c r="BN31" i="7"/>
  <c r="BN30" i="7"/>
  <c r="BN29" i="7"/>
  <c r="BN28" i="7"/>
  <c r="BN27" i="7"/>
  <c r="BN26" i="7"/>
  <c r="BQ433" i="16" l="1"/>
  <c r="BY112" i="5"/>
  <c r="BS75" i="5"/>
  <c r="BS73" i="5"/>
  <c r="BS71" i="5"/>
  <c r="BS70" i="5"/>
  <c r="BS69" i="5"/>
  <c r="BS68" i="5"/>
  <c r="BS67" i="5"/>
  <c r="BS66" i="5"/>
  <c r="BS65" i="5"/>
  <c r="BS64" i="5"/>
  <c r="BS55" i="5"/>
  <c r="BO35" i="14" l="1"/>
  <c r="BS72" i="5" l="1"/>
  <c r="BT67" i="2" l="1"/>
  <c r="BT70" i="2"/>
  <c r="BT758" i="16"/>
  <c r="CB51" i="7" l="1"/>
  <c r="CB70" i="7" s="1"/>
  <c r="CB89" i="7" s="1"/>
  <c r="CB50" i="7"/>
  <c r="BT64" i="7" l="1"/>
  <c r="BT70" i="7"/>
  <c r="BT67" i="7"/>
  <c r="BQ65" i="7"/>
  <c r="BQ66" i="7"/>
  <c r="BQ67" i="7"/>
  <c r="BQ68" i="7"/>
  <c r="BQ69" i="7"/>
  <c r="BQ70" i="7"/>
  <c r="BQ71" i="7"/>
  <c r="BQ72" i="7"/>
  <c r="BQ73" i="7"/>
  <c r="BQ74" i="7"/>
  <c r="BQ75" i="7"/>
  <c r="BT73" i="7" s="1"/>
  <c r="BL66" i="7"/>
  <c r="BL64" i="7"/>
  <c r="BT73" i="6" l="1"/>
  <c r="BQ627" i="16"/>
  <c r="BL627" i="16"/>
  <c r="BQ528" i="16"/>
  <c r="BL529" i="16"/>
  <c r="BL530" i="16"/>
  <c r="BL531" i="16"/>
  <c r="BL532" i="16"/>
  <c r="BL533" i="16"/>
  <c r="BL534" i="16"/>
  <c r="BL535" i="16"/>
  <c r="BN535" i="16" s="1"/>
  <c r="BL536" i="16"/>
  <c r="BN536" i="16" s="1"/>
  <c r="BL537" i="16"/>
  <c r="BL538" i="16"/>
  <c r="BN538" i="16" s="1"/>
  <c r="BL539" i="16"/>
  <c r="BN539" i="16" s="1"/>
  <c r="BL528" i="16"/>
  <c r="BT440" i="16"/>
  <c r="BQ431" i="16"/>
  <c r="BS431" i="16" s="1"/>
  <c r="BL441" i="16"/>
  <c r="BN441" i="16" s="1"/>
  <c r="BL432" i="16"/>
  <c r="BN432" i="16" s="1"/>
  <c r="BL433" i="16"/>
  <c r="BL434" i="16"/>
  <c r="BL435" i="16"/>
  <c r="BL436" i="16"/>
  <c r="BL437" i="16"/>
  <c r="BL438" i="16"/>
  <c r="BL439" i="16"/>
  <c r="BN439" i="16" s="1"/>
  <c r="BL440" i="16"/>
  <c r="BN440" i="16" s="1"/>
  <c r="BL442" i="16"/>
  <c r="BN442" i="16" s="1"/>
  <c r="BL431" i="16"/>
  <c r="BN431" i="16" s="1"/>
  <c r="BQ345" i="16"/>
  <c r="BQ336" i="16"/>
  <c r="BQ335" i="16"/>
  <c r="BL340" i="16"/>
  <c r="BL336" i="16"/>
  <c r="BL337" i="16"/>
  <c r="BL338" i="16"/>
  <c r="BL339" i="16"/>
  <c r="BL341" i="16"/>
  <c r="BL342" i="16"/>
  <c r="BL343" i="16"/>
  <c r="BL344" i="16"/>
  <c r="BL345" i="16"/>
  <c r="BL346" i="16"/>
  <c r="BL335" i="16"/>
  <c r="BQ241" i="16"/>
  <c r="BL245" i="16"/>
  <c r="BL239" i="16"/>
  <c r="BL240" i="16"/>
  <c r="BL241" i="16"/>
  <c r="BL242" i="16"/>
  <c r="BL243" i="16"/>
  <c r="BL244" i="16"/>
  <c r="BL246" i="16"/>
  <c r="BL247" i="16"/>
  <c r="BL248" i="16"/>
  <c r="BL249" i="16"/>
  <c r="BL238" i="16"/>
  <c r="BQ143" i="16"/>
  <c r="BS143" i="16" s="1"/>
  <c r="BL148" i="16"/>
  <c r="BL142" i="16"/>
  <c r="BL143" i="16"/>
  <c r="BL144" i="16"/>
  <c r="BL145" i="16"/>
  <c r="BL146" i="16"/>
  <c r="BL147" i="16"/>
  <c r="BL149" i="16"/>
  <c r="BL150" i="16"/>
  <c r="BL151" i="16"/>
  <c r="BL152" i="16"/>
  <c r="BL141" i="16"/>
  <c r="BL50" i="16"/>
  <c r="BQ49" i="16"/>
  <c r="BL46" i="16"/>
  <c r="BL47" i="16"/>
  <c r="BL48" i="16"/>
  <c r="BL49" i="16"/>
  <c r="BL51" i="16"/>
  <c r="BL52" i="16"/>
  <c r="BL53" i="16"/>
  <c r="BL54" i="16"/>
  <c r="BL55" i="16"/>
  <c r="BL56" i="16"/>
  <c r="BL45" i="16"/>
  <c r="BQ51" i="16"/>
  <c r="BS51" i="16" s="1"/>
  <c r="BQ45" i="16"/>
  <c r="BM739" i="16"/>
  <c r="BR748" i="16"/>
  <c r="BR739" i="16"/>
  <c r="BT739" i="16" s="1"/>
  <c r="BQ708" i="16"/>
  <c r="BM686" i="16"/>
  <c r="BN686" i="16" s="1"/>
  <c r="BR693" i="16"/>
  <c r="BS693" i="16" s="1"/>
  <c r="BR682" i="16"/>
  <c r="BT682" i="16" s="1"/>
  <c r="BT672" i="16"/>
  <c r="BQ644" i="16"/>
  <c r="BT634" i="16"/>
  <c r="BQ636" i="16"/>
  <c r="BS636" i="16" s="1"/>
  <c r="BL636" i="16"/>
  <c r="BN636" i="16" s="1"/>
  <c r="BL625" i="16"/>
  <c r="BN625" i="16" s="1"/>
  <c r="BQ631" i="16"/>
  <c r="BS631" i="16" s="1"/>
  <c r="BR597" i="16"/>
  <c r="BR586" i="16"/>
  <c r="BS586" i="16" s="1"/>
  <c r="BM597" i="16"/>
  <c r="BR495" i="16"/>
  <c r="BS495" i="16" s="1"/>
  <c r="BM490" i="16"/>
  <c r="BN490" i="16" s="1"/>
  <c r="BM491" i="16"/>
  <c r="BN491" i="16" s="1"/>
  <c r="BM492" i="16"/>
  <c r="BN492" i="16" s="1"/>
  <c r="BM493" i="16"/>
  <c r="BN493" i="16" s="1"/>
  <c r="BM494" i="16"/>
  <c r="BN494" i="16" s="1"/>
  <c r="BM495" i="16"/>
  <c r="BN495" i="16" s="1"/>
  <c r="BM496" i="16"/>
  <c r="BN496" i="16" s="1"/>
  <c r="BM497" i="16"/>
  <c r="BN497" i="16" s="1"/>
  <c r="BM498" i="16"/>
  <c r="BN498" i="16" s="1"/>
  <c r="BM499" i="16"/>
  <c r="BN499" i="16" s="1"/>
  <c r="BM500" i="16"/>
  <c r="BN500" i="16" s="1"/>
  <c r="BM489" i="16"/>
  <c r="BN489" i="16" s="1"/>
  <c r="BR489" i="16"/>
  <c r="BS489" i="16" s="1"/>
  <c r="BM394" i="16"/>
  <c r="BM395" i="16"/>
  <c r="BM396" i="16"/>
  <c r="BM397" i="16"/>
  <c r="BM398" i="16"/>
  <c r="BM399" i="16"/>
  <c r="BM400" i="16"/>
  <c r="BM401" i="16"/>
  <c r="BM402" i="16"/>
  <c r="BM403" i="16"/>
  <c r="BM404" i="16"/>
  <c r="BM393" i="16"/>
  <c r="BR404" i="16"/>
  <c r="BS404" i="16" s="1"/>
  <c r="BR394" i="16"/>
  <c r="BR395" i="16"/>
  <c r="BR396" i="16"/>
  <c r="BT396" i="16" s="1"/>
  <c r="BR397" i="16"/>
  <c r="BR398" i="16"/>
  <c r="BR399" i="16"/>
  <c r="BR400" i="16"/>
  <c r="BR401" i="16"/>
  <c r="BR402" i="16"/>
  <c r="BR403" i="16"/>
  <c r="BR393" i="16"/>
  <c r="BT393" i="16" s="1"/>
  <c r="BL355" i="16"/>
  <c r="BM300" i="16"/>
  <c r="BM305" i="16"/>
  <c r="BR307" i="16"/>
  <c r="BR296" i="16"/>
  <c r="BT296" i="16" s="1"/>
  <c r="BR297" i="16"/>
  <c r="BR298" i="16"/>
  <c r="BR299" i="16"/>
  <c r="BT299" i="16" s="1"/>
  <c r="BR300" i="16"/>
  <c r="BR301" i="16"/>
  <c r="BR302" i="16"/>
  <c r="BR303" i="16"/>
  <c r="BR304" i="16"/>
  <c r="BR305" i="16"/>
  <c r="BR306" i="16"/>
  <c r="BM307" i="16"/>
  <c r="BM296" i="16"/>
  <c r="BM297" i="16"/>
  <c r="BM298" i="16"/>
  <c r="BM299" i="16"/>
  <c r="BM301" i="16"/>
  <c r="BM302" i="16"/>
  <c r="BM303" i="16"/>
  <c r="BM304" i="16"/>
  <c r="BM306" i="16"/>
  <c r="BR199" i="16"/>
  <c r="BM200" i="16"/>
  <c r="BM201" i="16"/>
  <c r="BM202" i="16"/>
  <c r="BM203" i="16"/>
  <c r="BM204" i="16"/>
  <c r="BM205" i="16"/>
  <c r="BM206" i="16"/>
  <c r="BM207" i="16"/>
  <c r="BM208" i="16"/>
  <c r="BM209" i="16"/>
  <c r="BM210" i="16"/>
  <c r="BM199" i="16"/>
  <c r="BR200" i="16"/>
  <c r="BR201" i="16"/>
  <c r="BR202" i="16"/>
  <c r="BT202" i="16" s="1"/>
  <c r="BR203" i="16"/>
  <c r="BR204" i="16"/>
  <c r="BR205" i="16"/>
  <c r="BR206" i="16"/>
  <c r="BT205" i="16" s="1"/>
  <c r="BR207" i="16"/>
  <c r="BR208" i="16"/>
  <c r="BR209" i="16"/>
  <c r="BR210" i="16"/>
  <c r="BM105" i="16"/>
  <c r="BM106" i="16"/>
  <c r="BM107" i="16"/>
  <c r="BM108" i="16"/>
  <c r="BM109" i="16"/>
  <c r="BM110" i="16"/>
  <c r="BM111" i="16"/>
  <c r="BM112" i="16"/>
  <c r="BM113" i="16"/>
  <c r="BM114" i="16"/>
  <c r="BM115" i="16"/>
  <c r="BM104" i="16"/>
  <c r="BR115" i="16"/>
  <c r="BR105" i="16"/>
  <c r="BR106" i="16"/>
  <c r="BR107" i="16"/>
  <c r="BT107" i="16" s="1"/>
  <c r="BR108" i="16"/>
  <c r="BR109" i="16"/>
  <c r="BR110" i="16"/>
  <c r="BS110" i="16" s="1"/>
  <c r="BR111" i="16"/>
  <c r="BR112" i="16"/>
  <c r="BR113" i="16"/>
  <c r="BR114" i="16"/>
  <c r="BR104" i="16"/>
  <c r="BT104" i="16" s="1"/>
  <c r="CB57" i="15"/>
  <c r="CB76" i="15" s="1"/>
  <c r="CB95" i="15" s="1"/>
  <c r="CB45" i="15"/>
  <c r="CB64" i="15" s="1"/>
  <c r="CB83" i="15" s="1"/>
  <c r="BN84" i="15"/>
  <c r="BN85" i="15"/>
  <c r="BN86" i="15"/>
  <c r="BN87" i="15"/>
  <c r="BN88" i="15"/>
  <c r="BN89" i="15"/>
  <c r="BN90" i="15"/>
  <c r="BN91" i="15"/>
  <c r="BN92" i="15"/>
  <c r="BN93" i="15"/>
  <c r="BN94" i="15"/>
  <c r="BN83" i="15"/>
  <c r="BS75" i="15"/>
  <c r="BS65" i="15"/>
  <c r="BS66" i="15"/>
  <c r="BS67" i="15"/>
  <c r="BS68" i="15"/>
  <c r="BS69" i="15"/>
  <c r="BS70" i="15"/>
  <c r="BS71" i="15"/>
  <c r="BS72" i="15"/>
  <c r="BS73" i="15"/>
  <c r="BS74" i="15"/>
  <c r="BS64" i="15"/>
  <c r="BN65" i="15"/>
  <c r="BN66" i="15"/>
  <c r="BN67" i="15"/>
  <c r="BN68" i="15"/>
  <c r="BN69" i="15"/>
  <c r="BN70" i="15"/>
  <c r="BN71" i="15"/>
  <c r="BN72" i="15"/>
  <c r="BN73" i="15"/>
  <c r="BN74" i="15"/>
  <c r="BN75" i="15"/>
  <c r="BN64" i="15"/>
  <c r="BQ46" i="15"/>
  <c r="BQ47" i="15"/>
  <c r="BQ48" i="15"/>
  <c r="BQ49" i="15"/>
  <c r="BQ50" i="15"/>
  <c r="BQ51" i="15"/>
  <c r="BQ52" i="15"/>
  <c r="BQ53" i="15"/>
  <c r="BQ54" i="15"/>
  <c r="BQ55" i="15"/>
  <c r="BQ56" i="15"/>
  <c r="BQ45" i="15"/>
  <c r="BL46" i="15"/>
  <c r="BL47" i="15"/>
  <c r="BL48" i="15"/>
  <c r="BL49" i="15"/>
  <c r="BL50" i="15"/>
  <c r="BL51" i="15"/>
  <c r="BL52" i="15"/>
  <c r="BL53" i="15"/>
  <c r="BL54" i="15"/>
  <c r="BL55" i="15"/>
  <c r="BL56" i="15"/>
  <c r="BL45" i="15"/>
  <c r="BS27" i="15"/>
  <c r="BS28" i="15"/>
  <c r="BS29" i="15"/>
  <c r="BS30" i="15"/>
  <c r="BS31" i="15"/>
  <c r="BS32" i="15"/>
  <c r="BS33" i="15"/>
  <c r="BS34" i="15"/>
  <c r="BS35" i="15"/>
  <c r="BS36" i="15"/>
  <c r="BS37" i="15"/>
  <c r="BS26" i="15"/>
  <c r="BN27" i="15"/>
  <c r="BN28" i="15"/>
  <c r="BN29" i="15"/>
  <c r="BN30" i="15"/>
  <c r="BN31" i="15"/>
  <c r="BN32" i="15"/>
  <c r="BN33" i="15"/>
  <c r="BN34" i="15"/>
  <c r="BN35" i="15"/>
  <c r="BN36" i="15"/>
  <c r="BN37" i="15"/>
  <c r="BN26" i="15"/>
  <c r="BR491" i="16"/>
  <c r="BQ141" i="16"/>
  <c r="BS141" i="16" s="1"/>
  <c r="BN85" i="16"/>
  <c r="BL66" i="16"/>
  <c r="CB57" i="16"/>
  <c r="CB78" i="16" s="1"/>
  <c r="CB46" i="16"/>
  <c r="CB45" i="16"/>
  <c r="CB66" i="16" s="1"/>
  <c r="CB85" i="16" s="1"/>
  <c r="CB104" i="16" s="1"/>
  <c r="CB122" i="16" s="1"/>
  <c r="CB141" i="16" s="1"/>
  <c r="CB161" i="16" s="1"/>
  <c r="CB180" i="16" s="1"/>
  <c r="CB199" i="16" s="1"/>
  <c r="BO758" i="16"/>
  <c r="BO767" i="16"/>
  <c r="BO764" i="16"/>
  <c r="BO761" i="16"/>
  <c r="BW770" i="16"/>
  <c r="CC770" i="16" s="1"/>
  <c r="BT767" i="16"/>
  <c r="BT764" i="16"/>
  <c r="BT761" i="16"/>
  <c r="BM740" i="16"/>
  <c r="BN740" i="16" s="1"/>
  <c r="BM741" i="16"/>
  <c r="BN741" i="16" s="1"/>
  <c r="BM742" i="16"/>
  <c r="BN742" i="16" s="1"/>
  <c r="BM743" i="16"/>
  <c r="BN743" i="16" s="1"/>
  <c r="BM744" i="16"/>
  <c r="BN744" i="16" s="1"/>
  <c r="BM745" i="16"/>
  <c r="BN745" i="16" s="1"/>
  <c r="BM746" i="16"/>
  <c r="BM747" i="16"/>
  <c r="BN747" i="16" s="1"/>
  <c r="BM748" i="16"/>
  <c r="BN748" i="16" s="1"/>
  <c r="BM749" i="16"/>
  <c r="BN749" i="16" s="1"/>
  <c r="BM750" i="16"/>
  <c r="BN750" i="16" s="1"/>
  <c r="BR740" i="16"/>
  <c r="BS740" i="16" s="1"/>
  <c r="BR741" i="16"/>
  <c r="BS741" i="16" s="1"/>
  <c r="BR742" i="16"/>
  <c r="BT742" i="16" s="1"/>
  <c r="BR743" i="16"/>
  <c r="BS743" i="16" s="1"/>
  <c r="BR744" i="16"/>
  <c r="BS744" i="16" s="1"/>
  <c r="BR745" i="16"/>
  <c r="BS745" i="16" s="1"/>
  <c r="BR746" i="16"/>
  <c r="BS746" i="16" s="1"/>
  <c r="BR747" i="16"/>
  <c r="BS747" i="16" s="1"/>
  <c r="BR749" i="16"/>
  <c r="BS749" i="16" s="1"/>
  <c r="BR750" i="16"/>
  <c r="BS750" i="16" s="1"/>
  <c r="BN746" i="16"/>
  <c r="BN739" i="16"/>
  <c r="BS721" i="16"/>
  <c r="BS722" i="16"/>
  <c r="BS723" i="16"/>
  <c r="BS724" i="16"/>
  <c r="BS725" i="16"/>
  <c r="BS726" i="16"/>
  <c r="BS727" i="16"/>
  <c r="BS728" i="16"/>
  <c r="BS729" i="16"/>
  <c r="BS730" i="16"/>
  <c r="BS731" i="16"/>
  <c r="BS720" i="16"/>
  <c r="BN721" i="16"/>
  <c r="BN722" i="16"/>
  <c r="BN723" i="16"/>
  <c r="BN724" i="16"/>
  <c r="BN725" i="16"/>
  <c r="BN726" i="16"/>
  <c r="BN727" i="16"/>
  <c r="BN728" i="16"/>
  <c r="BN729" i="16"/>
  <c r="BN730" i="16"/>
  <c r="BN731" i="16"/>
  <c r="BN720" i="16"/>
  <c r="BQ702" i="16"/>
  <c r="BQ703" i="16"/>
  <c r="BQ704" i="16"/>
  <c r="BQ705" i="16"/>
  <c r="BQ706" i="16"/>
  <c r="BQ707" i="16"/>
  <c r="BQ709" i="16"/>
  <c r="BQ710" i="16"/>
  <c r="BQ711" i="16"/>
  <c r="BQ712" i="16"/>
  <c r="BQ701" i="16"/>
  <c r="BL702" i="16"/>
  <c r="BL703" i="16"/>
  <c r="BL704" i="16"/>
  <c r="BL705" i="16"/>
  <c r="BL706" i="16"/>
  <c r="BL707" i="16"/>
  <c r="BL708" i="16"/>
  <c r="BL709" i="16"/>
  <c r="BL710" i="16"/>
  <c r="BL711" i="16"/>
  <c r="BL712" i="16"/>
  <c r="BL701" i="16"/>
  <c r="BR689" i="16"/>
  <c r="BS689" i="16" s="1"/>
  <c r="BR683" i="16"/>
  <c r="BS683" i="16" s="1"/>
  <c r="BR684" i="16"/>
  <c r="BS684" i="16" s="1"/>
  <c r="BR685" i="16"/>
  <c r="BT685" i="16" s="1"/>
  <c r="BR686" i="16"/>
  <c r="BS686" i="16" s="1"/>
  <c r="BR687" i="16"/>
  <c r="BS687" i="16" s="1"/>
  <c r="BR688" i="16"/>
  <c r="BS688" i="16" s="1"/>
  <c r="BR690" i="16"/>
  <c r="BS690" i="16" s="1"/>
  <c r="BR691" i="16"/>
  <c r="BS691" i="16" s="1"/>
  <c r="BR692" i="16"/>
  <c r="BS692" i="16" s="1"/>
  <c r="BM683" i="16"/>
  <c r="BN683" i="16" s="1"/>
  <c r="BM684" i="16"/>
  <c r="BN684" i="16" s="1"/>
  <c r="BM685" i="16"/>
  <c r="BN685" i="16" s="1"/>
  <c r="BM687" i="16"/>
  <c r="BN687" i="16" s="1"/>
  <c r="BM688" i="16"/>
  <c r="BN688" i="16" s="1"/>
  <c r="BM689" i="16"/>
  <c r="BN689" i="16" s="1"/>
  <c r="BM690" i="16"/>
  <c r="BN690" i="16" s="1"/>
  <c r="BM691" i="16"/>
  <c r="BN691" i="16" s="1"/>
  <c r="BM692" i="16"/>
  <c r="BN692" i="16" s="1"/>
  <c r="BM693" i="16"/>
  <c r="BN693" i="16" s="1"/>
  <c r="BM682" i="16"/>
  <c r="BN682" i="16" s="1"/>
  <c r="BS664" i="16"/>
  <c r="BS665" i="16"/>
  <c r="BS666" i="16"/>
  <c r="BS667" i="16"/>
  <c r="BS668" i="16"/>
  <c r="BS669" i="16"/>
  <c r="BS670" i="16"/>
  <c r="BS671" i="16"/>
  <c r="BS672" i="16"/>
  <c r="BS673" i="16"/>
  <c r="BS674" i="16"/>
  <c r="BS663" i="16"/>
  <c r="BN664" i="16"/>
  <c r="BN665" i="16"/>
  <c r="BN666" i="16"/>
  <c r="BN667" i="16"/>
  <c r="BN668" i="16"/>
  <c r="BN669" i="16"/>
  <c r="BN670" i="16"/>
  <c r="BN671" i="16"/>
  <c r="BN672" i="16"/>
  <c r="BN673" i="16"/>
  <c r="BN674" i="16"/>
  <c r="BN663" i="16"/>
  <c r="BQ645" i="16"/>
  <c r="BQ646" i="16"/>
  <c r="BQ647" i="16"/>
  <c r="BQ648" i="16"/>
  <c r="BQ649" i="16"/>
  <c r="BQ650" i="16"/>
  <c r="BQ651" i="16"/>
  <c r="BQ652" i="16"/>
  <c r="BQ653" i="16"/>
  <c r="BQ654" i="16"/>
  <c r="BQ655" i="16"/>
  <c r="BL655" i="16"/>
  <c r="BL645" i="16"/>
  <c r="BL646" i="16"/>
  <c r="BL647" i="16"/>
  <c r="BL648" i="16"/>
  <c r="BL649" i="16"/>
  <c r="BL650" i="16"/>
  <c r="BL651" i="16"/>
  <c r="BL652" i="16"/>
  <c r="BL653" i="16"/>
  <c r="BL654" i="16"/>
  <c r="BL644" i="16"/>
  <c r="BS626" i="16"/>
  <c r="BS627" i="16"/>
  <c r="BS628" i="16"/>
  <c r="BS629" i="16"/>
  <c r="BQ626" i="16"/>
  <c r="BQ628" i="16"/>
  <c r="BQ629" i="16"/>
  <c r="BQ630" i="16"/>
  <c r="BS630" i="16" s="1"/>
  <c r="BQ632" i="16"/>
  <c r="BS632" i="16" s="1"/>
  <c r="BQ633" i="16"/>
  <c r="BS633" i="16" s="1"/>
  <c r="BQ634" i="16"/>
  <c r="BS634" i="16" s="1"/>
  <c r="BQ635" i="16"/>
  <c r="BS635" i="16" s="1"/>
  <c r="BQ625" i="16"/>
  <c r="BS625" i="16" s="1"/>
  <c r="BN627" i="16"/>
  <c r="BL626" i="16"/>
  <c r="BN626" i="16" s="1"/>
  <c r="BL628" i="16"/>
  <c r="BN628" i="16" s="1"/>
  <c r="BL629" i="16"/>
  <c r="BN629" i="16" s="1"/>
  <c r="BL630" i="16"/>
  <c r="BN630" i="16" s="1"/>
  <c r="BL631" i="16"/>
  <c r="BN631" i="16" s="1"/>
  <c r="BL632" i="16"/>
  <c r="BN632" i="16" s="1"/>
  <c r="BL633" i="16"/>
  <c r="BN633" i="16" s="1"/>
  <c r="BL634" i="16"/>
  <c r="BN634" i="16" s="1"/>
  <c r="BL635" i="16"/>
  <c r="BN635" i="16" s="1"/>
  <c r="BS617" i="16"/>
  <c r="BN617" i="16"/>
  <c r="BS607" i="16"/>
  <c r="BS608" i="16"/>
  <c r="BS609" i="16"/>
  <c r="BS610" i="16"/>
  <c r="BS611" i="16"/>
  <c r="BS612" i="16"/>
  <c r="BS613" i="16"/>
  <c r="BS614" i="16"/>
  <c r="BS615" i="16"/>
  <c r="BS616" i="16"/>
  <c r="BS606" i="16"/>
  <c r="BN607" i="16"/>
  <c r="BN608" i="16"/>
  <c r="BN609" i="16"/>
  <c r="BN610" i="16"/>
  <c r="BN611" i="16"/>
  <c r="BN612" i="16"/>
  <c r="BN613" i="16"/>
  <c r="BN614" i="16"/>
  <c r="BN615" i="16"/>
  <c r="BN616" i="16"/>
  <c r="BN606" i="16"/>
  <c r="BS597" i="16"/>
  <c r="BM587" i="16"/>
  <c r="BM588" i="16"/>
  <c r="BM589" i="16"/>
  <c r="BN589" i="16" s="1"/>
  <c r="BM590" i="16"/>
  <c r="BN590" i="16" s="1"/>
  <c r="BM591" i="16"/>
  <c r="BN591" i="16" s="1"/>
  <c r="BM592" i="16"/>
  <c r="BN592" i="16" s="1"/>
  <c r="BM593" i="16"/>
  <c r="BN593" i="16" s="1"/>
  <c r="BM594" i="16"/>
  <c r="BN594" i="16" s="1"/>
  <c r="BM595" i="16"/>
  <c r="BN595" i="16" s="1"/>
  <c r="BM596" i="16"/>
  <c r="BN596" i="16" s="1"/>
  <c r="BN597" i="16"/>
  <c r="BM586" i="16"/>
  <c r="BN586" i="16" s="1"/>
  <c r="BR587" i="16"/>
  <c r="BS587" i="16" s="1"/>
  <c r="BR588" i="16"/>
  <c r="BS588" i="16" s="1"/>
  <c r="BR589" i="16"/>
  <c r="BT589" i="16" s="1"/>
  <c r="BR590" i="16"/>
  <c r="BS590" i="16" s="1"/>
  <c r="BR591" i="16"/>
  <c r="BS591" i="16" s="1"/>
  <c r="BR592" i="16"/>
  <c r="BT592" i="16" s="1"/>
  <c r="BR593" i="16"/>
  <c r="BS593" i="16" s="1"/>
  <c r="BR594" i="16"/>
  <c r="BS594" i="16" s="1"/>
  <c r="BR595" i="16"/>
  <c r="BR596" i="16"/>
  <c r="BS596" i="16" s="1"/>
  <c r="BN587" i="16"/>
  <c r="BN588" i="16"/>
  <c r="BS568" i="16"/>
  <c r="BS569" i="16"/>
  <c r="BS570" i="16"/>
  <c r="BS571" i="16"/>
  <c r="BS572" i="16"/>
  <c r="BS573" i="16"/>
  <c r="BS574" i="16"/>
  <c r="BS575" i="16"/>
  <c r="BS576" i="16"/>
  <c r="BS577" i="16"/>
  <c r="BS578" i="16"/>
  <c r="BS567" i="16"/>
  <c r="BN568" i="16"/>
  <c r="BN569" i="16"/>
  <c r="BN570" i="16"/>
  <c r="BN571" i="16"/>
  <c r="BN572" i="16"/>
  <c r="BN573" i="16"/>
  <c r="BN574" i="16"/>
  <c r="BN575" i="16"/>
  <c r="BN576" i="16"/>
  <c r="BN577" i="16"/>
  <c r="BN578" i="16"/>
  <c r="BN567" i="16"/>
  <c r="BQ549" i="16"/>
  <c r="BQ550" i="16"/>
  <c r="BQ551" i="16"/>
  <c r="BQ552" i="16"/>
  <c r="BQ553" i="16"/>
  <c r="BQ554" i="16"/>
  <c r="BQ555" i="16"/>
  <c r="BQ556" i="16"/>
  <c r="BQ557" i="16"/>
  <c r="BQ558" i="16"/>
  <c r="BQ559" i="16"/>
  <c r="BQ548" i="16"/>
  <c r="BL549" i="16"/>
  <c r="BL550" i="16"/>
  <c r="BL551" i="16"/>
  <c r="BL552" i="16"/>
  <c r="BL553" i="16"/>
  <c r="BL554" i="16"/>
  <c r="BL555" i="16"/>
  <c r="BL556" i="16"/>
  <c r="BL557" i="16"/>
  <c r="BL558" i="16"/>
  <c r="BL559" i="16"/>
  <c r="BL548" i="16"/>
  <c r="BS536" i="16"/>
  <c r="BS537" i="16"/>
  <c r="BS528" i="16"/>
  <c r="BQ539" i="16"/>
  <c r="BS539" i="16" s="1"/>
  <c r="BQ529" i="16"/>
  <c r="BS529" i="16" s="1"/>
  <c r="BQ530" i="16"/>
  <c r="BS530" i="16" s="1"/>
  <c r="BQ531" i="16"/>
  <c r="BS531" i="16" s="1"/>
  <c r="BQ532" i="16"/>
  <c r="BS532" i="16" s="1"/>
  <c r="BQ533" i="16"/>
  <c r="BS533" i="16" s="1"/>
  <c r="BQ534" i="16"/>
  <c r="BS534" i="16" s="1"/>
  <c r="BQ535" i="16"/>
  <c r="BS535" i="16" s="1"/>
  <c r="BQ536" i="16"/>
  <c r="BQ537" i="16"/>
  <c r="BQ538" i="16"/>
  <c r="BS538" i="16" s="1"/>
  <c r="BN529" i="16"/>
  <c r="BN530" i="16"/>
  <c r="BN531" i="16"/>
  <c r="BN532" i="16"/>
  <c r="BN533" i="16"/>
  <c r="BN534" i="16"/>
  <c r="BN537" i="16"/>
  <c r="BN528" i="16"/>
  <c r="BS510" i="16"/>
  <c r="BS511" i="16"/>
  <c r="BS512" i="16"/>
  <c r="BS513" i="16"/>
  <c r="BS514" i="16"/>
  <c r="BS515" i="16"/>
  <c r="BS516" i="16"/>
  <c r="BS517" i="16"/>
  <c r="BS518" i="16"/>
  <c r="BS519" i="16"/>
  <c r="BS520" i="16"/>
  <c r="BS509" i="16"/>
  <c r="BN510" i="16"/>
  <c r="BN511" i="16"/>
  <c r="BN512" i="16"/>
  <c r="BN513" i="16"/>
  <c r="BN514" i="16"/>
  <c r="BN515" i="16"/>
  <c r="BN516" i="16"/>
  <c r="BN517" i="16"/>
  <c r="BN518" i="16"/>
  <c r="BN519" i="16"/>
  <c r="BN520" i="16"/>
  <c r="BN509" i="16"/>
  <c r="BR500" i="16"/>
  <c r="BS500" i="16" s="1"/>
  <c r="BR490" i="16"/>
  <c r="BS490" i="16" s="1"/>
  <c r="BS491" i="16"/>
  <c r="BR492" i="16"/>
  <c r="BS492" i="16" s="1"/>
  <c r="BR493" i="16"/>
  <c r="BS493" i="16" s="1"/>
  <c r="BR494" i="16"/>
  <c r="BS494" i="16" s="1"/>
  <c r="BR496" i="16"/>
  <c r="BS496" i="16" s="1"/>
  <c r="BR497" i="16"/>
  <c r="BS497" i="16" s="1"/>
  <c r="BR498" i="16"/>
  <c r="BS498" i="16" s="1"/>
  <c r="BR499" i="16"/>
  <c r="BS499" i="16" s="1"/>
  <c r="BS481" i="16"/>
  <c r="BS471" i="16"/>
  <c r="BS472" i="16"/>
  <c r="BS473" i="16"/>
  <c r="BS474" i="16"/>
  <c r="BS475" i="16"/>
  <c r="BS476" i="16"/>
  <c r="BS477" i="16"/>
  <c r="BS478" i="16"/>
  <c r="BS479" i="16"/>
  <c r="BS480" i="16"/>
  <c r="BS470" i="16"/>
  <c r="BN471" i="16"/>
  <c r="BN472" i="16"/>
  <c r="BN473" i="16"/>
  <c r="BN474" i="16"/>
  <c r="BN475" i="16"/>
  <c r="BN476" i="16"/>
  <c r="BN477" i="16"/>
  <c r="BN478" i="16"/>
  <c r="BN479" i="16"/>
  <c r="BN480" i="16"/>
  <c r="BN481" i="16"/>
  <c r="BN470" i="16"/>
  <c r="BQ452" i="16"/>
  <c r="BQ453" i="16"/>
  <c r="BQ454" i="16"/>
  <c r="BQ455" i="16"/>
  <c r="BQ456" i="16"/>
  <c r="BQ457" i="16"/>
  <c r="BQ458" i="16"/>
  <c r="BQ459" i="16"/>
  <c r="BQ460" i="16"/>
  <c r="BQ461" i="16"/>
  <c r="BQ462" i="16"/>
  <c r="BQ451" i="16"/>
  <c r="BL452" i="16"/>
  <c r="BL453" i="16"/>
  <c r="BL454" i="16"/>
  <c r="BL455" i="16"/>
  <c r="BL456" i="16"/>
  <c r="BL457" i="16"/>
  <c r="BL458" i="16"/>
  <c r="BL459" i="16"/>
  <c r="BL460" i="16"/>
  <c r="BL461" i="16"/>
  <c r="BL462" i="16"/>
  <c r="BL451" i="16"/>
  <c r="BN433" i="16"/>
  <c r="BN434" i="16"/>
  <c r="BN435" i="16"/>
  <c r="BN436" i="16"/>
  <c r="BN437" i="16"/>
  <c r="BN438" i="16"/>
  <c r="BS432" i="16"/>
  <c r="BS433" i="16"/>
  <c r="BS434" i="16"/>
  <c r="BS435" i="16"/>
  <c r="BS436" i="16"/>
  <c r="BS437" i="16"/>
  <c r="BS438" i="16"/>
  <c r="BS439" i="16"/>
  <c r="BS441" i="16"/>
  <c r="BQ432" i="16"/>
  <c r="BQ434" i="16"/>
  <c r="BQ435" i="16"/>
  <c r="BQ436" i="16"/>
  <c r="BQ437" i="16"/>
  <c r="BQ438" i="16"/>
  <c r="BQ439" i="16"/>
  <c r="BQ440" i="16"/>
  <c r="BS440" i="16" s="1"/>
  <c r="BQ441" i="16"/>
  <c r="BQ442" i="16"/>
  <c r="BS442" i="16" s="1"/>
  <c r="BS739" i="16" l="1"/>
  <c r="BS682" i="16"/>
  <c r="CB219" i="16"/>
  <c r="CB238" i="16" s="1"/>
  <c r="CB258" i="16" s="1"/>
  <c r="CB277" i="16" s="1"/>
  <c r="CB296" i="16" s="1"/>
  <c r="BO701" i="16"/>
  <c r="BS592" i="16"/>
  <c r="BS589" i="16"/>
  <c r="BT199" i="16"/>
  <c r="BO199" i="16"/>
  <c r="BT710" i="16"/>
  <c r="BT208" i="16"/>
  <c r="BT748" i="16"/>
  <c r="BS685" i="16"/>
  <c r="BS748" i="16"/>
  <c r="BT113" i="16"/>
  <c r="BT595" i="16"/>
  <c r="BS742" i="16"/>
  <c r="BT305" i="16"/>
  <c r="BT402" i="16"/>
  <c r="BT498" i="16"/>
  <c r="BT489" i="16"/>
  <c r="BT492" i="16"/>
  <c r="BT688" i="16"/>
  <c r="BT586" i="16"/>
  <c r="BT691" i="16"/>
  <c r="BS595" i="16"/>
  <c r="BT399" i="16"/>
  <c r="BT302" i="16"/>
  <c r="BT110" i="16"/>
  <c r="BT745" i="16"/>
  <c r="BT495" i="16"/>
  <c r="CC769" i="16"/>
  <c r="CB316" i="16" l="1"/>
  <c r="CB335" i="16" s="1"/>
  <c r="CB355" i="16" s="1"/>
  <c r="CC768" i="16"/>
  <c r="CB374" i="16" l="1"/>
  <c r="CB393" i="16" s="1"/>
  <c r="CB412" i="16" s="1"/>
  <c r="CB431" i="16" s="1"/>
  <c r="CB451" i="16" s="1"/>
  <c r="CB470" i="16" s="1"/>
  <c r="CB489" i="16" s="1"/>
  <c r="CC767" i="16"/>
  <c r="CB509" i="16" l="1"/>
  <c r="CB528" i="16" s="1"/>
  <c r="CB548" i="16" s="1"/>
  <c r="CB567" i="16" s="1"/>
  <c r="CB586" i="16" s="1"/>
  <c r="CC766" i="16"/>
  <c r="CB606" i="16" l="1"/>
  <c r="CB625" i="16" s="1"/>
  <c r="CB644" i="16" s="1"/>
  <c r="CB663" i="16" s="1"/>
  <c r="CB682" i="16" s="1"/>
  <c r="CC765" i="16"/>
  <c r="CB701" i="16" l="1"/>
  <c r="CB720" i="16" s="1"/>
  <c r="CB739" i="16" s="1"/>
  <c r="CB758" i="16" s="1"/>
  <c r="CQ777" i="16" s="1"/>
  <c r="CH777" i="16" s="1"/>
  <c r="CC764" i="16"/>
  <c r="CO778" i="16" l="1"/>
  <c r="CN787" i="16"/>
  <c r="CL785" i="16"/>
  <c r="CJ783" i="16"/>
  <c r="CI786" i="16"/>
  <c r="CO779" i="16"/>
  <c r="CN788" i="16"/>
  <c r="CL786" i="16"/>
  <c r="CJ784" i="16"/>
  <c r="CI787" i="16"/>
  <c r="CO780" i="16"/>
  <c r="CM778" i="16"/>
  <c r="CL787" i="16"/>
  <c r="CJ785" i="16"/>
  <c r="CI788" i="16"/>
  <c r="CN780" i="16"/>
  <c r="CN782" i="16"/>
  <c r="CJ779" i="16"/>
  <c r="CP786" i="16"/>
  <c r="CJ780" i="16"/>
  <c r="CP787" i="16"/>
  <c r="CL783" i="16"/>
  <c r="CI784" i="16"/>
  <c r="CP788" i="16"/>
  <c r="CL784" i="16"/>
  <c r="CI785" i="16"/>
  <c r="CO781" i="16"/>
  <c r="CM779" i="16"/>
  <c r="CL788" i="16"/>
  <c r="CJ786" i="16"/>
  <c r="CI777" i="16"/>
  <c r="CO782" i="16"/>
  <c r="CM780" i="16"/>
  <c r="CK778" i="16"/>
  <c r="CJ787" i="16"/>
  <c r="CO783" i="16"/>
  <c r="CM781" i="16"/>
  <c r="CK779" i="16"/>
  <c r="CJ788" i="16"/>
  <c r="CP777" i="16"/>
  <c r="CM784" i="16"/>
  <c r="CK782" i="16"/>
  <c r="CP778" i="16"/>
  <c r="CO787" i="16"/>
  <c r="CM785" i="16"/>
  <c r="CM777" i="16"/>
  <c r="CP779" i="16"/>
  <c r="CO788" i="16"/>
  <c r="CM786" i="16"/>
  <c r="CN777" i="16"/>
  <c r="CP780" i="16"/>
  <c r="CN778" i="16"/>
  <c r="CK785" i="16"/>
  <c r="CO777" i="16"/>
  <c r="CP781" i="16"/>
  <c r="CN779" i="16"/>
  <c r="CK786" i="16"/>
  <c r="CI778" i="16"/>
  <c r="CP782" i="16"/>
  <c r="CL778" i="16"/>
  <c r="CK787" i="16"/>
  <c r="CP783" i="16"/>
  <c r="CN781" i="16"/>
  <c r="CL779" i="16"/>
  <c r="CI780" i="16"/>
  <c r="CP784" i="16"/>
  <c r="CL780" i="16"/>
  <c r="CJ778" i="16"/>
  <c r="CI781" i="16"/>
  <c r="CP785" i="16"/>
  <c r="CL781" i="16"/>
  <c r="CI782" i="16"/>
  <c r="CO784" i="16"/>
  <c r="CM782" i="16"/>
  <c r="CK780" i="16"/>
  <c r="CJ777" i="16"/>
  <c r="CO785" i="16"/>
  <c r="CM783" i="16"/>
  <c r="CK781" i="16"/>
  <c r="CK777" i="16"/>
  <c r="CO786" i="16"/>
  <c r="CL777" i="16"/>
  <c r="CK783" i="16"/>
  <c r="CK784" i="16"/>
  <c r="CM787" i="16"/>
  <c r="CM788" i="16"/>
  <c r="CI779" i="16"/>
  <c r="CK788" i="16"/>
  <c r="CN783" i="16"/>
  <c r="CN784" i="16"/>
  <c r="CL782" i="16"/>
  <c r="CI783" i="16"/>
  <c r="CN785" i="16"/>
  <c r="CJ781" i="16"/>
  <c r="CN786" i="16"/>
  <c r="CJ782" i="16"/>
  <c r="CC763" i="16"/>
  <c r="CC762" i="16" l="1"/>
  <c r="CC761" i="16" s="1"/>
  <c r="CC760" i="16" s="1"/>
  <c r="CC759" i="16" s="1"/>
  <c r="CC758" i="16" s="1"/>
  <c r="BX758" i="16" s="1"/>
  <c r="BS413" i="16" l="1"/>
  <c r="BS414" i="16"/>
  <c r="BS415" i="16"/>
  <c r="BS416" i="16"/>
  <c r="BS417" i="16"/>
  <c r="BS418" i="16"/>
  <c r="BS419" i="16"/>
  <c r="BS420" i="16"/>
  <c r="BS421" i="16"/>
  <c r="BS422" i="16"/>
  <c r="BS423" i="16"/>
  <c r="BS412" i="16"/>
  <c r="BN413" i="16"/>
  <c r="BN414" i="16"/>
  <c r="BN415" i="16"/>
  <c r="BN416" i="16"/>
  <c r="BN417" i="16"/>
  <c r="BN418" i="16"/>
  <c r="BN419" i="16"/>
  <c r="BN420" i="16"/>
  <c r="BN421" i="16"/>
  <c r="BN422" i="16"/>
  <c r="BN423" i="16"/>
  <c r="BN412" i="16"/>
  <c r="BS394" i="16"/>
  <c r="BS395" i="16"/>
  <c r="BS396" i="16"/>
  <c r="BS397" i="16"/>
  <c r="BS398" i="16"/>
  <c r="BS399" i="16"/>
  <c r="BS400" i="16"/>
  <c r="BS401" i="16"/>
  <c r="BS402" i="16"/>
  <c r="BS403" i="16"/>
  <c r="BS393" i="16"/>
  <c r="BN394" i="16"/>
  <c r="BN395" i="16"/>
  <c r="BN396" i="16"/>
  <c r="BN397" i="16"/>
  <c r="BN398" i="16"/>
  <c r="BN399" i="16"/>
  <c r="BN400" i="16"/>
  <c r="BN401" i="16"/>
  <c r="BN402" i="16"/>
  <c r="BN403" i="16"/>
  <c r="BN404" i="16"/>
  <c r="BN393" i="16"/>
  <c r="BS375" i="16"/>
  <c r="BS376" i="16"/>
  <c r="BS377" i="16"/>
  <c r="BS378" i="16"/>
  <c r="BS379" i="16"/>
  <c r="BS380" i="16"/>
  <c r="BS381" i="16"/>
  <c r="BS382" i="16"/>
  <c r="BS383" i="16"/>
  <c r="BS384" i="16"/>
  <c r="BS385" i="16"/>
  <c r="BS374" i="16"/>
  <c r="BN375" i="16"/>
  <c r="BN376" i="16"/>
  <c r="BN377" i="16"/>
  <c r="BN378" i="16"/>
  <c r="BN379" i="16"/>
  <c r="BN380" i="16"/>
  <c r="BN381" i="16"/>
  <c r="BN382" i="16"/>
  <c r="BN383" i="16"/>
  <c r="BN384" i="16"/>
  <c r="BN385" i="16"/>
  <c r="BN374" i="16"/>
  <c r="BQ356" i="16"/>
  <c r="BQ357" i="16"/>
  <c r="BQ358" i="16"/>
  <c r="BQ359" i="16"/>
  <c r="BQ360" i="16"/>
  <c r="BQ361" i="16"/>
  <c r="BQ362" i="16"/>
  <c r="BQ363" i="16"/>
  <c r="BQ364" i="16"/>
  <c r="BQ365" i="16"/>
  <c r="BQ366" i="16"/>
  <c r="BQ355" i="16"/>
  <c r="BL356" i="16"/>
  <c r="BL357" i="16"/>
  <c r="BL358" i="16"/>
  <c r="BL359" i="16"/>
  <c r="BL360" i="16"/>
  <c r="BL361" i="16"/>
  <c r="BL362" i="16"/>
  <c r="BL363" i="16"/>
  <c r="BL364" i="16"/>
  <c r="BL365" i="16"/>
  <c r="BL366" i="16"/>
  <c r="BS336" i="16"/>
  <c r="BS337" i="16"/>
  <c r="BS338" i="16"/>
  <c r="BS345" i="16"/>
  <c r="BS346" i="16"/>
  <c r="BS335" i="16"/>
  <c r="BQ337" i="16"/>
  <c r="BQ338" i="16"/>
  <c r="BQ339" i="16"/>
  <c r="BS339" i="16" s="1"/>
  <c r="BQ340" i="16"/>
  <c r="BS340" i="16" s="1"/>
  <c r="BQ341" i="16"/>
  <c r="BS341" i="16" s="1"/>
  <c r="BQ342" i="16"/>
  <c r="BS342" i="16" s="1"/>
  <c r="BQ343" i="16"/>
  <c r="BS343" i="16" s="1"/>
  <c r="BQ344" i="16"/>
  <c r="BS344" i="16" s="1"/>
  <c r="BQ346" i="16"/>
  <c r="BN336" i="16"/>
  <c r="BN337" i="16"/>
  <c r="BN338" i="16"/>
  <c r="BN339" i="16"/>
  <c r="BN340" i="16"/>
  <c r="BN341" i="16"/>
  <c r="BN342" i="16"/>
  <c r="BN343" i="16"/>
  <c r="BN344" i="16"/>
  <c r="BN345" i="16"/>
  <c r="BN346" i="16"/>
  <c r="BN335" i="16"/>
  <c r="BS317" i="16"/>
  <c r="BS318" i="16"/>
  <c r="BS319" i="16"/>
  <c r="BS320" i="16"/>
  <c r="BS321" i="16"/>
  <c r="BS322" i="16"/>
  <c r="BS323" i="16"/>
  <c r="BS324" i="16"/>
  <c r="BS325" i="16"/>
  <c r="BS326" i="16"/>
  <c r="BS327" i="16"/>
  <c r="BS316" i="16"/>
  <c r="BN317" i="16"/>
  <c r="BN318" i="16"/>
  <c r="BN319" i="16"/>
  <c r="BN320" i="16"/>
  <c r="BN321" i="16"/>
  <c r="BN322" i="16"/>
  <c r="BN323" i="16"/>
  <c r="BN324" i="16"/>
  <c r="BN325" i="16"/>
  <c r="BN326" i="16"/>
  <c r="BN327" i="16"/>
  <c r="BN316" i="16"/>
  <c r="BS297" i="16"/>
  <c r="BS298" i="16"/>
  <c r="BS299" i="16"/>
  <c r="BS300" i="16"/>
  <c r="BS301" i="16"/>
  <c r="BS302" i="16"/>
  <c r="BS303" i="16"/>
  <c r="BS304" i="16"/>
  <c r="BS305" i="16"/>
  <c r="BS306" i="16"/>
  <c r="BS307" i="16"/>
  <c r="BS296" i="16"/>
  <c r="BN297" i="16"/>
  <c r="BN298" i="16"/>
  <c r="BN299" i="16"/>
  <c r="BN300" i="16"/>
  <c r="BN301" i="16"/>
  <c r="BN302" i="16"/>
  <c r="BN303" i="16"/>
  <c r="BN304" i="16"/>
  <c r="BN305" i="16"/>
  <c r="BN306" i="16"/>
  <c r="BN307" i="16"/>
  <c r="BN296" i="16"/>
  <c r="BS278" i="16"/>
  <c r="BS279" i="16"/>
  <c r="BS280" i="16"/>
  <c r="BS281" i="16"/>
  <c r="BS282" i="16"/>
  <c r="BS283" i="16"/>
  <c r="BS284" i="16"/>
  <c r="BS285" i="16"/>
  <c r="BS286" i="16"/>
  <c r="BS287" i="16"/>
  <c r="BS288" i="16"/>
  <c r="BS277" i="16"/>
  <c r="BN278" i="16"/>
  <c r="BN279" i="16"/>
  <c r="BN280" i="16"/>
  <c r="BN281" i="16"/>
  <c r="BN282" i="16"/>
  <c r="BN283" i="16"/>
  <c r="BN284" i="16"/>
  <c r="BN285" i="16"/>
  <c r="BN286" i="16"/>
  <c r="BN287" i="16"/>
  <c r="BN288" i="16"/>
  <c r="BN277" i="16"/>
  <c r="BQ259" i="16"/>
  <c r="BQ260" i="16"/>
  <c r="BQ261" i="16"/>
  <c r="BQ262" i="16"/>
  <c r="BQ263" i="16"/>
  <c r="BQ264" i="16"/>
  <c r="BQ265" i="16"/>
  <c r="BQ266" i="16"/>
  <c r="BQ267" i="16"/>
  <c r="BQ268" i="16"/>
  <c r="BQ269" i="16"/>
  <c r="BQ258" i="16"/>
  <c r="BL259" i="16"/>
  <c r="BL260" i="16"/>
  <c r="BL261" i="16"/>
  <c r="BL262" i="16"/>
  <c r="BL263" i="16"/>
  <c r="BL264" i="16"/>
  <c r="BL265" i="16"/>
  <c r="BL266" i="16"/>
  <c r="BL267" i="16"/>
  <c r="BL268" i="16"/>
  <c r="BL269" i="16"/>
  <c r="BL258" i="16"/>
  <c r="BS241" i="16"/>
  <c r="BS242" i="16"/>
  <c r="BS243" i="16"/>
  <c r="BQ239" i="16"/>
  <c r="BS239" i="16" s="1"/>
  <c r="BQ240" i="16"/>
  <c r="BS240" i="16" s="1"/>
  <c r="BQ242" i="16"/>
  <c r="BQ243" i="16"/>
  <c r="BQ244" i="16"/>
  <c r="BS244" i="16" s="1"/>
  <c r="BQ245" i="16"/>
  <c r="BS245" i="16" s="1"/>
  <c r="BQ246" i="16"/>
  <c r="BS246" i="16" s="1"/>
  <c r="BQ247" i="16"/>
  <c r="BS247" i="16" s="1"/>
  <c r="BQ248" i="16"/>
  <c r="BS248" i="16" s="1"/>
  <c r="BQ249" i="16"/>
  <c r="BS249" i="16" s="1"/>
  <c r="BQ238" i="16"/>
  <c r="BS238" i="16" s="1"/>
  <c r="BN239" i="16"/>
  <c r="BN240" i="16"/>
  <c r="BN241" i="16"/>
  <c r="BN242" i="16"/>
  <c r="BN243" i="16"/>
  <c r="BN244" i="16"/>
  <c r="BN245" i="16"/>
  <c r="BN246" i="16"/>
  <c r="BN247" i="16"/>
  <c r="BN248" i="16"/>
  <c r="BN249" i="16"/>
  <c r="BN238" i="16"/>
  <c r="BS220" i="16"/>
  <c r="BS221" i="16"/>
  <c r="BS222" i="16"/>
  <c r="BS223" i="16"/>
  <c r="BS224" i="16"/>
  <c r="BS225" i="16"/>
  <c r="BS226" i="16"/>
  <c r="BS227" i="16"/>
  <c r="BS228" i="16"/>
  <c r="BS229" i="16"/>
  <c r="BS230" i="16"/>
  <c r="BS219" i="16"/>
  <c r="BN220" i="16"/>
  <c r="BN221" i="16"/>
  <c r="BN222" i="16"/>
  <c r="BN223" i="16"/>
  <c r="BN224" i="16"/>
  <c r="BN225" i="16"/>
  <c r="BN226" i="16"/>
  <c r="BN227" i="16"/>
  <c r="BN228" i="16"/>
  <c r="BN229" i="16"/>
  <c r="BN230" i="16"/>
  <c r="BN219" i="16"/>
  <c r="BS200" i="16"/>
  <c r="BS201" i="16"/>
  <c r="BS202" i="16"/>
  <c r="BS203" i="16"/>
  <c r="BS204" i="16"/>
  <c r="BS205" i="16"/>
  <c r="BS206" i="16"/>
  <c r="BS207" i="16"/>
  <c r="BS208" i="16"/>
  <c r="BS209" i="16"/>
  <c r="BS210" i="16"/>
  <c r="BS199" i="16"/>
  <c r="BN200" i="16"/>
  <c r="BN201" i="16"/>
  <c r="BN202" i="16"/>
  <c r="BN203" i="16"/>
  <c r="BN204" i="16"/>
  <c r="BN205" i="16"/>
  <c r="BN206" i="16"/>
  <c r="BN207" i="16"/>
  <c r="BN208" i="16"/>
  <c r="BN209" i="16"/>
  <c r="BN210" i="16"/>
  <c r="BN199" i="16"/>
  <c r="BS181" i="16"/>
  <c r="BS182" i="16"/>
  <c r="BS183" i="16"/>
  <c r="BS184" i="16"/>
  <c r="BS185" i="16"/>
  <c r="BS186" i="16"/>
  <c r="BS187" i="16"/>
  <c r="BS188" i="16"/>
  <c r="BS189" i="16"/>
  <c r="BS190" i="16"/>
  <c r="BS191" i="16"/>
  <c r="BS180" i="16"/>
  <c r="BN181" i="16"/>
  <c r="BN182" i="16"/>
  <c r="BN183" i="16"/>
  <c r="BN184" i="16"/>
  <c r="BN185" i="16"/>
  <c r="BN186" i="16"/>
  <c r="BN187" i="16"/>
  <c r="BN188" i="16"/>
  <c r="BN189" i="16"/>
  <c r="BN190" i="16"/>
  <c r="BN191" i="16"/>
  <c r="BN180" i="16"/>
  <c r="BQ167" i="16"/>
  <c r="BQ162" i="16"/>
  <c r="BQ163" i="16"/>
  <c r="BQ164" i="16"/>
  <c r="BQ165" i="16"/>
  <c r="BQ166" i="16"/>
  <c r="BQ168" i="16"/>
  <c r="BQ169" i="16"/>
  <c r="BQ170" i="16"/>
  <c r="BQ171" i="16"/>
  <c r="BQ172" i="16"/>
  <c r="BQ161" i="16"/>
  <c r="BL162" i="16"/>
  <c r="BL163" i="16"/>
  <c r="BL164" i="16"/>
  <c r="BL165" i="16"/>
  <c r="BL166" i="16"/>
  <c r="BL167" i="16"/>
  <c r="BL168" i="16"/>
  <c r="BL169" i="16"/>
  <c r="BL170" i="16"/>
  <c r="BL171" i="16"/>
  <c r="BL172" i="16"/>
  <c r="BL161" i="16"/>
  <c r="BQ148" i="16"/>
  <c r="BS148" i="16" s="1"/>
  <c r="BN142" i="16"/>
  <c r="BN143" i="16"/>
  <c r="BN144" i="16"/>
  <c r="BN145" i="16"/>
  <c r="BN146" i="16"/>
  <c r="BN147" i="16"/>
  <c r="BN148" i="16"/>
  <c r="BN149" i="16"/>
  <c r="BN150" i="16"/>
  <c r="BN151" i="16"/>
  <c r="BN152" i="16"/>
  <c r="BN141" i="16"/>
  <c r="BQ142" i="16"/>
  <c r="BS142" i="16" s="1"/>
  <c r="BQ144" i="16"/>
  <c r="BS144" i="16" s="1"/>
  <c r="BQ145" i="16"/>
  <c r="BS145" i="16" s="1"/>
  <c r="BQ146" i="16"/>
  <c r="BS146" i="16" s="1"/>
  <c r="BQ147" i="16"/>
  <c r="BS147" i="16" s="1"/>
  <c r="BQ149" i="16"/>
  <c r="BS149" i="16" s="1"/>
  <c r="BQ150" i="16"/>
  <c r="BS150" i="16" s="1"/>
  <c r="BQ151" i="16"/>
  <c r="BS151" i="16" s="1"/>
  <c r="BQ152" i="16"/>
  <c r="BS152" i="16" s="1"/>
  <c r="BS123" i="16"/>
  <c r="BS124" i="16"/>
  <c r="BS125" i="16"/>
  <c r="BS126" i="16"/>
  <c r="BS127" i="16"/>
  <c r="BS128" i="16"/>
  <c r="BS129" i="16"/>
  <c r="BS130" i="16"/>
  <c r="BS131" i="16"/>
  <c r="BS132" i="16"/>
  <c r="BS133" i="16"/>
  <c r="BS122" i="16"/>
  <c r="BN123" i="16"/>
  <c r="BN124" i="16"/>
  <c r="BN125" i="16"/>
  <c r="BN126" i="16"/>
  <c r="BN127" i="16"/>
  <c r="BN128" i="16"/>
  <c r="BN129" i="16"/>
  <c r="BN130" i="16"/>
  <c r="BN131" i="16"/>
  <c r="BN132" i="16"/>
  <c r="BN133" i="16"/>
  <c r="BN122" i="16"/>
  <c r="BN105" i="16"/>
  <c r="BN106" i="16"/>
  <c r="BN107" i="16"/>
  <c r="BN108" i="16"/>
  <c r="BN109" i="16"/>
  <c r="BN110" i="16"/>
  <c r="BN111" i="16"/>
  <c r="BN112" i="16"/>
  <c r="BN113" i="16"/>
  <c r="BN114" i="16"/>
  <c r="BN115" i="16"/>
  <c r="BN104" i="16"/>
  <c r="BS105" i="16"/>
  <c r="BS106" i="16"/>
  <c r="BS107" i="16"/>
  <c r="BS108" i="16"/>
  <c r="BS109" i="16"/>
  <c r="BS111" i="16"/>
  <c r="BS112" i="16"/>
  <c r="BS113" i="16"/>
  <c r="BS114" i="16"/>
  <c r="BS115" i="16"/>
  <c r="BS104" i="16"/>
  <c r="BN86" i="16"/>
  <c r="BN87" i="16"/>
  <c r="BN88" i="16"/>
  <c r="BN89" i="16"/>
  <c r="BN90" i="16"/>
  <c r="BN91" i="16"/>
  <c r="BN92" i="16"/>
  <c r="BN93" i="16"/>
  <c r="BN94" i="16"/>
  <c r="BN95" i="16"/>
  <c r="BN96" i="16"/>
  <c r="BS86" i="16"/>
  <c r="BS87" i="16"/>
  <c r="BS88" i="16"/>
  <c r="BS89" i="16"/>
  <c r="BS90" i="16"/>
  <c r="BS91" i="16"/>
  <c r="BS92" i="16"/>
  <c r="BS93" i="16"/>
  <c r="BS94" i="16"/>
  <c r="BS95" i="16"/>
  <c r="BS96" i="16"/>
  <c r="BS85" i="16"/>
  <c r="BQ67" i="16"/>
  <c r="BQ68" i="16"/>
  <c r="BQ69" i="16"/>
  <c r="BQ70" i="16"/>
  <c r="BQ71" i="16"/>
  <c r="BQ72" i="16"/>
  <c r="BQ73" i="16"/>
  <c r="BQ74" i="16"/>
  <c r="BQ75" i="16"/>
  <c r="BQ76" i="16"/>
  <c r="BQ77" i="16"/>
  <c r="BL67" i="16"/>
  <c r="BL68" i="16"/>
  <c r="BL69" i="16"/>
  <c r="BL70" i="16"/>
  <c r="BL71" i="16"/>
  <c r="BL72" i="16"/>
  <c r="BL73" i="16"/>
  <c r="BL74" i="16"/>
  <c r="BL75" i="16"/>
  <c r="BL76" i="16"/>
  <c r="BL77" i="16"/>
  <c r="BQ46" i="16"/>
  <c r="BS46" i="16" s="1"/>
  <c r="BQ47" i="16"/>
  <c r="BS47" i="16" s="1"/>
  <c r="BQ48" i="16"/>
  <c r="BS48" i="16" s="1"/>
  <c r="BS49" i="16"/>
  <c r="BQ50" i="16"/>
  <c r="BQ52" i="16"/>
  <c r="BQ53" i="16"/>
  <c r="BQ54" i="16"/>
  <c r="BQ55" i="16"/>
  <c r="BQ56" i="16"/>
  <c r="BS50" i="16"/>
  <c r="BS52" i="16"/>
  <c r="BS53" i="16"/>
  <c r="BS54" i="16"/>
  <c r="BS55" i="16"/>
  <c r="BS56" i="16"/>
  <c r="BN46" i="16"/>
  <c r="BN47" i="16"/>
  <c r="BN48" i="16"/>
  <c r="BN49" i="16"/>
  <c r="BN50" i="16"/>
  <c r="BN51" i="16"/>
  <c r="BN52" i="16"/>
  <c r="BN53" i="16"/>
  <c r="BN54" i="16"/>
  <c r="BN55" i="16"/>
  <c r="BN56" i="16"/>
  <c r="BN45" i="16"/>
  <c r="BS27" i="16"/>
  <c r="BS28" i="16"/>
  <c r="BS29" i="16"/>
  <c r="BS30" i="16"/>
  <c r="BS31" i="16"/>
  <c r="BS32" i="16"/>
  <c r="BS33" i="16"/>
  <c r="BS34" i="16"/>
  <c r="BS35" i="16"/>
  <c r="BS36" i="16"/>
  <c r="BS37" i="16"/>
  <c r="BS26" i="16"/>
  <c r="BN27" i="16"/>
  <c r="BN28" i="16"/>
  <c r="BN29" i="16"/>
  <c r="BN30" i="16"/>
  <c r="BN31" i="16"/>
  <c r="BN32" i="16"/>
  <c r="BN33" i="16"/>
  <c r="BN34" i="16"/>
  <c r="BN35" i="16"/>
  <c r="BN36" i="16"/>
  <c r="BN37" i="16"/>
  <c r="BN26" i="16"/>
  <c r="BS65" i="14"/>
  <c r="BS66" i="14"/>
  <c r="BS67" i="14"/>
  <c r="BS68" i="14"/>
  <c r="BS69" i="14"/>
  <c r="BS70" i="14"/>
  <c r="BS71" i="14"/>
  <c r="BS72" i="14"/>
  <c r="BS73" i="14"/>
  <c r="BS74" i="14"/>
  <c r="BS75" i="14"/>
  <c r="BS64" i="14"/>
  <c r="BN65" i="14"/>
  <c r="BN66" i="14"/>
  <c r="BN67" i="14"/>
  <c r="BN68" i="14"/>
  <c r="BN69" i="14"/>
  <c r="BN70" i="14"/>
  <c r="BN71" i="14"/>
  <c r="BN72" i="14"/>
  <c r="BN73" i="14"/>
  <c r="BN74" i="14"/>
  <c r="BN75" i="14"/>
  <c r="BN64" i="14"/>
  <c r="BS46" i="14"/>
  <c r="BS47" i="14"/>
  <c r="BS48" i="14"/>
  <c r="BS49" i="14"/>
  <c r="BS50" i="14"/>
  <c r="BS51" i="14"/>
  <c r="BS52" i="14"/>
  <c r="BS53" i="14"/>
  <c r="BS54" i="14"/>
  <c r="BS55" i="14"/>
  <c r="BS56" i="14"/>
  <c r="BS45" i="14"/>
  <c r="BN46" i="14"/>
  <c r="BN47" i="14"/>
  <c r="BN48" i="14"/>
  <c r="BN49" i="14"/>
  <c r="BN50" i="14"/>
  <c r="BN51" i="14"/>
  <c r="BN52" i="14"/>
  <c r="BN53" i="14"/>
  <c r="BN54" i="14"/>
  <c r="BN55" i="14"/>
  <c r="BN56" i="14"/>
  <c r="BN45" i="14"/>
  <c r="BS27" i="14"/>
  <c r="BS28" i="14"/>
  <c r="BS29" i="14"/>
  <c r="BS30" i="14"/>
  <c r="BS31" i="14"/>
  <c r="BS32" i="14"/>
  <c r="BS33" i="14"/>
  <c r="BS34" i="14"/>
  <c r="BS35" i="14"/>
  <c r="BS36" i="14"/>
  <c r="BS37" i="14"/>
  <c r="BS26" i="14"/>
  <c r="BN27" i="14"/>
  <c r="BN28" i="14"/>
  <c r="BN29" i="14"/>
  <c r="BN30" i="14"/>
  <c r="BN31" i="14"/>
  <c r="BN32" i="14"/>
  <c r="BN33" i="14"/>
  <c r="BN34" i="14"/>
  <c r="BN35" i="14"/>
  <c r="BN36" i="14"/>
  <c r="BN37" i="14"/>
  <c r="BN26" i="14"/>
  <c r="BS123" i="5"/>
  <c r="BS124" i="5"/>
  <c r="BS125" i="5"/>
  <c r="BS126" i="5"/>
  <c r="BS127" i="5"/>
  <c r="BS128" i="5"/>
  <c r="BS129" i="5"/>
  <c r="BS130" i="5"/>
  <c r="BS131" i="5"/>
  <c r="BS132" i="5"/>
  <c r="BS133" i="5"/>
  <c r="BS122" i="5"/>
  <c r="BN123" i="5"/>
  <c r="BN124" i="5"/>
  <c r="BN125" i="5"/>
  <c r="BN126" i="5"/>
  <c r="BN127" i="5"/>
  <c r="BN128" i="5"/>
  <c r="BN129" i="5"/>
  <c r="BN130" i="5"/>
  <c r="BN131" i="5"/>
  <c r="BN132" i="5"/>
  <c r="BN133" i="5"/>
  <c r="BN122" i="5"/>
  <c r="BS91" i="5"/>
  <c r="BY103" i="5"/>
  <c r="BY105" i="5"/>
  <c r="BY106" i="5"/>
  <c r="BY107" i="5"/>
  <c r="BY108" i="5"/>
  <c r="BY110" i="5"/>
  <c r="BY113" i="5"/>
  <c r="BQ103" i="5"/>
  <c r="BQ104" i="5"/>
  <c r="BQ105" i="5"/>
  <c r="BQ107" i="5"/>
  <c r="BQ108" i="5"/>
  <c r="BQ109" i="5"/>
  <c r="BQ110" i="5"/>
  <c r="BQ111" i="5"/>
  <c r="BQ112" i="5"/>
  <c r="BQ113" i="5"/>
  <c r="BS84" i="5"/>
  <c r="BS85" i="5"/>
  <c r="BS86" i="5"/>
  <c r="BS87" i="5"/>
  <c r="BS88" i="5"/>
  <c r="BS89" i="5"/>
  <c r="BS90" i="5"/>
  <c r="BS92" i="5"/>
  <c r="BS93" i="5"/>
  <c r="BS94" i="5"/>
  <c r="BS83" i="5"/>
  <c r="BN84" i="5"/>
  <c r="BN85" i="5"/>
  <c r="BN86" i="5"/>
  <c r="BN87" i="5"/>
  <c r="BN88" i="5"/>
  <c r="BN89" i="5"/>
  <c r="BN90" i="5"/>
  <c r="BN91" i="5"/>
  <c r="BN92" i="5"/>
  <c r="BN93" i="5"/>
  <c r="BN94" i="5"/>
  <c r="BN83" i="5"/>
  <c r="BS52" i="5"/>
  <c r="BS46" i="5"/>
  <c r="BS47" i="5"/>
  <c r="BS48" i="5"/>
  <c r="BS49" i="5"/>
  <c r="BS50" i="5"/>
  <c r="BS51" i="5"/>
  <c r="BS53" i="5"/>
  <c r="BS54" i="5"/>
  <c r="BS56" i="5"/>
  <c r="BS45" i="5"/>
  <c r="BN46" i="5"/>
  <c r="BN47" i="5"/>
  <c r="BN48" i="5"/>
  <c r="BN49" i="5"/>
  <c r="BN50" i="5"/>
  <c r="BN51" i="5"/>
  <c r="BN52" i="5"/>
  <c r="BN53" i="5"/>
  <c r="BN54" i="5"/>
  <c r="BN55" i="5"/>
  <c r="BN56" i="5"/>
  <c r="BN45" i="5"/>
  <c r="BS102" i="7"/>
  <c r="BS103" i="7"/>
  <c r="BS104" i="7"/>
  <c r="BS105" i="7"/>
  <c r="BS106" i="7"/>
  <c r="BS107" i="7"/>
  <c r="BS108" i="7"/>
  <c r="BS109" i="7"/>
  <c r="BS110" i="7"/>
  <c r="BS111" i="7"/>
  <c r="BS112" i="7"/>
  <c r="BS101" i="7"/>
  <c r="BN102" i="7"/>
  <c r="BN103" i="7"/>
  <c r="BN104" i="7"/>
  <c r="BN105" i="7"/>
  <c r="BN106" i="7"/>
  <c r="BN107" i="7"/>
  <c r="BN108" i="7"/>
  <c r="BN109" i="7"/>
  <c r="BN110" i="7"/>
  <c r="BN111" i="7"/>
  <c r="BN112" i="7"/>
  <c r="BN101" i="7"/>
  <c r="BS84" i="7"/>
  <c r="BS85" i="7"/>
  <c r="BS86" i="7"/>
  <c r="BS87" i="7"/>
  <c r="BS88" i="7"/>
  <c r="BS89" i="7"/>
  <c r="BS90" i="7"/>
  <c r="BS91" i="7"/>
  <c r="BS92" i="7"/>
  <c r="BS93" i="7"/>
  <c r="BS94" i="7"/>
  <c r="BS83" i="7"/>
  <c r="BN84" i="7"/>
  <c r="BN85" i="7"/>
  <c r="BN86" i="7"/>
  <c r="BN87" i="7"/>
  <c r="BN88" i="7"/>
  <c r="BN89" i="7"/>
  <c r="BN90" i="7"/>
  <c r="BN91" i="7"/>
  <c r="BN92" i="7"/>
  <c r="BN93" i="7"/>
  <c r="BN94" i="7"/>
  <c r="BN83" i="7"/>
  <c r="BL67" i="7"/>
  <c r="BL68" i="7"/>
  <c r="BL69" i="7"/>
  <c r="BL70" i="7"/>
  <c r="BL71" i="7"/>
  <c r="BL72" i="7"/>
  <c r="BL73" i="7"/>
  <c r="BL74" i="7"/>
  <c r="BL75" i="7"/>
  <c r="BS46" i="7"/>
  <c r="BS47" i="7"/>
  <c r="BS48" i="7"/>
  <c r="BS49" i="7"/>
  <c r="BS50" i="7"/>
  <c r="BS51" i="7"/>
  <c r="BS52" i="7"/>
  <c r="BS53" i="7"/>
  <c r="BS54" i="7"/>
  <c r="BS55" i="7"/>
  <c r="BS56" i="7"/>
  <c r="BS45" i="7"/>
  <c r="BN46" i="7"/>
  <c r="BN47" i="7"/>
  <c r="BN48" i="7"/>
  <c r="BN49" i="7"/>
  <c r="BN50" i="7"/>
  <c r="BN51" i="7"/>
  <c r="BN52" i="7"/>
  <c r="BN53" i="7"/>
  <c r="BN54" i="7"/>
  <c r="BN55" i="7"/>
  <c r="BN56" i="7"/>
  <c r="BN45" i="7"/>
  <c r="BS66" i="8"/>
  <c r="BS67" i="8"/>
  <c r="BS68" i="8"/>
  <c r="BS69" i="8"/>
  <c r="BS70" i="8"/>
  <c r="BS71" i="8"/>
  <c r="BS72" i="8"/>
  <c r="BS73" i="8"/>
  <c r="BS74" i="8"/>
  <c r="BS75" i="8"/>
  <c r="BS76" i="8"/>
  <c r="BS65" i="8"/>
  <c r="BN66" i="8"/>
  <c r="BN67" i="8"/>
  <c r="BN68" i="8"/>
  <c r="BN69" i="8"/>
  <c r="BN70" i="8"/>
  <c r="BN71" i="8"/>
  <c r="BN72" i="8"/>
  <c r="BN73" i="8"/>
  <c r="BN74" i="8"/>
  <c r="BN75" i="8"/>
  <c r="BN76" i="8"/>
  <c r="BN65" i="8"/>
  <c r="BS47" i="8"/>
  <c r="BS48" i="8"/>
  <c r="BS49" i="8"/>
  <c r="BS50" i="8"/>
  <c r="BS51" i="8"/>
  <c r="BS52" i="8"/>
  <c r="BS53" i="8"/>
  <c r="BS54" i="8"/>
  <c r="BS55" i="8"/>
  <c r="BS56" i="8"/>
  <c r="BS57" i="8"/>
  <c r="BS46" i="8"/>
  <c r="BN47" i="8"/>
  <c r="BN48" i="8"/>
  <c r="BN49" i="8"/>
  <c r="BN50" i="8"/>
  <c r="BN51" i="8"/>
  <c r="BN52" i="8"/>
  <c r="BN53" i="8"/>
  <c r="BN54" i="8"/>
  <c r="BN55" i="8"/>
  <c r="BN56" i="8"/>
  <c r="BN57" i="8"/>
  <c r="BN46" i="8"/>
  <c r="BS27" i="8"/>
  <c r="BS28" i="8"/>
  <c r="BS29" i="8"/>
  <c r="BS30" i="8"/>
  <c r="BS31" i="8"/>
  <c r="BS32" i="8"/>
  <c r="BS33" i="8"/>
  <c r="BS34" i="8"/>
  <c r="BS35" i="8"/>
  <c r="BS36" i="8"/>
  <c r="BS37" i="8"/>
  <c r="BS26" i="8"/>
  <c r="BN27" i="8"/>
  <c r="BN28" i="8"/>
  <c r="BN29" i="8"/>
  <c r="BN30" i="8"/>
  <c r="BN31" i="8"/>
  <c r="BN32" i="8"/>
  <c r="BN33" i="8"/>
  <c r="BN34" i="8"/>
  <c r="BN35" i="8"/>
  <c r="BN36" i="8"/>
  <c r="BN37" i="8"/>
  <c r="BN26" i="8"/>
  <c r="BS84" i="2" l="1"/>
  <c r="BS85" i="2"/>
  <c r="BS86" i="2"/>
  <c r="BS87" i="2"/>
  <c r="BS88" i="2"/>
  <c r="BS89" i="2"/>
  <c r="BS90" i="2"/>
  <c r="BS91" i="2"/>
  <c r="BS92" i="2"/>
  <c r="BS93" i="2"/>
  <c r="BS94" i="2"/>
  <c r="BN88" i="2"/>
  <c r="BN89" i="2"/>
  <c r="BN90" i="2"/>
  <c r="BN91" i="2"/>
  <c r="BN92" i="2"/>
  <c r="BN93" i="2"/>
  <c r="BN94" i="2"/>
  <c r="BN65" i="2"/>
  <c r="BN66" i="2"/>
  <c r="BN67" i="2"/>
  <c r="BN68" i="2"/>
  <c r="BN69" i="2"/>
  <c r="BN70" i="2"/>
  <c r="BN71" i="2"/>
  <c r="BN72" i="2"/>
  <c r="BN73" i="2"/>
  <c r="BN74" i="2"/>
  <c r="BN75" i="2"/>
  <c r="BS46" i="2"/>
  <c r="BS47" i="2"/>
  <c r="BS48" i="2"/>
  <c r="BS49" i="2"/>
  <c r="BS50" i="2"/>
  <c r="BS51" i="2"/>
  <c r="BS52" i="2"/>
  <c r="BS53" i="2"/>
  <c r="BS54" i="2"/>
  <c r="BS55" i="2"/>
  <c r="BS56" i="2"/>
  <c r="BS45" i="2"/>
  <c r="BN46" i="2"/>
  <c r="BN47" i="2"/>
  <c r="BN48" i="2"/>
  <c r="BN49" i="2"/>
  <c r="BN50" i="2"/>
  <c r="BN51" i="2"/>
  <c r="BN52" i="2"/>
  <c r="BN53" i="2"/>
  <c r="BN54" i="2"/>
  <c r="BN55" i="2"/>
  <c r="BN56" i="2"/>
  <c r="BN45" i="2"/>
  <c r="BS102" i="6"/>
  <c r="BS103" i="6"/>
  <c r="BS104" i="6"/>
  <c r="BS105" i="6"/>
  <c r="BS106" i="6"/>
  <c r="BS107" i="6"/>
  <c r="BS108" i="6"/>
  <c r="BS109" i="6"/>
  <c r="BS110" i="6"/>
  <c r="BS111" i="6"/>
  <c r="BS112" i="6"/>
  <c r="BS101" i="6"/>
  <c r="BN102" i="6"/>
  <c r="BN103" i="6"/>
  <c r="BN104" i="6"/>
  <c r="BN105" i="6"/>
  <c r="BN106" i="6"/>
  <c r="BN107" i="6"/>
  <c r="BN108" i="6"/>
  <c r="BN109" i="6"/>
  <c r="BN110" i="6"/>
  <c r="BN111" i="6"/>
  <c r="BN112" i="6"/>
  <c r="BN101" i="6"/>
  <c r="BS84" i="6"/>
  <c r="BS85" i="6"/>
  <c r="BS86" i="6"/>
  <c r="BS87" i="6"/>
  <c r="BS88" i="6"/>
  <c r="BS89" i="6"/>
  <c r="BS90" i="6"/>
  <c r="BS91" i="6"/>
  <c r="BS92" i="6"/>
  <c r="BS93" i="6"/>
  <c r="BS94" i="6"/>
  <c r="BS83" i="6"/>
  <c r="BN84" i="6"/>
  <c r="BN85" i="6"/>
  <c r="BN86" i="6"/>
  <c r="BN87" i="6"/>
  <c r="BN88" i="6"/>
  <c r="BN89" i="6"/>
  <c r="BN90" i="6"/>
  <c r="BN91" i="6"/>
  <c r="BN92" i="6"/>
  <c r="BN93" i="6"/>
  <c r="BN94" i="6"/>
  <c r="BN83" i="6"/>
  <c r="BT64" i="6"/>
  <c r="BS65" i="6"/>
  <c r="BS66" i="6"/>
  <c r="BS67" i="6"/>
  <c r="BS68" i="6"/>
  <c r="BS69" i="6"/>
  <c r="BS70" i="6"/>
  <c r="BS71" i="6"/>
  <c r="BS72" i="6"/>
  <c r="BS73" i="6"/>
  <c r="BS74" i="6"/>
  <c r="BS75" i="6"/>
  <c r="BS64" i="6"/>
  <c r="BN65" i="6"/>
  <c r="BN66" i="6"/>
  <c r="BN67" i="6"/>
  <c r="BN68" i="6"/>
  <c r="BN69" i="6"/>
  <c r="BN70" i="6"/>
  <c r="BN71" i="6"/>
  <c r="BN72" i="6"/>
  <c r="BN73" i="6"/>
  <c r="BN74" i="6"/>
  <c r="BN75" i="6"/>
  <c r="BN64" i="6"/>
  <c r="BS46" i="6"/>
  <c r="BS47" i="6"/>
  <c r="BS48" i="6"/>
  <c r="BS49" i="6"/>
  <c r="BS50" i="6"/>
  <c r="BS51" i="6"/>
  <c r="BS52" i="6"/>
  <c r="BS53" i="6"/>
  <c r="BS54" i="6"/>
  <c r="BS55" i="6"/>
  <c r="BS56" i="6"/>
  <c r="BS45" i="6"/>
  <c r="BN46" i="6"/>
  <c r="BN47" i="6"/>
  <c r="BN48" i="6"/>
  <c r="BN49" i="6"/>
  <c r="BN50" i="6"/>
  <c r="BN51" i="6"/>
  <c r="BN52" i="6"/>
  <c r="BN53" i="6"/>
  <c r="BN54" i="6"/>
  <c r="BN55" i="6"/>
  <c r="BN56" i="6"/>
  <c r="BN45" i="6"/>
  <c r="BS27" i="6"/>
  <c r="BS28" i="6"/>
  <c r="BS29" i="6"/>
  <c r="BS30" i="6"/>
  <c r="BS31" i="6"/>
  <c r="BS32" i="6"/>
  <c r="BS33" i="6"/>
  <c r="BS34" i="6"/>
  <c r="BS35" i="6"/>
  <c r="BS36" i="6"/>
  <c r="BS37" i="6"/>
  <c r="BS26" i="6"/>
  <c r="BN27" i="6"/>
  <c r="BN28" i="6"/>
  <c r="BN29" i="6"/>
  <c r="BN30" i="6"/>
  <c r="BN31" i="6"/>
  <c r="BN32" i="6"/>
  <c r="BN33" i="6"/>
  <c r="BN34" i="6"/>
  <c r="BN35" i="6"/>
  <c r="BN36" i="6"/>
  <c r="BN37" i="6"/>
  <c r="BN26" i="6"/>
  <c r="BN27" i="2"/>
  <c r="BN28" i="2"/>
  <c r="BN29" i="2"/>
  <c r="BN30" i="2"/>
  <c r="BN31" i="2"/>
  <c r="BN32" i="2"/>
  <c r="BN33" i="2"/>
  <c r="BN34" i="2"/>
  <c r="BN35" i="2"/>
  <c r="BN36" i="2"/>
  <c r="BN37" i="2"/>
  <c r="BN26" i="2"/>
  <c r="BS27" i="2"/>
  <c r="BS28" i="2"/>
  <c r="BS29" i="2"/>
  <c r="BS30" i="2"/>
  <c r="BS31" i="2"/>
  <c r="BS32" i="2"/>
  <c r="BS33" i="2"/>
  <c r="BS34" i="2"/>
  <c r="BS35" i="2"/>
  <c r="BS36" i="2"/>
  <c r="BS37" i="2"/>
  <c r="BS26" i="2"/>
  <c r="BO83" i="6"/>
  <c r="BO101" i="6"/>
  <c r="BT45" i="2" l="1"/>
  <c r="BT26" i="2"/>
  <c r="BT51" i="2"/>
  <c r="BT48" i="2"/>
  <c r="BT54" i="7" l="1"/>
  <c r="BT51" i="7"/>
  <c r="BT48" i="7"/>
  <c r="BT45" i="7"/>
  <c r="BO54" i="7"/>
  <c r="BO51" i="7"/>
  <c r="BO48" i="7"/>
  <c r="BO45" i="7"/>
  <c r="BL65" i="7"/>
  <c r="BO92" i="7"/>
  <c r="BO89" i="7"/>
  <c r="BO86" i="7"/>
  <c r="BO83" i="7"/>
  <c r="BT92" i="7"/>
  <c r="BT89" i="7"/>
  <c r="BT86" i="7"/>
  <c r="BT83" i="7"/>
  <c r="BW113" i="7" l="1"/>
  <c r="CC113" i="7" s="1"/>
  <c r="CB55" i="2"/>
  <c r="CB107" i="7"/>
  <c r="BO110" i="7"/>
  <c r="BO107" i="7"/>
  <c r="BO104" i="7"/>
  <c r="BO101" i="7"/>
  <c r="BT110" i="7"/>
  <c r="BT107" i="7"/>
  <c r="BT104" i="7"/>
  <c r="BT101" i="7"/>
  <c r="CC112" i="7" l="1"/>
  <c r="CC111" i="7" l="1"/>
  <c r="CC110" i="7" l="1"/>
  <c r="CC109" i="7" l="1"/>
  <c r="CC108" i="7" l="1"/>
  <c r="CC107" i="7" l="1"/>
  <c r="CC106" i="7" l="1"/>
  <c r="BX107" i="7"/>
  <c r="CC105" i="7" l="1"/>
  <c r="CC104" i="7" l="1"/>
  <c r="CC103" i="7" l="1"/>
  <c r="CC102" i="7" l="1"/>
  <c r="CC101" i="7" l="1"/>
  <c r="H20" i="27" l="1"/>
  <c r="S28" i="27"/>
  <c r="S29" i="27"/>
  <c r="BK6" i="29" l="1"/>
  <c r="S23" i="27" l="1"/>
  <c r="S24" i="27"/>
  <c r="S25" i="27"/>
  <c r="S26" i="27"/>
  <c r="S27" i="27"/>
  <c r="S30" i="27"/>
  <c r="S22" i="27" l="1"/>
  <c r="U25" i="35" l="1"/>
  <c r="V25" i="35" s="1"/>
  <c r="U26" i="35"/>
  <c r="V26" i="35" s="1"/>
  <c r="G26" i="35"/>
  <c r="D652" i="32"/>
  <c r="E652" i="32"/>
  <c r="F652" i="32"/>
  <c r="G652" i="32"/>
  <c r="H652" i="32"/>
  <c r="I652" i="32"/>
  <c r="J652" i="32"/>
  <c r="K652" i="32"/>
  <c r="L652" i="32"/>
  <c r="M652" i="32"/>
  <c r="N652" i="32"/>
  <c r="O652" i="32"/>
  <c r="D651" i="32"/>
  <c r="E651" i="32"/>
  <c r="F651" i="32"/>
  <c r="G651" i="32"/>
  <c r="H651" i="32"/>
  <c r="I651" i="32"/>
  <c r="J651" i="32"/>
  <c r="K651" i="32"/>
  <c r="L651" i="32"/>
  <c r="M651" i="32"/>
  <c r="N651" i="32"/>
  <c r="O651" i="32"/>
  <c r="D650" i="32"/>
  <c r="E650" i="32"/>
  <c r="F650" i="32"/>
  <c r="G650" i="32"/>
  <c r="H650" i="32"/>
  <c r="I650" i="32"/>
  <c r="J650" i="32"/>
  <c r="K650" i="32"/>
  <c r="L650" i="32"/>
  <c r="M650" i="32"/>
  <c r="N650" i="32"/>
  <c r="O650" i="32"/>
  <c r="D648" i="32"/>
  <c r="E648" i="32"/>
  <c r="F648" i="32"/>
  <c r="G648" i="32"/>
  <c r="H648" i="32"/>
  <c r="I648" i="32"/>
  <c r="J648" i="32"/>
  <c r="K648" i="32"/>
  <c r="L648" i="32"/>
  <c r="M648" i="32"/>
  <c r="N648" i="32"/>
  <c r="O648" i="32"/>
  <c r="D647" i="32"/>
  <c r="E647" i="32"/>
  <c r="F647" i="32"/>
  <c r="G647" i="32"/>
  <c r="H647" i="32"/>
  <c r="I647" i="32"/>
  <c r="J647" i="32"/>
  <c r="K647" i="32"/>
  <c r="L647" i="32"/>
  <c r="M647" i="32"/>
  <c r="N647" i="32"/>
  <c r="O647" i="32"/>
  <c r="D646" i="32"/>
  <c r="E646" i="32"/>
  <c r="F646" i="32"/>
  <c r="G646" i="32"/>
  <c r="H646" i="32"/>
  <c r="I646" i="32"/>
  <c r="J646" i="32"/>
  <c r="K646" i="32"/>
  <c r="L646" i="32"/>
  <c r="M646" i="32"/>
  <c r="N646" i="32"/>
  <c r="O646" i="32"/>
  <c r="D644" i="32"/>
  <c r="E644" i="32"/>
  <c r="F644" i="32"/>
  <c r="G644" i="32"/>
  <c r="H644" i="32"/>
  <c r="I644" i="32"/>
  <c r="J644" i="32"/>
  <c r="K644" i="32"/>
  <c r="L644" i="32"/>
  <c r="M644" i="32"/>
  <c r="N644" i="32"/>
  <c r="O644" i="32"/>
  <c r="D643" i="32"/>
  <c r="E643" i="32"/>
  <c r="F643" i="32"/>
  <c r="G643" i="32"/>
  <c r="H643" i="32"/>
  <c r="I643" i="32"/>
  <c r="J643" i="32"/>
  <c r="K643" i="32"/>
  <c r="L643" i="32"/>
  <c r="M643" i="32"/>
  <c r="N643" i="32"/>
  <c r="O643" i="32"/>
  <c r="D642" i="32"/>
  <c r="E642" i="32"/>
  <c r="F642" i="32"/>
  <c r="G642" i="32"/>
  <c r="H642" i="32"/>
  <c r="I642" i="32"/>
  <c r="J642" i="32"/>
  <c r="K642" i="32"/>
  <c r="L642" i="32"/>
  <c r="M642" i="32"/>
  <c r="N642" i="32"/>
  <c r="O642" i="32"/>
  <c r="D639" i="32"/>
  <c r="E639" i="32"/>
  <c r="F639" i="32"/>
  <c r="G639" i="32"/>
  <c r="H639" i="32"/>
  <c r="I639" i="32"/>
  <c r="J639" i="32"/>
  <c r="K639" i="32"/>
  <c r="L639" i="32"/>
  <c r="M639" i="32"/>
  <c r="N639" i="32"/>
  <c r="O639" i="32"/>
  <c r="D638" i="32"/>
  <c r="E638" i="32"/>
  <c r="F638" i="32"/>
  <c r="G638" i="32"/>
  <c r="H638" i="32"/>
  <c r="I638" i="32"/>
  <c r="J638" i="32"/>
  <c r="K638" i="32"/>
  <c r="L638" i="32"/>
  <c r="M638" i="32"/>
  <c r="N638" i="32"/>
  <c r="O638" i="32"/>
  <c r="D637" i="32"/>
  <c r="E637" i="32"/>
  <c r="F637" i="32"/>
  <c r="G637" i="32"/>
  <c r="H637" i="32"/>
  <c r="I637" i="32"/>
  <c r="J637" i="32"/>
  <c r="K637" i="32"/>
  <c r="L637" i="32"/>
  <c r="M637" i="32"/>
  <c r="N637" i="32"/>
  <c r="O637" i="32"/>
  <c r="D635" i="32"/>
  <c r="E635" i="32"/>
  <c r="F635" i="32"/>
  <c r="G635" i="32"/>
  <c r="H635" i="32"/>
  <c r="I635" i="32"/>
  <c r="J635" i="32"/>
  <c r="K635" i="32"/>
  <c r="L635" i="32"/>
  <c r="M635" i="32"/>
  <c r="N635" i="32"/>
  <c r="O635" i="32"/>
  <c r="D634" i="32"/>
  <c r="E634" i="32"/>
  <c r="F634" i="32"/>
  <c r="G634" i="32"/>
  <c r="H634" i="32"/>
  <c r="I634" i="32"/>
  <c r="J634" i="32"/>
  <c r="K634" i="32"/>
  <c r="L634" i="32"/>
  <c r="M634" i="32"/>
  <c r="N634" i="32"/>
  <c r="O634" i="32"/>
  <c r="D633" i="32"/>
  <c r="E633" i="32"/>
  <c r="F633" i="32"/>
  <c r="G633" i="32"/>
  <c r="H633" i="32"/>
  <c r="I633" i="32"/>
  <c r="J633" i="32"/>
  <c r="K633" i="32"/>
  <c r="L633" i="32"/>
  <c r="M633" i="32"/>
  <c r="N633" i="32"/>
  <c r="O633" i="32"/>
  <c r="D631" i="32"/>
  <c r="E631" i="32"/>
  <c r="F631" i="32"/>
  <c r="G631" i="32"/>
  <c r="H631" i="32"/>
  <c r="I631" i="32"/>
  <c r="J631" i="32"/>
  <c r="K631" i="32"/>
  <c r="L631" i="32"/>
  <c r="M631" i="32"/>
  <c r="N631" i="32"/>
  <c r="O631" i="32"/>
  <c r="D630" i="32"/>
  <c r="E630" i="32"/>
  <c r="F630" i="32"/>
  <c r="G630" i="32"/>
  <c r="H630" i="32"/>
  <c r="I630" i="32"/>
  <c r="J630" i="32"/>
  <c r="K630" i="32"/>
  <c r="L630" i="32"/>
  <c r="M630" i="32"/>
  <c r="N630" i="32"/>
  <c r="O630" i="32"/>
  <c r="D629" i="32"/>
  <c r="E629" i="32"/>
  <c r="F629" i="32"/>
  <c r="G629" i="32"/>
  <c r="H629" i="32"/>
  <c r="I629" i="32"/>
  <c r="J629" i="32"/>
  <c r="K629" i="32"/>
  <c r="L629" i="32"/>
  <c r="M629" i="32"/>
  <c r="N629" i="32"/>
  <c r="O629" i="32"/>
  <c r="C637" i="32"/>
  <c r="C630" i="32"/>
  <c r="C631" i="32"/>
  <c r="C632" i="32"/>
  <c r="C633" i="32"/>
  <c r="C634" i="32"/>
  <c r="C635" i="32"/>
  <c r="C636" i="32"/>
  <c r="C638" i="32"/>
  <c r="C639" i="32"/>
  <c r="C640" i="32"/>
  <c r="C641" i="32"/>
  <c r="C642" i="32"/>
  <c r="C643" i="32"/>
  <c r="C644" i="32"/>
  <c r="C645" i="32"/>
  <c r="C646" i="32"/>
  <c r="C647" i="32"/>
  <c r="C648" i="32"/>
  <c r="C649" i="32"/>
  <c r="C650" i="32"/>
  <c r="C651" i="32"/>
  <c r="C652" i="32"/>
  <c r="C629" i="32"/>
  <c r="X26" i="35" l="1"/>
  <c r="X25" i="35"/>
  <c r="BW732" i="16" l="1"/>
  <c r="CC732" i="16" s="1"/>
  <c r="BT729" i="16"/>
  <c r="BO729" i="16"/>
  <c r="BT726" i="16"/>
  <c r="BO726" i="16"/>
  <c r="BT723" i="16"/>
  <c r="BO723" i="16"/>
  <c r="BT720" i="16"/>
  <c r="BO720" i="16"/>
  <c r="CC731" i="16" l="1"/>
  <c r="CC730" i="16" l="1"/>
  <c r="CC729" i="16" l="1"/>
  <c r="CC728" i="16" l="1"/>
  <c r="CC727" i="16" l="1"/>
  <c r="CC726" i="16" l="1"/>
  <c r="CC725" i="16" l="1"/>
  <c r="CC724" i="16" l="1"/>
  <c r="CC723" i="16" l="1"/>
  <c r="CC722" i="16" l="1"/>
  <c r="CC721" i="16" l="1"/>
  <c r="CC720" i="16" l="1"/>
  <c r="BW637" i="16" l="1"/>
  <c r="CC637" i="16" s="1"/>
  <c r="BN637" i="16"/>
  <c r="BO634" i="16"/>
  <c r="BT631" i="16"/>
  <c r="BO631" i="16"/>
  <c r="BT628" i="16"/>
  <c r="BO628" i="16"/>
  <c r="BT625" i="16"/>
  <c r="BO625" i="16"/>
  <c r="BW751" i="16"/>
  <c r="CC751" i="16" s="1"/>
  <c r="BO748" i="16"/>
  <c r="BO745" i="16"/>
  <c r="BO742" i="16"/>
  <c r="BO739" i="16"/>
  <c r="BW713" i="16"/>
  <c r="CC713" i="16" s="1"/>
  <c r="BT707" i="16"/>
  <c r="BT704" i="16"/>
  <c r="BW694" i="16"/>
  <c r="CC694" i="16" s="1"/>
  <c r="BO691" i="16"/>
  <c r="BO688" i="16"/>
  <c r="BO685" i="16"/>
  <c r="BO682" i="16"/>
  <c r="BW675" i="16"/>
  <c r="CC675" i="16" s="1"/>
  <c r="BO672" i="16"/>
  <c r="BT669" i="16"/>
  <c r="BO669" i="16"/>
  <c r="BT666" i="16"/>
  <c r="BO666" i="16"/>
  <c r="BT663" i="16"/>
  <c r="BO663" i="16"/>
  <c r="BW656" i="16"/>
  <c r="CC656" i="16" s="1"/>
  <c r="BT653" i="16"/>
  <c r="BT650" i="16"/>
  <c r="BT647" i="16"/>
  <c r="BT644" i="16"/>
  <c r="BW618" i="16"/>
  <c r="CC618" i="16" s="1"/>
  <c r="BT615" i="16"/>
  <c r="BO615" i="16"/>
  <c r="BT612" i="16"/>
  <c r="BO612" i="16"/>
  <c r="BT609" i="16"/>
  <c r="BO609" i="16"/>
  <c r="BT606" i="16"/>
  <c r="BO606" i="16"/>
  <c r="BN64" i="2"/>
  <c r="BO64" i="2"/>
  <c r="BS64" i="2"/>
  <c r="BT64" i="2"/>
  <c r="BS65" i="2"/>
  <c r="BS66" i="2"/>
  <c r="BO67" i="2"/>
  <c r="BS67" i="2"/>
  <c r="BS68" i="2"/>
  <c r="BS69" i="2"/>
  <c r="BO70" i="2"/>
  <c r="BS70" i="2"/>
  <c r="BS71" i="2"/>
  <c r="BS72" i="2"/>
  <c r="BO73" i="2"/>
  <c r="BS73" i="2"/>
  <c r="BT73" i="2"/>
  <c r="BS74" i="2"/>
  <c r="BS75" i="2"/>
  <c r="BW76" i="2"/>
  <c r="CC76" i="2" s="1"/>
  <c r="BT701" i="16" l="1"/>
  <c r="BO644" i="16"/>
  <c r="BO650" i="16"/>
  <c r="CC636" i="16"/>
  <c r="BO647" i="16"/>
  <c r="BO704" i="16"/>
  <c r="BO707" i="16"/>
  <c r="BO653" i="16"/>
  <c r="BO710" i="16"/>
  <c r="CC750" i="16"/>
  <c r="CC712" i="16"/>
  <c r="CC674" i="16"/>
  <c r="CC655" i="16"/>
  <c r="CC617" i="16"/>
  <c r="CC693" i="16"/>
  <c r="CC75" i="2"/>
  <c r="CC635" i="16" l="1"/>
  <c r="CC692" i="16"/>
  <c r="CC673" i="16"/>
  <c r="CC711" i="16"/>
  <c r="CC616" i="16"/>
  <c r="CC749" i="16"/>
  <c r="CC654" i="16"/>
  <c r="CC74" i="2"/>
  <c r="CC634" i="16" l="1"/>
  <c r="CC710" i="16"/>
  <c r="CC691" i="16"/>
  <c r="CC615" i="16"/>
  <c r="CC748" i="16"/>
  <c r="CC653" i="16"/>
  <c r="CC672" i="16"/>
  <c r="CC73" i="2"/>
  <c r="CC633" i="16" l="1"/>
  <c r="CC671" i="16"/>
  <c r="CC747" i="16"/>
  <c r="CC614" i="16"/>
  <c r="CC690" i="16"/>
  <c r="CC652" i="16"/>
  <c r="CC709" i="16"/>
  <c r="CC72" i="2"/>
  <c r="BX720" i="16" l="1"/>
  <c r="CC632" i="16"/>
  <c r="CC746" i="16"/>
  <c r="CC651" i="16"/>
  <c r="CC708" i="16"/>
  <c r="CC689" i="16"/>
  <c r="CC670" i="16"/>
  <c r="CC613" i="16"/>
  <c r="CC71" i="2"/>
  <c r="CC631" i="16" l="1"/>
  <c r="CC688" i="16"/>
  <c r="CC650" i="16"/>
  <c r="CC745" i="16"/>
  <c r="CC612" i="16"/>
  <c r="CC669" i="16"/>
  <c r="CC707" i="16"/>
  <c r="CC70" i="2"/>
  <c r="CC630" i="16" l="1"/>
  <c r="CC744" i="16"/>
  <c r="CC668" i="16"/>
  <c r="CC706" i="16"/>
  <c r="CC611" i="16"/>
  <c r="CC649" i="16"/>
  <c r="CC687" i="16"/>
  <c r="CC69" i="2"/>
  <c r="CC629" i="16" l="1"/>
  <c r="CC705" i="16"/>
  <c r="CC667" i="16"/>
  <c r="CC648" i="16"/>
  <c r="CC686" i="16"/>
  <c r="CC610" i="16"/>
  <c r="CC743" i="16"/>
  <c r="CC68" i="2"/>
  <c r="CC628" i="16" l="1"/>
  <c r="CC647" i="16"/>
  <c r="CC666" i="16"/>
  <c r="CC704" i="16"/>
  <c r="CC742" i="16"/>
  <c r="CC609" i="16"/>
  <c r="CC685" i="16"/>
  <c r="CC67" i="2"/>
  <c r="CC627" i="16" l="1"/>
  <c r="CC608" i="16"/>
  <c r="CC703" i="16"/>
  <c r="CC684" i="16"/>
  <c r="CC741" i="16"/>
  <c r="CC665" i="16"/>
  <c r="CC646" i="16"/>
  <c r="CC66" i="2"/>
  <c r="CC626" i="16" l="1"/>
  <c r="CC683" i="16"/>
  <c r="CC702" i="16"/>
  <c r="CC607" i="16"/>
  <c r="CC740" i="16"/>
  <c r="CC645" i="16"/>
  <c r="CC664" i="16"/>
  <c r="CC65" i="2"/>
  <c r="CC625" i="16" l="1"/>
  <c r="BX625" i="16" s="1"/>
  <c r="CC606" i="16"/>
  <c r="BX606" i="16" s="1"/>
  <c r="CC644" i="16"/>
  <c r="BX644" i="16" s="1"/>
  <c r="CC663" i="16"/>
  <c r="BX663" i="16" s="1"/>
  <c r="CC739" i="16"/>
  <c r="BX739" i="16" s="1"/>
  <c r="CC701" i="16"/>
  <c r="BX701" i="16" s="1"/>
  <c r="CC682" i="16"/>
  <c r="BX682" i="16" s="1"/>
  <c r="CC64" i="2"/>
  <c r="BJ14" i="44" l="1"/>
  <c r="BJ14" i="5"/>
  <c r="BJ14" i="14"/>
  <c r="BJ14" i="8"/>
  <c r="BJ14" i="2" l="1"/>
  <c r="BK6" i="2" s="1"/>
  <c r="BJ14" i="7"/>
  <c r="BN87" i="2"/>
  <c r="BN86" i="2"/>
  <c r="BN85" i="2"/>
  <c r="BN84" i="2"/>
  <c r="G10" i="35"/>
  <c r="G11" i="35"/>
  <c r="G12" i="35"/>
  <c r="G13" i="35"/>
  <c r="G14" i="35"/>
  <c r="G15" i="35"/>
  <c r="G16" i="35"/>
  <c r="G17" i="35"/>
  <c r="G18" i="35"/>
  <c r="G21" i="35"/>
  <c r="G22" i="35"/>
  <c r="G23" i="35"/>
  <c r="G24" i="35"/>
  <c r="H43" i="35" l="1"/>
  <c r="G19" i="35"/>
  <c r="I19" i="35"/>
  <c r="I43" i="35"/>
  <c r="H19" i="35"/>
  <c r="U14" i="35" l="1"/>
  <c r="V14" i="35" s="1"/>
  <c r="BW115" i="55" l="1"/>
  <c r="CC115" i="55" s="1"/>
  <c r="CC114" i="55" s="1"/>
  <c r="BW96" i="55"/>
  <c r="CC96" i="55" s="1"/>
  <c r="CC95" i="55" s="1"/>
  <c r="BW77" i="55"/>
  <c r="CC77" i="55" s="1"/>
  <c r="CC76" i="55" s="1"/>
  <c r="BW58" i="55"/>
  <c r="CC58" i="55" s="1"/>
  <c r="BW39" i="55"/>
  <c r="CC39" i="55" s="1"/>
  <c r="BW19" i="55"/>
  <c r="CC19" i="55" s="1"/>
  <c r="CC18" i="55" s="1"/>
  <c r="BE5" i="55"/>
  <c r="BN7" i="55"/>
  <c r="BO7" i="55"/>
  <c r="BS7" i="55"/>
  <c r="BT7" i="55"/>
  <c r="BN8" i="55"/>
  <c r="BS8" i="55"/>
  <c r="BN9" i="55"/>
  <c r="BS9" i="55"/>
  <c r="BN10" i="55"/>
  <c r="BO10" i="55"/>
  <c r="BS10" i="55"/>
  <c r="BT10" i="55"/>
  <c r="BN11" i="55"/>
  <c r="BS11" i="55"/>
  <c r="BN12" i="55"/>
  <c r="BS12" i="55"/>
  <c r="BN13" i="55"/>
  <c r="BO13" i="55"/>
  <c r="BS13" i="55"/>
  <c r="BT13" i="55"/>
  <c r="BN14" i="55"/>
  <c r="BS14" i="55"/>
  <c r="BN15" i="55"/>
  <c r="BS15" i="55"/>
  <c r="BN16" i="55"/>
  <c r="BO16" i="55"/>
  <c r="BS16" i="55"/>
  <c r="BT16" i="55"/>
  <c r="BN17" i="55"/>
  <c r="BS17" i="55"/>
  <c r="BN18" i="55"/>
  <c r="BS18" i="55"/>
  <c r="BL27" i="55"/>
  <c r="BO27" i="55"/>
  <c r="BQ27" i="55"/>
  <c r="BT27" i="55"/>
  <c r="CB27" i="55"/>
  <c r="BL28" i="55"/>
  <c r="BQ28" i="55"/>
  <c r="CB28" i="55"/>
  <c r="CB47" i="55" s="1"/>
  <c r="CB66" i="55" s="1"/>
  <c r="BL29" i="55"/>
  <c r="BQ29" i="55"/>
  <c r="CB29" i="55"/>
  <c r="CB48" i="55" s="1"/>
  <c r="BL30" i="55"/>
  <c r="BO30" i="55"/>
  <c r="BQ30" i="55"/>
  <c r="BT30" i="55"/>
  <c r="CB30" i="55"/>
  <c r="BL31" i="55"/>
  <c r="BQ31" i="55"/>
  <c r="CB31" i="55"/>
  <c r="BL32" i="55"/>
  <c r="BQ32" i="55"/>
  <c r="CB32" i="55"/>
  <c r="BL33" i="55"/>
  <c r="BO33" i="55"/>
  <c r="BQ33" i="55"/>
  <c r="BT33" i="55"/>
  <c r="CB33" i="55"/>
  <c r="CB52" i="55" s="1"/>
  <c r="BL34" i="55"/>
  <c r="BQ34" i="55"/>
  <c r="CB34" i="55"/>
  <c r="CB53" i="55" s="1"/>
  <c r="CB72" i="55" s="1"/>
  <c r="BL35" i="55"/>
  <c r="BQ35" i="55"/>
  <c r="CB35" i="55"/>
  <c r="CB54" i="55" s="1"/>
  <c r="BL36" i="55"/>
  <c r="BO36" i="55"/>
  <c r="BQ36" i="55"/>
  <c r="BT36" i="55"/>
  <c r="CB36" i="55"/>
  <c r="CB55" i="55" s="1"/>
  <c r="BL37" i="55"/>
  <c r="BQ37" i="55"/>
  <c r="CB37" i="55"/>
  <c r="BL38" i="55"/>
  <c r="BQ38" i="55"/>
  <c r="CB38" i="55"/>
  <c r="CB57" i="55" s="1"/>
  <c r="CB39" i="55"/>
  <c r="CB58" i="55" s="1"/>
  <c r="CB77" i="55" s="1"/>
  <c r="BL46" i="55"/>
  <c r="BO46" i="55"/>
  <c r="BQ46" i="55"/>
  <c r="BT46" i="55"/>
  <c r="CB46" i="55"/>
  <c r="BL47" i="55"/>
  <c r="BQ47" i="55"/>
  <c r="BL48" i="55"/>
  <c r="BQ48" i="55"/>
  <c r="BL49" i="55"/>
  <c r="BO49" i="55"/>
  <c r="BQ49" i="55"/>
  <c r="BT49" i="55"/>
  <c r="BL50" i="55"/>
  <c r="BQ50" i="55"/>
  <c r="BL51" i="55"/>
  <c r="BQ51" i="55"/>
  <c r="BL52" i="55"/>
  <c r="BO52" i="55"/>
  <c r="BQ52" i="55"/>
  <c r="BT52" i="55"/>
  <c r="BL53" i="55"/>
  <c r="BQ53" i="55"/>
  <c r="BL54" i="55"/>
  <c r="BQ54" i="55"/>
  <c r="BL55" i="55"/>
  <c r="BO55" i="55"/>
  <c r="BQ55" i="55"/>
  <c r="BT55" i="55"/>
  <c r="BL56" i="55"/>
  <c r="BQ56" i="55"/>
  <c r="BL57" i="55"/>
  <c r="BQ57" i="55"/>
  <c r="BL65" i="55"/>
  <c r="BO65" i="55"/>
  <c r="BQ65" i="55"/>
  <c r="BT65" i="55"/>
  <c r="BL66" i="55"/>
  <c r="BQ66" i="55"/>
  <c r="BL67" i="55"/>
  <c r="BQ67" i="55"/>
  <c r="BL68" i="55"/>
  <c r="BO68" i="55"/>
  <c r="BQ68" i="55"/>
  <c r="BT68" i="55"/>
  <c r="BL69" i="55"/>
  <c r="BQ69" i="55"/>
  <c r="BL70" i="55"/>
  <c r="BQ70" i="55"/>
  <c r="BL71" i="55"/>
  <c r="BO71" i="55"/>
  <c r="BQ71" i="55"/>
  <c r="BT71" i="55"/>
  <c r="BL72" i="55"/>
  <c r="BQ72" i="55"/>
  <c r="BL73" i="55"/>
  <c r="BQ73" i="55"/>
  <c r="BL74" i="55"/>
  <c r="BO74" i="55"/>
  <c r="BQ74" i="55"/>
  <c r="BT74" i="55"/>
  <c r="BL75" i="55"/>
  <c r="BQ75" i="55"/>
  <c r="BL76" i="55"/>
  <c r="BQ76" i="55"/>
  <c r="BL84" i="55"/>
  <c r="BO84" i="55"/>
  <c r="BQ84" i="55"/>
  <c r="BT84" i="55"/>
  <c r="BL85" i="55"/>
  <c r="BQ85" i="55"/>
  <c r="BL86" i="55"/>
  <c r="BQ86" i="55"/>
  <c r="BL87" i="55"/>
  <c r="BO87" i="55"/>
  <c r="BQ87" i="55"/>
  <c r="BT87" i="55"/>
  <c r="BL88" i="55"/>
  <c r="BQ88" i="55"/>
  <c r="BL89" i="55"/>
  <c r="BQ89" i="55"/>
  <c r="BL90" i="55"/>
  <c r="BO90" i="55"/>
  <c r="BQ90" i="55"/>
  <c r="BT90" i="55"/>
  <c r="BL91" i="55"/>
  <c r="BQ91" i="55"/>
  <c r="BL92" i="55"/>
  <c r="BQ92" i="55"/>
  <c r="BL93" i="55"/>
  <c r="BO93" i="55"/>
  <c r="BQ93" i="55"/>
  <c r="BT93" i="55"/>
  <c r="BL94" i="55"/>
  <c r="BQ94" i="55"/>
  <c r="BL95" i="55"/>
  <c r="BQ95" i="55"/>
  <c r="BL103" i="55"/>
  <c r="BO103" i="55"/>
  <c r="BQ103" i="55"/>
  <c r="BT103" i="55"/>
  <c r="BL104" i="55"/>
  <c r="BQ104" i="55"/>
  <c r="BL105" i="55"/>
  <c r="BQ105" i="55"/>
  <c r="BL106" i="55"/>
  <c r="BO106" i="55"/>
  <c r="BQ106" i="55"/>
  <c r="BT106" i="55"/>
  <c r="BL107" i="55"/>
  <c r="BQ107" i="55"/>
  <c r="BL108" i="55"/>
  <c r="BQ108" i="55"/>
  <c r="BL109" i="55"/>
  <c r="BO109" i="55"/>
  <c r="BQ109" i="55"/>
  <c r="BT109" i="55"/>
  <c r="BL110" i="55"/>
  <c r="BQ110" i="55"/>
  <c r="BL111" i="55"/>
  <c r="BQ111" i="55"/>
  <c r="BL112" i="55"/>
  <c r="BO112" i="55"/>
  <c r="BQ112" i="55"/>
  <c r="BT112" i="55"/>
  <c r="BL113" i="55"/>
  <c r="BQ113" i="55"/>
  <c r="BL114" i="55"/>
  <c r="BQ114" i="55"/>
  <c r="CC75" i="55" l="1"/>
  <c r="CC38" i="55"/>
  <c r="BX39" i="55"/>
  <c r="CC94" i="55"/>
  <c r="CC57" i="55"/>
  <c r="BX58" i="55"/>
  <c r="BZ58" i="55" s="1"/>
  <c r="CC17" i="55"/>
  <c r="BX18" i="55"/>
  <c r="CC113" i="55"/>
  <c r="CB96" i="55"/>
  <c r="CB73" i="55"/>
  <c r="CB71" i="55"/>
  <c r="CB50" i="55"/>
  <c r="BX19" i="55"/>
  <c r="CB67" i="55"/>
  <c r="CB65" i="55"/>
  <c r="CB76" i="55"/>
  <c r="CB74" i="55"/>
  <c r="BX77" i="55"/>
  <c r="CB91" i="55"/>
  <c r="CB51" i="55"/>
  <c r="CB49" i="55"/>
  <c r="CB85" i="55"/>
  <c r="CB56" i="55"/>
  <c r="BY77" i="55" l="1"/>
  <c r="CA77" i="55"/>
  <c r="CB69" i="55"/>
  <c r="CC112" i="55"/>
  <c r="CB104" i="55"/>
  <c r="CB95" i="55"/>
  <c r="CC93" i="55"/>
  <c r="CC16" i="55"/>
  <c r="BX17" i="55"/>
  <c r="CB90" i="55"/>
  <c r="CA39" i="55"/>
  <c r="BZ39" i="55"/>
  <c r="BY39" i="55"/>
  <c r="CB70" i="55"/>
  <c r="CB110" i="55"/>
  <c r="CB84" i="55"/>
  <c r="BZ77" i="55"/>
  <c r="CB68" i="55"/>
  <c r="CB93" i="55"/>
  <c r="CC37" i="55"/>
  <c r="BX38" i="55"/>
  <c r="CB86" i="55"/>
  <c r="CB115" i="55"/>
  <c r="BX76" i="55"/>
  <c r="BZ76" i="55" s="1"/>
  <c r="BY18" i="55"/>
  <c r="BZ18" i="55"/>
  <c r="CA18" i="55"/>
  <c r="CB92" i="55"/>
  <c r="BX96" i="55"/>
  <c r="BZ96" i="55" s="1"/>
  <c r="CC74" i="55"/>
  <c r="CA58" i="55"/>
  <c r="BY58" i="55"/>
  <c r="BY19" i="55"/>
  <c r="BZ19" i="55"/>
  <c r="CA19" i="55"/>
  <c r="CB75" i="55"/>
  <c r="CC56" i="55"/>
  <c r="BX57" i="55"/>
  <c r="CB89" i="55" l="1"/>
  <c r="CA76" i="55"/>
  <c r="CB87" i="55"/>
  <c r="BY57" i="55"/>
  <c r="CA57" i="55"/>
  <c r="BZ57" i="55"/>
  <c r="CB109" i="55"/>
  <c r="CB114" i="55"/>
  <c r="BX95" i="55"/>
  <c r="CA95" i="55" s="1"/>
  <c r="CC55" i="55"/>
  <c r="BX56" i="55"/>
  <c r="BY76" i="55"/>
  <c r="CB103" i="55"/>
  <c r="CC111" i="55"/>
  <c r="CB111" i="55"/>
  <c r="BX115" i="55"/>
  <c r="CB105" i="55"/>
  <c r="CB112" i="55"/>
  <c r="BX112" i="55" s="1"/>
  <c r="CB94" i="55"/>
  <c r="CA17" i="55"/>
  <c r="BY17" i="55"/>
  <c r="BZ17" i="55"/>
  <c r="BX75" i="55"/>
  <c r="CA75" i="55" s="1"/>
  <c r="BX16" i="55"/>
  <c r="CC15" i="55"/>
  <c r="CB88" i="55"/>
  <c r="BY96" i="55"/>
  <c r="CA96" i="55"/>
  <c r="BX74" i="55"/>
  <c r="CC73" i="55"/>
  <c r="CA38" i="55"/>
  <c r="BY38" i="55"/>
  <c r="BZ38" i="55"/>
  <c r="CC36" i="55"/>
  <c r="BX37" i="55"/>
  <c r="BX93" i="55"/>
  <c r="CA93" i="55" s="1"/>
  <c r="CC92" i="55"/>
  <c r="BZ93" i="55" l="1"/>
  <c r="CC54" i="55"/>
  <c r="BX55" i="55"/>
  <c r="CB106" i="55"/>
  <c r="BX114" i="55"/>
  <c r="BY114" i="55" s="1"/>
  <c r="CA115" i="55"/>
  <c r="BY115" i="55"/>
  <c r="BZ95" i="55"/>
  <c r="CB107" i="55"/>
  <c r="BZ37" i="55"/>
  <c r="BY37" i="55"/>
  <c r="CA37" i="55"/>
  <c r="BY95" i="55"/>
  <c r="BZ75" i="55"/>
  <c r="BY16" i="55"/>
  <c r="BZ16" i="55"/>
  <c r="CA16" i="55"/>
  <c r="BY93" i="55"/>
  <c r="CC72" i="55"/>
  <c r="BX73" i="55"/>
  <c r="BY75" i="55"/>
  <c r="CC110" i="55"/>
  <c r="BX111" i="55"/>
  <c r="BY111" i="55" s="1"/>
  <c r="BX15" i="55"/>
  <c r="CC14" i="55"/>
  <c r="BY74" i="55"/>
  <c r="BZ74" i="55"/>
  <c r="CA74" i="55"/>
  <c r="CB113" i="55"/>
  <c r="BX94" i="55"/>
  <c r="BZ94" i="55" s="1"/>
  <c r="BZ115" i="55"/>
  <c r="CC35" i="55"/>
  <c r="BX36" i="55"/>
  <c r="BY112" i="55"/>
  <c r="BZ112" i="55"/>
  <c r="CA112" i="55"/>
  <c r="CB108" i="55"/>
  <c r="CA56" i="55"/>
  <c r="BZ56" i="55"/>
  <c r="BY56" i="55"/>
  <c r="CC91" i="55"/>
  <c r="BX92" i="55"/>
  <c r="CA94" i="55" l="1"/>
  <c r="BY94" i="55"/>
  <c r="CA111" i="55"/>
  <c r="CA114" i="55"/>
  <c r="BZ111" i="55"/>
  <c r="BZ114" i="55"/>
  <c r="BX14" i="55"/>
  <c r="CC13" i="55"/>
  <c r="BY15" i="55"/>
  <c r="BZ15" i="55"/>
  <c r="CA15" i="55"/>
  <c r="CC109" i="55"/>
  <c r="BX110" i="55"/>
  <c r="CA36" i="55"/>
  <c r="BY36" i="55"/>
  <c r="BZ36" i="55"/>
  <c r="BZ55" i="55"/>
  <c r="CA55" i="55"/>
  <c r="BY55" i="55"/>
  <c r="CA92" i="55"/>
  <c r="BY92" i="55"/>
  <c r="BZ92" i="55"/>
  <c r="CC34" i="55"/>
  <c r="BX35" i="55"/>
  <c r="BX72" i="55"/>
  <c r="CC71" i="55"/>
  <c r="CC53" i="55"/>
  <c r="BX54" i="55"/>
  <c r="BZ73" i="55"/>
  <c r="BY73" i="55"/>
  <c r="CA73" i="55"/>
  <c r="BX91" i="55"/>
  <c r="CC90" i="55"/>
  <c r="BX113" i="55"/>
  <c r="BZ113" i="55" s="1"/>
  <c r="CA35" i="55" l="1"/>
  <c r="BY35" i="55"/>
  <c r="BZ35" i="55"/>
  <c r="CA113" i="55"/>
  <c r="CC33" i="55"/>
  <c r="BX34" i="55"/>
  <c r="CA72" i="55"/>
  <c r="BY72" i="55"/>
  <c r="BZ72" i="55"/>
  <c r="BY113" i="55"/>
  <c r="CC70" i="55"/>
  <c r="BX71" i="55"/>
  <c r="BY91" i="55"/>
  <c r="BZ91" i="55"/>
  <c r="CA91" i="55"/>
  <c r="BX13" i="55"/>
  <c r="CC12" i="55"/>
  <c r="BY14" i="55"/>
  <c r="CA14" i="55"/>
  <c r="BZ14" i="55"/>
  <c r="CC89" i="55"/>
  <c r="BX90" i="55"/>
  <c r="BY54" i="55"/>
  <c r="CA54" i="55"/>
  <c r="BZ54" i="55"/>
  <c r="CC52" i="55"/>
  <c r="BX53" i="55"/>
  <c r="CC108" i="55"/>
  <c r="BX109" i="55"/>
  <c r="BY110" i="55"/>
  <c r="CA110" i="55"/>
  <c r="BZ110" i="55"/>
  <c r="BY13" i="55" l="1"/>
  <c r="BZ13" i="55"/>
  <c r="CA13" i="55"/>
  <c r="BZ71" i="55"/>
  <c r="BY71" i="55"/>
  <c r="CA71" i="55"/>
  <c r="BY53" i="55"/>
  <c r="CA53" i="55"/>
  <c r="BZ53" i="55"/>
  <c r="CC51" i="55"/>
  <c r="BX52" i="55"/>
  <c r="CA34" i="55"/>
  <c r="BZ34" i="55"/>
  <c r="BY34" i="55"/>
  <c r="CA109" i="55"/>
  <c r="BZ109" i="55"/>
  <c r="BY109" i="55"/>
  <c r="CC107" i="55"/>
  <c r="BX108" i="55"/>
  <c r="BX70" i="55"/>
  <c r="CC69" i="55"/>
  <c r="CC88" i="55"/>
  <c r="BX89" i="55"/>
  <c r="CC32" i="55"/>
  <c r="BX33" i="55"/>
  <c r="CA90" i="55"/>
  <c r="BZ90" i="55"/>
  <c r="BY90" i="55"/>
  <c r="BX12" i="55"/>
  <c r="CC11" i="55"/>
  <c r="CC10" i="55" l="1"/>
  <c r="BX11" i="55"/>
  <c r="BY12" i="55"/>
  <c r="BZ12" i="55"/>
  <c r="CA12" i="55"/>
  <c r="BX51" i="55"/>
  <c r="CC50" i="55"/>
  <c r="BX32" i="55"/>
  <c r="CC31" i="55"/>
  <c r="CA33" i="55"/>
  <c r="BY33" i="55"/>
  <c r="BZ33" i="55"/>
  <c r="CA52" i="55"/>
  <c r="BY52" i="55"/>
  <c r="BZ52" i="55"/>
  <c r="CA108" i="55"/>
  <c r="BY108" i="55"/>
  <c r="BZ108" i="55"/>
  <c r="BY89" i="55"/>
  <c r="CA89" i="55"/>
  <c r="BZ89" i="55"/>
  <c r="CC87" i="55"/>
  <c r="BX88" i="55"/>
  <c r="CC68" i="55"/>
  <c r="BX69" i="55"/>
  <c r="CC106" i="55"/>
  <c r="BX107" i="55"/>
  <c r="BY70" i="55"/>
  <c r="BZ70" i="55"/>
  <c r="CA70" i="55"/>
  <c r="BZ107" i="55" l="1"/>
  <c r="CA107" i="55"/>
  <c r="BY107" i="55"/>
  <c r="CC30" i="55"/>
  <c r="BX31" i="55"/>
  <c r="BY32" i="55"/>
  <c r="BZ32" i="55"/>
  <c r="CA32" i="55"/>
  <c r="BZ88" i="55"/>
  <c r="BY88" i="55"/>
  <c r="CA88" i="55"/>
  <c r="CC49" i="55"/>
  <c r="BX50" i="55"/>
  <c r="BZ51" i="55"/>
  <c r="BY51" i="55"/>
  <c r="CA51" i="55"/>
  <c r="CA69" i="55"/>
  <c r="BY69" i="55"/>
  <c r="BZ69" i="55"/>
  <c r="CC105" i="55"/>
  <c r="BX106" i="55"/>
  <c r="BX68" i="55"/>
  <c r="CC67" i="55"/>
  <c r="BY11" i="55"/>
  <c r="BZ11" i="55"/>
  <c r="CA11" i="55"/>
  <c r="CC86" i="55"/>
  <c r="BX87" i="55"/>
  <c r="CC9" i="55"/>
  <c r="BX10" i="55"/>
  <c r="BY10" i="55" l="1"/>
  <c r="BZ10" i="55"/>
  <c r="CA10" i="55"/>
  <c r="BY50" i="55"/>
  <c r="BZ50" i="55"/>
  <c r="CA50" i="55"/>
  <c r="CC8" i="55"/>
  <c r="BX9" i="55"/>
  <c r="CC85" i="55"/>
  <c r="BX86" i="55"/>
  <c r="BY87" i="55"/>
  <c r="BZ87" i="55"/>
  <c r="CA87" i="55"/>
  <c r="BY31" i="55"/>
  <c r="BZ31" i="55"/>
  <c r="CA31" i="55"/>
  <c r="CC66" i="55"/>
  <c r="BX67" i="55"/>
  <c r="CC104" i="55"/>
  <c r="BX105" i="55"/>
  <c r="BX30" i="55"/>
  <c r="CC29" i="55"/>
  <c r="BX49" i="55"/>
  <c r="CC48" i="55"/>
  <c r="CA106" i="55"/>
  <c r="BY106" i="55"/>
  <c r="BZ106" i="55"/>
  <c r="BY68" i="55"/>
  <c r="BZ68" i="55"/>
  <c r="CA68" i="55"/>
  <c r="CA86" i="55" l="1"/>
  <c r="BZ86" i="55"/>
  <c r="BY86" i="55"/>
  <c r="CC84" i="55"/>
  <c r="BX84" i="55" s="1"/>
  <c r="BX85" i="55"/>
  <c r="BY9" i="55"/>
  <c r="BZ9" i="55"/>
  <c r="CA9" i="55"/>
  <c r="BZ49" i="55"/>
  <c r="BY49" i="55"/>
  <c r="CA49" i="55"/>
  <c r="CC7" i="55"/>
  <c r="BX7" i="55" s="1"/>
  <c r="BX8" i="55"/>
  <c r="CC47" i="55"/>
  <c r="BX48" i="55"/>
  <c r="CC28" i="55"/>
  <c r="BX29" i="55"/>
  <c r="BY30" i="55"/>
  <c r="BZ30" i="55"/>
  <c r="CA30" i="55"/>
  <c r="CC103" i="55"/>
  <c r="BX103" i="55" s="1"/>
  <c r="BX104" i="55"/>
  <c r="CA67" i="55"/>
  <c r="BY67" i="55"/>
  <c r="BZ67" i="55"/>
  <c r="BY105" i="55"/>
  <c r="BZ105" i="55"/>
  <c r="CA105" i="55"/>
  <c r="CC65" i="55"/>
  <c r="BX65" i="55" s="1"/>
  <c r="BX66" i="55"/>
  <c r="CA65" i="55" l="1"/>
  <c r="BY65" i="55"/>
  <c r="BZ65" i="55"/>
  <c r="BX28" i="55"/>
  <c r="CC27" i="55"/>
  <c r="BX27" i="55" s="1"/>
  <c r="BX47" i="55"/>
  <c r="CC46" i="55"/>
  <c r="BX46" i="55" s="1"/>
  <c r="CA48" i="55"/>
  <c r="BY48" i="55"/>
  <c r="BZ48" i="55"/>
  <c r="BZ104" i="55"/>
  <c r="CA104" i="55"/>
  <c r="BY104" i="55"/>
  <c r="BY8" i="55"/>
  <c r="BZ8" i="55"/>
  <c r="CA8" i="55"/>
  <c r="CA85" i="55"/>
  <c r="BZ85" i="55"/>
  <c r="BY85" i="55"/>
  <c r="BY7" i="55"/>
  <c r="BZ7" i="55"/>
  <c r="CA7" i="55"/>
  <c r="CA84" i="55"/>
  <c r="BY84" i="55"/>
  <c r="BZ84" i="55"/>
  <c r="BY66" i="55"/>
  <c r="CA66" i="55"/>
  <c r="BZ66" i="55"/>
  <c r="BY103" i="55"/>
  <c r="BZ103" i="55"/>
  <c r="CA103" i="55"/>
  <c r="BY29" i="55"/>
  <c r="BZ29" i="55"/>
  <c r="CA29" i="55"/>
  <c r="CA46" i="55" l="1"/>
  <c r="BZ46" i="55"/>
  <c r="BY46" i="55"/>
  <c r="BZ47" i="55"/>
  <c r="BY47" i="55"/>
  <c r="CA47" i="55"/>
  <c r="BY27" i="55"/>
  <c r="CA27" i="55"/>
  <c r="BZ27" i="55"/>
  <c r="BY28" i="55"/>
  <c r="CA28" i="55"/>
  <c r="BZ28" i="55"/>
  <c r="BT29" i="16" l="1"/>
  <c r="T43" i="32"/>
  <c r="CB46" i="15" l="1"/>
  <c r="CB65" i="15" s="1"/>
  <c r="CB84" i="15" s="1"/>
  <c r="CB47" i="15"/>
  <c r="CB66" i="15" s="1"/>
  <c r="CB85" i="15" s="1"/>
  <c r="CB48" i="15"/>
  <c r="CB67" i="15" s="1"/>
  <c r="CB86" i="15" s="1"/>
  <c r="CB49" i="15"/>
  <c r="CB68" i="15" s="1"/>
  <c r="CB87" i="15" s="1"/>
  <c r="CB50" i="15"/>
  <c r="CB69" i="15" s="1"/>
  <c r="CB88" i="15" s="1"/>
  <c r="CB51" i="15"/>
  <c r="CB70" i="15" s="1"/>
  <c r="CB89" i="15" s="1"/>
  <c r="CB52" i="15"/>
  <c r="CB71" i="15" s="1"/>
  <c r="CB90" i="15" s="1"/>
  <c r="CB53" i="15"/>
  <c r="CB72" i="15" s="1"/>
  <c r="CB91" i="15" s="1"/>
  <c r="CB54" i="15"/>
  <c r="CB73" i="15" s="1"/>
  <c r="CB92" i="15" s="1"/>
  <c r="CB55" i="15"/>
  <c r="CB74" i="15" s="1"/>
  <c r="CB93" i="15" s="1"/>
  <c r="CB56" i="15"/>
  <c r="CB75" i="15" s="1"/>
  <c r="CB94" i="15" s="1"/>
  <c r="CB46" i="44"/>
  <c r="CB65" i="44" s="1"/>
  <c r="CB84" i="44" s="1"/>
  <c r="CB103" i="44" s="1"/>
  <c r="CB122" i="44" s="1"/>
  <c r="CB141" i="44" s="1"/>
  <c r="CB47" i="44"/>
  <c r="CB66" i="44" s="1"/>
  <c r="CB85" i="44" s="1"/>
  <c r="CB104" i="44" s="1"/>
  <c r="CB123" i="44" s="1"/>
  <c r="CB142" i="44" s="1"/>
  <c r="CB48" i="44"/>
  <c r="CB67" i="44" s="1"/>
  <c r="CB86" i="44" s="1"/>
  <c r="CB105" i="44" s="1"/>
  <c r="CB124" i="44" s="1"/>
  <c r="CB143" i="44" s="1"/>
  <c r="CB49" i="44"/>
  <c r="CB68" i="44" s="1"/>
  <c r="CB87" i="44" s="1"/>
  <c r="CB106" i="44" s="1"/>
  <c r="CB125" i="44" s="1"/>
  <c r="CB144" i="44" s="1"/>
  <c r="CB50" i="44"/>
  <c r="CB69" i="44" s="1"/>
  <c r="CB88" i="44" s="1"/>
  <c r="CB107" i="44" s="1"/>
  <c r="CB126" i="44" s="1"/>
  <c r="CB145" i="44" s="1"/>
  <c r="CB51" i="44"/>
  <c r="CB70" i="44" s="1"/>
  <c r="CB89" i="44" s="1"/>
  <c r="CB108" i="44" s="1"/>
  <c r="CB127" i="44" s="1"/>
  <c r="CB146" i="44" s="1"/>
  <c r="CB52" i="44"/>
  <c r="CB71" i="44" s="1"/>
  <c r="CB90" i="44" s="1"/>
  <c r="CB109" i="44" s="1"/>
  <c r="CB128" i="44" s="1"/>
  <c r="CB147" i="44" s="1"/>
  <c r="CB53" i="44"/>
  <c r="CB72" i="44" s="1"/>
  <c r="CB91" i="44" s="1"/>
  <c r="CB110" i="44" s="1"/>
  <c r="CB129" i="44" s="1"/>
  <c r="CB148" i="44" s="1"/>
  <c r="CB54" i="44"/>
  <c r="CB73" i="44" s="1"/>
  <c r="CB92" i="44" s="1"/>
  <c r="CB111" i="44" s="1"/>
  <c r="CB130" i="44" s="1"/>
  <c r="CB149" i="44" s="1"/>
  <c r="CB55" i="44"/>
  <c r="CB74" i="44" s="1"/>
  <c r="CB93" i="44" s="1"/>
  <c r="CB112" i="44" s="1"/>
  <c r="CB131" i="44" s="1"/>
  <c r="CB150" i="44" s="1"/>
  <c r="CB56" i="44"/>
  <c r="CB75" i="44" s="1"/>
  <c r="CB94" i="44" s="1"/>
  <c r="CB113" i="44" s="1"/>
  <c r="CB132" i="44" s="1"/>
  <c r="CB151" i="44" s="1"/>
  <c r="CB57" i="44"/>
  <c r="CB76" i="44" s="1"/>
  <c r="CB95" i="44" s="1"/>
  <c r="CB114" i="44" s="1"/>
  <c r="CB133" i="44" s="1"/>
  <c r="CB152" i="44" s="1"/>
  <c r="CB45" i="44"/>
  <c r="CB64" i="44" s="1"/>
  <c r="CB83" i="44" s="1"/>
  <c r="CB102" i="44" s="1"/>
  <c r="CB121" i="44" s="1"/>
  <c r="CB140" i="44" s="1"/>
  <c r="CB67" i="16"/>
  <c r="CB86" i="16" s="1"/>
  <c r="CB47" i="16"/>
  <c r="CB68" i="16" s="1"/>
  <c r="CB87" i="16" s="1"/>
  <c r="CB48" i="16"/>
  <c r="CB69" i="16" s="1"/>
  <c r="CB88" i="16" s="1"/>
  <c r="CB49" i="16"/>
  <c r="CB70" i="16" s="1"/>
  <c r="CB89" i="16" s="1"/>
  <c r="CB50" i="16"/>
  <c r="CB71" i="16" s="1"/>
  <c r="CB90" i="16" s="1"/>
  <c r="CB51" i="16"/>
  <c r="CB72" i="16" s="1"/>
  <c r="CB91" i="16" s="1"/>
  <c r="CB52" i="16"/>
  <c r="CB73" i="16" s="1"/>
  <c r="CB92" i="16" s="1"/>
  <c r="CB53" i="16"/>
  <c r="CB74" i="16" s="1"/>
  <c r="CB93" i="16" s="1"/>
  <c r="CB54" i="16"/>
  <c r="CB75" i="16" s="1"/>
  <c r="CB94" i="16" s="1"/>
  <c r="CB55" i="16"/>
  <c r="CB76" i="16" s="1"/>
  <c r="CB95" i="16" s="1"/>
  <c r="CB56" i="16"/>
  <c r="CB77" i="16" s="1"/>
  <c r="CB96" i="16" s="1"/>
  <c r="CB97" i="16"/>
  <c r="CB46" i="5"/>
  <c r="CB47" i="5"/>
  <c r="CB66" i="5" s="1"/>
  <c r="CB85" i="5" s="1"/>
  <c r="CJ104" i="5" s="1"/>
  <c r="CB48" i="5"/>
  <c r="CB49" i="5"/>
  <c r="CB68" i="5" s="1"/>
  <c r="CB87" i="5" s="1"/>
  <c r="CJ106" i="5" s="1"/>
  <c r="CB50" i="5"/>
  <c r="CB69" i="5" s="1"/>
  <c r="CB88" i="5" s="1"/>
  <c r="CJ107" i="5" s="1"/>
  <c r="CB51" i="5"/>
  <c r="CB52" i="5"/>
  <c r="CB71" i="5" s="1"/>
  <c r="CB90" i="5" s="1"/>
  <c r="CJ109" i="5" s="1"/>
  <c r="CB53" i="5"/>
  <c r="CB72" i="5" s="1"/>
  <c r="CB91" i="5" s="1"/>
  <c r="CJ110" i="5" s="1"/>
  <c r="CB54" i="5"/>
  <c r="CB55" i="5"/>
  <c r="CB74" i="5" s="1"/>
  <c r="CB93" i="5" s="1"/>
  <c r="CJ112" i="5" s="1"/>
  <c r="CB56" i="5"/>
  <c r="CB75" i="5" s="1"/>
  <c r="CB94" i="5" s="1"/>
  <c r="CJ113" i="5" s="1"/>
  <c r="CB57" i="5"/>
  <c r="CB64" i="5"/>
  <c r="CB83" i="5" s="1"/>
  <c r="CJ102" i="5" s="1"/>
  <c r="CB46" i="14"/>
  <c r="CB65" i="14" s="1"/>
  <c r="CB47" i="14"/>
  <c r="CB66" i="14" s="1"/>
  <c r="CB48" i="14"/>
  <c r="CB67" i="14" s="1"/>
  <c r="CB49" i="14"/>
  <c r="CB68" i="14" s="1"/>
  <c r="CB50" i="14"/>
  <c r="CB69" i="14" s="1"/>
  <c r="CB51" i="14"/>
  <c r="CB70" i="14" s="1"/>
  <c r="CB52" i="14"/>
  <c r="CB71" i="14" s="1"/>
  <c r="CB53" i="14"/>
  <c r="CB72" i="14" s="1"/>
  <c r="CB54" i="14"/>
  <c r="CB73" i="14" s="1"/>
  <c r="CB55" i="14"/>
  <c r="CB74" i="14" s="1"/>
  <c r="CB56" i="14"/>
  <c r="CB75" i="14" s="1"/>
  <c r="CB57" i="14"/>
  <c r="CB76" i="14" s="1"/>
  <c r="CB45" i="14"/>
  <c r="CB64" i="14" s="1"/>
  <c r="CB46" i="6"/>
  <c r="CB47" i="6"/>
  <c r="CB66" i="6" s="1"/>
  <c r="CB85" i="6" s="1"/>
  <c r="CB103" i="6" s="1"/>
  <c r="CB48" i="6"/>
  <c r="CB67" i="6" s="1"/>
  <c r="CB86" i="6" s="1"/>
  <c r="CB104" i="6" s="1"/>
  <c r="CB49" i="6"/>
  <c r="CB68" i="6" s="1"/>
  <c r="CB87" i="6" s="1"/>
  <c r="CB105" i="6" s="1"/>
  <c r="CB50" i="6"/>
  <c r="CB69" i="6" s="1"/>
  <c r="CB88" i="6" s="1"/>
  <c r="CB106" i="6" s="1"/>
  <c r="CB51" i="6"/>
  <c r="CB70" i="6" s="1"/>
  <c r="CB89" i="6" s="1"/>
  <c r="CB107" i="6" s="1"/>
  <c r="CB52" i="6"/>
  <c r="CB71" i="6" s="1"/>
  <c r="CB90" i="6" s="1"/>
  <c r="CB108" i="6" s="1"/>
  <c r="CB53" i="6"/>
  <c r="CB72" i="6" s="1"/>
  <c r="CB91" i="6" s="1"/>
  <c r="CB109" i="6" s="1"/>
  <c r="CB54" i="6"/>
  <c r="CB73" i="6" s="1"/>
  <c r="CB92" i="6" s="1"/>
  <c r="CB110" i="6" s="1"/>
  <c r="CB55" i="6"/>
  <c r="CB74" i="6" s="1"/>
  <c r="CB93" i="6" s="1"/>
  <c r="CB111" i="6" s="1"/>
  <c r="CB56" i="6"/>
  <c r="CB75" i="6" s="1"/>
  <c r="CB94" i="6" s="1"/>
  <c r="CB112" i="6" s="1"/>
  <c r="CB57" i="6"/>
  <c r="CB76" i="6" s="1"/>
  <c r="CB95" i="6" s="1"/>
  <c r="CB113" i="6" s="1"/>
  <c r="CB45" i="6"/>
  <c r="CB47" i="8"/>
  <c r="CB66" i="8" s="1"/>
  <c r="CB48" i="8"/>
  <c r="CB67" i="8" s="1"/>
  <c r="CB49" i="8"/>
  <c r="CB68" i="8" s="1"/>
  <c r="CB50" i="8"/>
  <c r="CB69" i="8" s="1"/>
  <c r="CB51" i="8"/>
  <c r="CB70" i="8" s="1"/>
  <c r="CB52" i="8"/>
  <c r="CB71" i="8" s="1"/>
  <c r="CB53" i="8"/>
  <c r="CB72" i="8" s="1"/>
  <c r="CB54" i="8"/>
  <c r="CB73" i="8" s="1"/>
  <c r="CB55" i="8"/>
  <c r="CB74" i="8" s="1"/>
  <c r="CB56" i="8"/>
  <c r="CB75" i="8" s="1"/>
  <c r="CB57" i="8"/>
  <c r="CB76" i="8" s="1"/>
  <c r="CB58" i="8"/>
  <c r="CB77" i="8" s="1"/>
  <c r="CB46" i="8"/>
  <c r="CB65" i="8" s="1"/>
  <c r="CB46" i="7"/>
  <c r="CB65" i="7" s="1"/>
  <c r="CB84" i="7" s="1"/>
  <c r="CB102" i="7" s="1"/>
  <c r="CB47" i="7"/>
  <c r="CB66" i="7" s="1"/>
  <c r="CB85" i="7" s="1"/>
  <c r="CB103" i="7" s="1"/>
  <c r="CB48" i="7"/>
  <c r="CB67" i="7" s="1"/>
  <c r="CB86" i="7" s="1"/>
  <c r="CB104" i="7" s="1"/>
  <c r="CB49" i="7"/>
  <c r="CB68" i="7" s="1"/>
  <c r="CB87" i="7" s="1"/>
  <c r="CB105" i="7" s="1"/>
  <c r="CB69" i="7"/>
  <c r="CB88" i="7" s="1"/>
  <c r="CB106" i="7" s="1"/>
  <c r="CB52" i="7"/>
  <c r="CB71" i="7" s="1"/>
  <c r="CB90" i="7" s="1"/>
  <c r="CB108" i="7" s="1"/>
  <c r="CB53" i="7"/>
  <c r="CB72" i="7" s="1"/>
  <c r="CB91" i="7" s="1"/>
  <c r="CB109" i="7" s="1"/>
  <c r="CB54" i="7"/>
  <c r="CB73" i="7" s="1"/>
  <c r="CB92" i="7" s="1"/>
  <c r="CB110" i="7" s="1"/>
  <c r="CB55" i="7"/>
  <c r="CB74" i="7" s="1"/>
  <c r="CB93" i="7" s="1"/>
  <c r="CB111" i="7" s="1"/>
  <c r="CB56" i="7"/>
  <c r="CB75" i="7" s="1"/>
  <c r="CB94" i="7" s="1"/>
  <c r="CB112" i="7" s="1"/>
  <c r="CB57" i="7"/>
  <c r="CB76" i="7" s="1"/>
  <c r="CB95" i="7" s="1"/>
  <c r="CB113" i="7" s="1"/>
  <c r="CB45" i="7"/>
  <c r="CB64" i="7" s="1"/>
  <c r="CB83" i="7" s="1"/>
  <c r="CB101" i="7" s="1"/>
  <c r="CB46" i="2"/>
  <c r="CB65" i="2" s="1"/>
  <c r="CB47" i="2"/>
  <c r="CB66" i="2" s="1"/>
  <c r="CB48" i="2"/>
  <c r="CB67" i="2" s="1"/>
  <c r="CB49" i="2"/>
  <c r="CB68" i="2" s="1"/>
  <c r="CB50" i="2"/>
  <c r="CB69" i="2" s="1"/>
  <c r="CB51" i="2"/>
  <c r="CB70" i="2" s="1"/>
  <c r="CB52" i="2"/>
  <c r="CB71" i="2" s="1"/>
  <c r="CB53" i="2"/>
  <c r="CB72" i="2" s="1"/>
  <c r="CB54" i="2"/>
  <c r="CB73" i="2" s="1"/>
  <c r="CB74" i="2"/>
  <c r="CB93" i="2" s="1"/>
  <c r="CB56" i="2"/>
  <c r="CB75" i="2" s="1"/>
  <c r="CB57" i="2"/>
  <c r="CB76" i="2" s="1"/>
  <c r="CB45" i="2"/>
  <c r="CB64" i="2" s="1"/>
  <c r="CB126" i="5" l="1"/>
  <c r="CC145" i="5" s="1"/>
  <c r="CB124" i="5"/>
  <c r="CC143" i="5" s="1"/>
  <c r="CB129" i="5"/>
  <c r="CC148" i="5" s="1"/>
  <c r="CB133" i="5"/>
  <c r="CC152" i="5" s="1"/>
  <c r="CB127" i="5"/>
  <c r="CC146" i="5" s="1"/>
  <c r="CB130" i="5"/>
  <c r="CC149" i="5" s="1"/>
  <c r="CB65" i="5"/>
  <c r="CB84" i="5" s="1"/>
  <c r="CJ103" i="5" s="1"/>
  <c r="CB67" i="5"/>
  <c r="CB86" i="5" s="1"/>
  <c r="CJ105" i="5" s="1"/>
  <c r="CB76" i="5"/>
  <c r="CB95" i="5" s="1"/>
  <c r="CJ114" i="5" s="1"/>
  <c r="CB73" i="5"/>
  <c r="CB92" i="5" s="1"/>
  <c r="CJ111" i="5" s="1"/>
  <c r="CB70" i="5"/>
  <c r="CB89" i="5" s="1"/>
  <c r="CJ108" i="5" s="1"/>
  <c r="CB64" i="6"/>
  <c r="CB83" i="6" s="1"/>
  <c r="CB65" i="6"/>
  <c r="CB84" i="6" s="1"/>
  <c r="CB122" i="5"/>
  <c r="CC141" i="5" s="1"/>
  <c r="CA107" i="7"/>
  <c r="BZ107" i="7"/>
  <c r="BY107" i="7"/>
  <c r="BX105" i="7"/>
  <c r="BX106" i="7"/>
  <c r="BX102" i="7"/>
  <c r="BX108" i="7"/>
  <c r="BX103" i="7"/>
  <c r="BX110" i="7"/>
  <c r="BX101" i="7"/>
  <c r="BX113" i="7"/>
  <c r="BX104" i="7"/>
  <c r="BX112" i="7"/>
  <c r="BX109" i="7"/>
  <c r="BX111" i="7"/>
  <c r="CB89" i="2"/>
  <c r="BX70" i="2"/>
  <c r="BY70" i="2" s="1"/>
  <c r="CB85" i="2"/>
  <c r="BX66" i="2"/>
  <c r="BY66" i="2" s="1"/>
  <c r="CB94" i="2"/>
  <c r="BX75" i="2"/>
  <c r="BZ75" i="2" s="1"/>
  <c r="CB86" i="2"/>
  <c r="BX67" i="2"/>
  <c r="CA67" i="2" s="1"/>
  <c r="CB88" i="2"/>
  <c r="BX69" i="2"/>
  <c r="BZ69" i="2" s="1"/>
  <c r="CB90" i="2"/>
  <c r="BX71" i="2"/>
  <c r="CA71" i="2" s="1"/>
  <c r="CB92" i="2"/>
  <c r="BX73" i="2"/>
  <c r="BY73" i="2" s="1"/>
  <c r="CB95" i="2"/>
  <c r="BX76" i="2"/>
  <c r="BX74" i="2"/>
  <c r="BY74" i="2" s="1"/>
  <c r="CB83" i="2"/>
  <c r="BX64" i="2"/>
  <c r="BZ64" i="2" s="1"/>
  <c r="CB91" i="2"/>
  <c r="BX72" i="2"/>
  <c r="BY72" i="2" s="1"/>
  <c r="CB84" i="2"/>
  <c r="BX65" i="2"/>
  <c r="BY65" i="2" s="1"/>
  <c r="CB87" i="2"/>
  <c r="BX68" i="2"/>
  <c r="BZ68" i="2" s="1"/>
  <c r="BW172" i="5"/>
  <c r="CD172" i="5" s="1"/>
  <c r="CC165" i="5" l="1"/>
  <c r="BX146" i="5"/>
  <c r="CC160" i="5"/>
  <c r="CB131" i="5"/>
  <c r="CC150" i="5" s="1"/>
  <c r="CB128" i="5"/>
  <c r="CC147" i="5" s="1"/>
  <c r="CB123" i="5"/>
  <c r="CC142" i="5" s="1"/>
  <c r="CB134" i="5"/>
  <c r="CC153" i="5" s="1"/>
  <c r="BZ151" i="5" s="1"/>
  <c r="CB125" i="5"/>
  <c r="CC144" i="5" s="1"/>
  <c r="CC162" i="5"/>
  <c r="CC171" i="5"/>
  <c r="CC168" i="5"/>
  <c r="CC167" i="5"/>
  <c r="CC164" i="5"/>
  <c r="CD171" i="5"/>
  <c r="CD170" i="5" s="1"/>
  <c r="CD169" i="5" s="1"/>
  <c r="CD168" i="5" s="1"/>
  <c r="CD167" i="5" s="1"/>
  <c r="CD166" i="5" s="1"/>
  <c r="CD165" i="5" s="1"/>
  <c r="CD164" i="5" s="1"/>
  <c r="CD163" i="5" s="1"/>
  <c r="CD162" i="5" s="1"/>
  <c r="CD161" i="5" s="1"/>
  <c r="CD160" i="5" s="1"/>
  <c r="CB102" i="6"/>
  <c r="CB101" i="6"/>
  <c r="BX149" i="5"/>
  <c r="BX141" i="5"/>
  <c r="BX145" i="5"/>
  <c r="BX148" i="5"/>
  <c r="BX152" i="5"/>
  <c r="BX143" i="5"/>
  <c r="CA104" i="7"/>
  <c r="BY104" i="7"/>
  <c r="BZ104" i="7"/>
  <c r="BZ111" i="7"/>
  <c r="BY111" i="7"/>
  <c r="CA111" i="7"/>
  <c r="BY113" i="7"/>
  <c r="BZ113" i="7"/>
  <c r="CA113" i="7"/>
  <c r="BY109" i="7"/>
  <c r="BZ109" i="7"/>
  <c r="CA109" i="7"/>
  <c r="BZ101" i="7"/>
  <c r="BY101" i="7"/>
  <c r="CA101" i="7"/>
  <c r="BZ112" i="7"/>
  <c r="BY112" i="7"/>
  <c r="CA112" i="7"/>
  <c r="BY110" i="7"/>
  <c r="BZ110" i="7"/>
  <c r="CA110" i="7"/>
  <c r="CA103" i="7"/>
  <c r="BZ103" i="7"/>
  <c r="BY103" i="7"/>
  <c r="CA108" i="7"/>
  <c r="BY108" i="7"/>
  <c r="BZ108" i="7"/>
  <c r="CA102" i="7"/>
  <c r="BZ102" i="7"/>
  <c r="BY102" i="7"/>
  <c r="BY106" i="7"/>
  <c r="CA106" i="7"/>
  <c r="BZ106" i="7"/>
  <c r="BZ105" i="7"/>
  <c r="BY105" i="7"/>
  <c r="CA105" i="7"/>
  <c r="BY68" i="2"/>
  <c r="BY69" i="2"/>
  <c r="BZ74" i="2"/>
  <c r="BZ72" i="2"/>
  <c r="CA74" i="2"/>
  <c r="BZ71" i="2"/>
  <c r="BZ67" i="2"/>
  <c r="CA76" i="2"/>
  <c r="BY76" i="2"/>
  <c r="BY71" i="2"/>
  <c r="BY67" i="2"/>
  <c r="CA66" i="2"/>
  <c r="CA72" i="2"/>
  <c r="BZ66" i="2"/>
  <c r="BZ76" i="2"/>
  <c r="CA64" i="2"/>
  <c r="CA70" i="2"/>
  <c r="BY64" i="2"/>
  <c r="BZ65" i="2"/>
  <c r="CA69" i="2"/>
  <c r="CA75" i="2"/>
  <c r="BZ70" i="2"/>
  <c r="BZ73" i="2"/>
  <c r="BY75" i="2"/>
  <c r="CA65" i="2"/>
  <c r="CA73" i="2"/>
  <c r="CA68" i="2"/>
  <c r="BX142" i="5" l="1"/>
  <c r="CB142" i="5" s="1"/>
  <c r="BX144" i="5"/>
  <c r="BZ144" i="5" s="1"/>
  <c r="CA144" i="5"/>
  <c r="CC169" i="5"/>
  <c r="CC166" i="5"/>
  <c r="BZ145" i="5"/>
  <c r="BZ148" i="5"/>
  <c r="CA143" i="5"/>
  <c r="CA141" i="5"/>
  <c r="BZ149" i="5"/>
  <c r="CB143" i="5"/>
  <c r="BZ143" i="5"/>
  <c r="BZ152" i="5"/>
  <c r="BZ146" i="5"/>
  <c r="BZ141" i="5"/>
  <c r="BX147" i="5"/>
  <c r="CB147" i="5" s="1"/>
  <c r="BX150" i="5"/>
  <c r="CA150" i="5" s="1"/>
  <c r="BX160" i="5"/>
  <c r="CB160" i="5" s="1"/>
  <c r="CC163" i="5"/>
  <c r="CA148" i="5"/>
  <c r="CB151" i="5"/>
  <c r="CC172" i="5"/>
  <c r="BX153" i="5"/>
  <c r="BZ153" i="5" s="1"/>
  <c r="CA151" i="5"/>
  <c r="CC161" i="5"/>
  <c r="CB152" i="5"/>
  <c r="CA146" i="5"/>
  <c r="CB146" i="5"/>
  <c r="CB145" i="5"/>
  <c r="CB150" i="5"/>
  <c r="CB148" i="5"/>
  <c r="CB144" i="5"/>
  <c r="CB149" i="5"/>
  <c r="CA147" i="5"/>
  <c r="CA145" i="5"/>
  <c r="CA149" i="5"/>
  <c r="CA152" i="5"/>
  <c r="BX171" i="5"/>
  <c r="BZ147" i="5" l="1"/>
  <c r="BZ150" i="5"/>
  <c r="CA142" i="5"/>
  <c r="BZ142" i="5"/>
  <c r="CB171" i="5"/>
  <c r="CB153" i="5"/>
  <c r="CA153" i="5"/>
  <c r="BX172" i="5"/>
  <c r="BY172" i="5" s="1"/>
  <c r="CA171" i="5"/>
  <c r="BZ160" i="5"/>
  <c r="BY160" i="5"/>
  <c r="CA160" i="5"/>
  <c r="BY171" i="5"/>
  <c r="BZ171" i="5"/>
  <c r="BX170" i="5"/>
  <c r="CA170" i="5" s="1"/>
  <c r="CB170" i="5" l="1"/>
  <c r="CB172" i="5"/>
  <c r="BZ172" i="5"/>
  <c r="CA172" i="5"/>
  <c r="BY170" i="5"/>
  <c r="BZ170" i="5"/>
  <c r="BX169" i="5"/>
  <c r="BW57" i="16"/>
  <c r="CC57" i="16" s="1"/>
  <c r="CA169" i="5" l="1"/>
  <c r="CB169" i="5"/>
  <c r="BY169" i="5"/>
  <c r="BZ169" i="5"/>
  <c r="BX168" i="5"/>
  <c r="BX57" i="16"/>
  <c r="CC56" i="16"/>
  <c r="CA168" i="5" l="1"/>
  <c r="CB168" i="5"/>
  <c r="BY168" i="5"/>
  <c r="BZ168" i="5"/>
  <c r="BX167" i="5"/>
  <c r="CC55" i="16"/>
  <c r="BX56" i="16"/>
  <c r="BZ57" i="16"/>
  <c r="BY57" i="16"/>
  <c r="CA167" i="5" l="1"/>
  <c r="CB167" i="5"/>
  <c r="BY167" i="5"/>
  <c r="BZ167" i="5"/>
  <c r="BX166" i="5"/>
  <c r="BY56" i="16"/>
  <c r="BZ56" i="16"/>
  <c r="CC54" i="16"/>
  <c r="BX55" i="16"/>
  <c r="CA166" i="5" l="1"/>
  <c r="CB166" i="5"/>
  <c r="BY166" i="5"/>
  <c r="BZ166" i="5"/>
  <c r="BX165" i="5"/>
  <c r="BZ55" i="16"/>
  <c r="BY55" i="16"/>
  <c r="BX54" i="16"/>
  <c r="CC53" i="16"/>
  <c r="CA165" i="5" l="1"/>
  <c r="CB165" i="5"/>
  <c r="BY165" i="5"/>
  <c r="BZ165" i="5"/>
  <c r="BX164" i="5"/>
  <c r="BZ54" i="16"/>
  <c r="BY54" i="16"/>
  <c r="BX53" i="16"/>
  <c r="CC52" i="16"/>
  <c r="CA164" i="5" l="1"/>
  <c r="CB164" i="5"/>
  <c r="BZ164" i="5"/>
  <c r="BY164" i="5"/>
  <c r="BX163" i="5"/>
  <c r="BZ53" i="16"/>
  <c r="BY53" i="16"/>
  <c r="CC51" i="16"/>
  <c r="BX52" i="16"/>
  <c r="CA163" i="5" l="1"/>
  <c r="CB163" i="5"/>
  <c r="BZ163" i="5"/>
  <c r="BY163" i="5"/>
  <c r="BX162" i="5"/>
  <c r="BZ52" i="16"/>
  <c r="BY52" i="16"/>
  <c r="BX51" i="16"/>
  <c r="CC50" i="16"/>
  <c r="CA162" i="5" l="1"/>
  <c r="CB162" i="5"/>
  <c r="BZ162" i="5"/>
  <c r="BY162" i="5"/>
  <c r="BX161" i="5"/>
  <c r="CC49" i="16"/>
  <c r="BX50" i="16"/>
  <c r="BY51" i="16"/>
  <c r="BZ51" i="16"/>
  <c r="CA161" i="5" l="1"/>
  <c r="CB161" i="5"/>
  <c r="BZ161" i="5"/>
  <c r="BY161" i="5"/>
  <c r="BY50" i="16"/>
  <c r="BZ50" i="16"/>
  <c r="BX49" i="16"/>
  <c r="CC48" i="16"/>
  <c r="BX48" i="16" l="1"/>
  <c r="CC47" i="16"/>
  <c r="BZ49" i="16"/>
  <c r="BY49" i="16"/>
  <c r="BX47" i="16" l="1"/>
  <c r="CA47" i="16" s="1"/>
  <c r="CC46" i="16"/>
  <c r="BZ48" i="16"/>
  <c r="BY48" i="16"/>
  <c r="BX46" i="16" l="1"/>
  <c r="CA46" i="16" s="1"/>
  <c r="CC45" i="16"/>
  <c r="BX45" i="16" s="1"/>
  <c r="CA45" i="16" s="1"/>
  <c r="BZ47" i="16"/>
  <c r="BY47" i="16"/>
  <c r="BY45" i="16" l="1"/>
  <c r="BZ45" i="16"/>
  <c r="BZ46" i="16"/>
  <c r="BY46" i="16"/>
  <c r="CB105" i="16" l="1"/>
  <c r="CB123" i="16" s="1"/>
  <c r="CB142" i="16" s="1"/>
  <c r="CB162" i="16" s="1"/>
  <c r="CB181" i="16" s="1"/>
  <c r="CB106" i="16"/>
  <c r="CB124" i="16" s="1"/>
  <c r="CB143" i="16" s="1"/>
  <c r="CB163" i="16" s="1"/>
  <c r="CB107" i="16"/>
  <c r="CB125" i="16" s="1"/>
  <c r="CB144" i="16" s="1"/>
  <c r="CB164" i="16" s="1"/>
  <c r="CB109" i="16"/>
  <c r="CB127" i="16" s="1"/>
  <c r="CB146" i="16" s="1"/>
  <c r="CB166" i="16" s="1"/>
  <c r="CB110" i="16"/>
  <c r="CB128" i="16" s="1"/>
  <c r="CB147" i="16" s="1"/>
  <c r="CB167" i="16" s="1"/>
  <c r="CB111" i="16"/>
  <c r="CB129" i="16" s="1"/>
  <c r="CB148" i="16" s="1"/>
  <c r="CB168" i="16" s="1"/>
  <c r="CB112" i="16"/>
  <c r="CB130" i="16" s="1"/>
  <c r="CB149" i="16" s="1"/>
  <c r="CB169" i="16" s="1"/>
  <c r="CB114" i="16"/>
  <c r="CB132" i="16" s="1"/>
  <c r="CB151" i="16" s="1"/>
  <c r="CB171" i="16" s="1"/>
  <c r="BW78" i="16"/>
  <c r="CC78" i="16" s="1"/>
  <c r="BO85" i="16"/>
  <c r="BT85" i="16"/>
  <c r="BO88" i="16"/>
  <c r="BT88" i="16"/>
  <c r="CB108" i="16"/>
  <c r="CB126" i="16" s="1"/>
  <c r="CB145" i="16" s="1"/>
  <c r="CB165" i="16" s="1"/>
  <c r="BO91" i="16"/>
  <c r="BT91" i="16"/>
  <c r="BO94" i="16"/>
  <c r="BT94" i="16"/>
  <c r="CB113" i="16"/>
  <c r="CB131" i="16" s="1"/>
  <c r="CB150" i="16" s="1"/>
  <c r="CB170" i="16" s="1"/>
  <c r="CB115" i="16"/>
  <c r="CB133" i="16" s="1"/>
  <c r="CB152" i="16" s="1"/>
  <c r="CB172" i="16" s="1"/>
  <c r="BW97" i="16"/>
  <c r="CC97" i="16" s="1"/>
  <c r="CC96" i="16" s="1"/>
  <c r="BW116" i="16"/>
  <c r="CC116" i="16" s="1"/>
  <c r="CC115" i="16" s="1"/>
  <c r="BT75" i="16" l="1"/>
  <c r="CA54" i="16"/>
  <c r="CA50" i="16"/>
  <c r="CA55" i="16"/>
  <c r="BT72" i="16"/>
  <c r="BT69" i="16"/>
  <c r="BO75" i="16"/>
  <c r="CA52" i="16"/>
  <c r="CA49" i="16"/>
  <c r="CA53" i="16"/>
  <c r="CC77" i="16"/>
  <c r="BX77" i="16" s="1"/>
  <c r="BY77" i="16" s="1"/>
  <c r="BX78" i="16"/>
  <c r="BZ78" i="16" s="1"/>
  <c r="BO104" i="16"/>
  <c r="CA56" i="16"/>
  <c r="BO72" i="16"/>
  <c r="BO110" i="16"/>
  <c r="BO66" i="16"/>
  <c r="BO69" i="16"/>
  <c r="BX96" i="16"/>
  <c r="BZ96" i="16" s="1"/>
  <c r="CC95" i="16"/>
  <c r="CC114" i="16"/>
  <c r="BX115" i="16"/>
  <c r="BO107" i="16"/>
  <c r="BX97" i="16"/>
  <c r="BZ97" i="16" s="1"/>
  <c r="BO113" i="16"/>
  <c r="CB116" i="16"/>
  <c r="CB134" i="16" s="1"/>
  <c r="CB153" i="16" s="1"/>
  <c r="CB173" i="16" s="1"/>
  <c r="CB192" i="16" s="1"/>
  <c r="CB211" i="16" s="1"/>
  <c r="CB231" i="16" s="1"/>
  <c r="CB250" i="16" s="1"/>
  <c r="CB270" i="16" s="1"/>
  <c r="CB289" i="16" s="1"/>
  <c r="CB308" i="16" s="1"/>
  <c r="CB328" i="16" s="1"/>
  <c r="CB347" i="16" s="1"/>
  <c r="CB367" i="16" s="1"/>
  <c r="CB386" i="16" s="1"/>
  <c r="CB405" i="16" s="1"/>
  <c r="CB424" i="16" s="1"/>
  <c r="CB443" i="16" s="1"/>
  <c r="CB463" i="16" s="1"/>
  <c r="CB482" i="16" s="1"/>
  <c r="CB501" i="16" s="1"/>
  <c r="CB521" i="16" s="1"/>
  <c r="CB540" i="16" s="1"/>
  <c r="CB560" i="16" s="1"/>
  <c r="CB579" i="16" s="1"/>
  <c r="CB598" i="16" s="1"/>
  <c r="CB618" i="16" s="1"/>
  <c r="CB637" i="16" l="1"/>
  <c r="BX618" i="16"/>
  <c r="CA606" i="16"/>
  <c r="BZ606" i="16"/>
  <c r="BY606" i="16"/>
  <c r="CC76" i="16"/>
  <c r="BX76" i="16" s="1"/>
  <c r="BX116" i="16"/>
  <c r="BY116" i="16" s="1"/>
  <c r="CA115" i="16"/>
  <c r="BZ77" i="16"/>
  <c r="CA96" i="16"/>
  <c r="CA77" i="16"/>
  <c r="BX114" i="16"/>
  <c r="BY114" i="16" s="1"/>
  <c r="CC113" i="16"/>
  <c r="CC94" i="16"/>
  <c r="BX95" i="16"/>
  <c r="BZ115" i="16"/>
  <c r="BY97" i="16"/>
  <c r="CA97" i="16"/>
  <c r="BY115" i="16"/>
  <c r="BY78" i="16"/>
  <c r="CA78" i="16"/>
  <c r="BY96" i="16"/>
  <c r="BY618" i="16" l="1"/>
  <c r="CA618" i="16"/>
  <c r="BZ618" i="16"/>
  <c r="CB656" i="16"/>
  <c r="BX637" i="16"/>
  <c r="BY625" i="16"/>
  <c r="CA625" i="16"/>
  <c r="BZ625" i="16"/>
  <c r="CC75" i="16"/>
  <c r="BX75" i="16" s="1"/>
  <c r="BZ116" i="16"/>
  <c r="CA116" i="16"/>
  <c r="BZ114" i="16"/>
  <c r="CA114" i="16"/>
  <c r="CA76" i="16"/>
  <c r="BZ76" i="16"/>
  <c r="BY76" i="16"/>
  <c r="CA95" i="16"/>
  <c r="BZ95" i="16"/>
  <c r="BY95" i="16"/>
  <c r="BX94" i="16"/>
  <c r="CC93" i="16"/>
  <c r="CC112" i="16"/>
  <c r="BX113" i="16"/>
  <c r="BZ637" i="16" l="1"/>
  <c r="CA637" i="16"/>
  <c r="BY637" i="16"/>
  <c r="CB675" i="16"/>
  <c r="BX656" i="16"/>
  <c r="BZ644" i="16"/>
  <c r="BY644" i="16"/>
  <c r="CA644" i="16"/>
  <c r="CC74" i="16"/>
  <c r="CA113" i="16"/>
  <c r="BZ113" i="16"/>
  <c r="BY113" i="16"/>
  <c r="BZ94" i="16"/>
  <c r="BY94" i="16"/>
  <c r="CA94" i="16"/>
  <c r="CC111" i="16"/>
  <c r="BX112" i="16"/>
  <c r="CC73" i="16"/>
  <c r="BX74" i="16"/>
  <c r="BZ75" i="16"/>
  <c r="BY75" i="16"/>
  <c r="CA75" i="16"/>
  <c r="CC92" i="16"/>
  <c r="BX93" i="16"/>
  <c r="CB694" i="16" l="1"/>
  <c r="BX675" i="16"/>
  <c r="BZ675" i="16" s="1"/>
  <c r="CA663" i="16"/>
  <c r="BY663" i="16"/>
  <c r="BZ663" i="16"/>
  <c r="BZ656" i="16"/>
  <c r="BY656" i="16"/>
  <c r="CA656" i="16"/>
  <c r="CA93" i="16"/>
  <c r="BZ93" i="16"/>
  <c r="BY93" i="16"/>
  <c r="CC91" i="16"/>
  <c r="BX92" i="16"/>
  <c r="BZ74" i="16"/>
  <c r="BY74" i="16"/>
  <c r="CA74" i="16"/>
  <c r="BX73" i="16"/>
  <c r="CC72" i="16"/>
  <c r="BY112" i="16"/>
  <c r="BZ112" i="16"/>
  <c r="CA112" i="16"/>
  <c r="CC110" i="16"/>
  <c r="BX111" i="16"/>
  <c r="CA675" i="16" l="1"/>
  <c r="BY675" i="16"/>
  <c r="CB713" i="16"/>
  <c r="BX694" i="16"/>
  <c r="CA682" i="16"/>
  <c r="BZ682" i="16"/>
  <c r="BY682" i="16"/>
  <c r="BY111" i="16"/>
  <c r="BZ111" i="16"/>
  <c r="CA111" i="16"/>
  <c r="CC109" i="16"/>
  <c r="BX110" i="16"/>
  <c r="CC71" i="16"/>
  <c r="BX72" i="16"/>
  <c r="BZ73" i="16"/>
  <c r="CA73" i="16"/>
  <c r="BY73" i="16"/>
  <c r="CA92" i="16"/>
  <c r="BZ92" i="16"/>
  <c r="BY92" i="16"/>
  <c r="CC90" i="16"/>
  <c r="BX91" i="16"/>
  <c r="BZ694" i="16" l="1"/>
  <c r="CA694" i="16"/>
  <c r="BY694" i="16"/>
  <c r="CB732" i="16"/>
  <c r="BX713" i="16"/>
  <c r="BZ713" i="16" s="1"/>
  <c r="CA701" i="16"/>
  <c r="BY701" i="16"/>
  <c r="BZ701" i="16"/>
  <c r="CA91" i="16"/>
  <c r="BZ91" i="16"/>
  <c r="BY91" i="16"/>
  <c r="CC89" i="16"/>
  <c r="BX90" i="16"/>
  <c r="BZ72" i="16"/>
  <c r="BY72" i="16"/>
  <c r="CA72" i="16"/>
  <c r="CC70" i="16"/>
  <c r="BX71" i="16"/>
  <c r="CA110" i="16"/>
  <c r="BY110" i="16"/>
  <c r="BZ110" i="16"/>
  <c r="BX109" i="16"/>
  <c r="CC108" i="16"/>
  <c r="CA713" i="16" l="1"/>
  <c r="BY713" i="16"/>
  <c r="CB751" i="16"/>
  <c r="BX732" i="16"/>
  <c r="BZ732" i="16" s="1"/>
  <c r="CA720" i="16"/>
  <c r="BY720" i="16"/>
  <c r="BZ720" i="16"/>
  <c r="CC107" i="16"/>
  <c r="BX108" i="16"/>
  <c r="BZ109" i="16"/>
  <c r="BY109" i="16"/>
  <c r="CA109" i="16"/>
  <c r="BY71" i="16"/>
  <c r="BZ71" i="16"/>
  <c r="CA71" i="16"/>
  <c r="CC69" i="16"/>
  <c r="BX70" i="16"/>
  <c r="BY90" i="16"/>
  <c r="BZ90" i="16"/>
  <c r="CA90" i="16"/>
  <c r="CC88" i="16"/>
  <c r="BX89" i="16"/>
  <c r="CB770" i="16" l="1"/>
  <c r="BX751" i="16"/>
  <c r="BZ751" i="16" s="1"/>
  <c r="CA739" i="16"/>
  <c r="BY739" i="16"/>
  <c r="BZ739" i="16"/>
  <c r="CA732" i="16"/>
  <c r="BY732" i="16"/>
  <c r="BZ89" i="16"/>
  <c r="BY89" i="16"/>
  <c r="CA89" i="16"/>
  <c r="CC87" i="16"/>
  <c r="BX88" i="16"/>
  <c r="BY70" i="16"/>
  <c r="CA70" i="16"/>
  <c r="BZ70" i="16"/>
  <c r="CC68" i="16"/>
  <c r="BX69" i="16"/>
  <c r="BZ108" i="16"/>
  <c r="CA108" i="16"/>
  <c r="BY108" i="16"/>
  <c r="BX107" i="16"/>
  <c r="CC106" i="16"/>
  <c r="CH789" i="16" l="1"/>
  <c r="CA751" i="16"/>
  <c r="BY751" i="16"/>
  <c r="BY758" i="16"/>
  <c r="CA758" i="16"/>
  <c r="BZ758" i="16"/>
  <c r="BX770" i="16"/>
  <c r="BZ770" i="16" s="1"/>
  <c r="CC105" i="16"/>
  <c r="BX106" i="16"/>
  <c r="CA107" i="16"/>
  <c r="BZ107" i="16"/>
  <c r="BY107" i="16"/>
  <c r="BY69" i="16"/>
  <c r="BZ69" i="16"/>
  <c r="CA69" i="16"/>
  <c r="CC86" i="16"/>
  <c r="BX87" i="16"/>
  <c r="CC67" i="16"/>
  <c r="BX68" i="16"/>
  <c r="CA68" i="16" s="1"/>
  <c r="BY88" i="16"/>
  <c r="BZ88" i="16"/>
  <c r="CA88" i="16"/>
  <c r="CA770" i="16" l="1"/>
  <c r="BY770" i="16"/>
  <c r="BY68" i="16"/>
  <c r="BZ68" i="16"/>
  <c r="CC85" i="16"/>
  <c r="BX85" i="16" s="1"/>
  <c r="CA85" i="16" s="1"/>
  <c r="BX86" i="16"/>
  <c r="CA86" i="16" s="1"/>
  <c r="CA87" i="16"/>
  <c r="BZ87" i="16"/>
  <c r="BY87" i="16"/>
  <c r="CC66" i="16"/>
  <c r="BX66" i="16" s="1"/>
  <c r="CA66" i="16" s="1"/>
  <c r="BX67" i="16"/>
  <c r="CA67" i="16" s="1"/>
  <c r="BZ106" i="16"/>
  <c r="BY106" i="16"/>
  <c r="CA106" i="16"/>
  <c r="CC104" i="16"/>
  <c r="BX104" i="16" s="1"/>
  <c r="CA104" i="16" s="1"/>
  <c r="BX105" i="16"/>
  <c r="CA105" i="16" s="1"/>
  <c r="BY105" i="16" l="1"/>
  <c r="BZ105" i="16"/>
  <c r="BY104" i="16"/>
  <c r="BZ104" i="16"/>
  <c r="BY67" i="16"/>
  <c r="BZ67" i="16"/>
  <c r="BY66" i="16"/>
  <c r="BZ66" i="16"/>
  <c r="BZ86" i="16"/>
  <c r="BY86" i="16"/>
  <c r="BY85" i="16"/>
  <c r="BZ85" i="16"/>
  <c r="CB191" i="16" l="1"/>
  <c r="CB210" i="16" s="1"/>
  <c r="CB190" i="16"/>
  <c r="CB209" i="16" s="1"/>
  <c r="CB189" i="16"/>
  <c r="CB208" i="16" s="1"/>
  <c r="CB188" i="16"/>
  <c r="CB207" i="16" s="1"/>
  <c r="CB187" i="16"/>
  <c r="CB206" i="16" s="1"/>
  <c r="CB186" i="16"/>
  <c r="CB205" i="16" s="1"/>
  <c r="CB185" i="16"/>
  <c r="CB204" i="16" s="1"/>
  <c r="CB184" i="16"/>
  <c r="CB203" i="16" s="1"/>
  <c r="CB183" i="16"/>
  <c r="CB202" i="16" s="1"/>
  <c r="CB182" i="16"/>
  <c r="CB201" i="16" s="1"/>
  <c r="CB200" i="16"/>
  <c r="CB221" i="16" l="1"/>
  <c r="CB240" i="16" s="1"/>
  <c r="CB260" i="16" s="1"/>
  <c r="CB279" i="16" s="1"/>
  <c r="CB298" i="16" s="1"/>
  <c r="CB226" i="16"/>
  <c r="CB245" i="16" s="1"/>
  <c r="CB265" i="16" s="1"/>
  <c r="CB284" i="16" s="1"/>
  <c r="CB303" i="16" s="1"/>
  <c r="CB220" i="16"/>
  <c r="CB239" i="16" s="1"/>
  <c r="CB259" i="16" s="1"/>
  <c r="CB278" i="16" s="1"/>
  <c r="CB297" i="16" s="1"/>
  <c r="CB225" i="16"/>
  <c r="CB244" i="16" s="1"/>
  <c r="CB264" i="16" s="1"/>
  <c r="CB283" i="16" s="1"/>
  <c r="CB302" i="16" s="1"/>
  <c r="CB227" i="16"/>
  <c r="CB246" i="16" s="1"/>
  <c r="CB266" i="16" s="1"/>
  <c r="CB285" i="16" s="1"/>
  <c r="CB304" i="16" s="1"/>
  <c r="CB228" i="16"/>
  <c r="CB247" i="16" s="1"/>
  <c r="CB267" i="16" s="1"/>
  <c r="CB286" i="16" s="1"/>
  <c r="CB305" i="16" s="1"/>
  <c r="CB229" i="16"/>
  <c r="CB248" i="16" s="1"/>
  <c r="CB268" i="16" s="1"/>
  <c r="CB287" i="16" s="1"/>
  <c r="CB306" i="16" s="1"/>
  <c r="CB230" i="16"/>
  <c r="CB249" i="16" s="1"/>
  <c r="CB269" i="16" s="1"/>
  <c r="CB288" i="16" s="1"/>
  <c r="CB307" i="16" s="1"/>
  <c r="CB222" i="16"/>
  <c r="CB241" i="16" s="1"/>
  <c r="CB261" i="16" s="1"/>
  <c r="CB280" i="16" s="1"/>
  <c r="CB299" i="16" s="1"/>
  <c r="CB223" i="16"/>
  <c r="CB242" i="16" s="1"/>
  <c r="CB262" i="16" s="1"/>
  <c r="CB281" i="16" s="1"/>
  <c r="CB300" i="16" s="1"/>
  <c r="CB224" i="16"/>
  <c r="CB243" i="16" s="1"/>
  <c r="CB263" i="16" s="1"/>
  <c r="CB282" i="16" s="1"/>
  <c r="CB301" i="16" s="1"/>
  <c r="CB327" i="16" l="1"/>
  <c r="CB346" i="16" s="1"/>
  <c r="CB366" i="16" s="1"/>
  <c r="CB385" i="16" s="1"/>
  <c r="CB404" i="16" s="1"/>
  <c r="CB322" i="16"/>
  <c r="CB341" i="16" s="1"/>
  <c r="CB361" i="16" s="1"/>
  <c r="CB380" i="16" s="1"/>
  <c r="CB399" i="16" s="1"/>
  <c r="CB326" i="16"/>
  <c r="CB345" i="16" s="1"/>
  <c r="CB365" i="16" s="1"/>
  <c r="CB384" i="16" s="1"/>
  <c r="CB403" i="16" s="1"/>
  <c r="CB325" i="16"/>
  <c r="CB344" i="16" s="1"/>
  <c r="CB364" i="16" s="1"/>
  <c r="CB383" i="16" s="1"/>
  <c r="CB402" i="16" s="1"/>
  <c r="CB324" i="16"/>
  <c r="CB343" i="16" s="1"/>
  <c r="CB363" i="16" s="1"/>
  <c r="CB382" i="16" s="1"/>
  <c r="CB401" i="16" s="1"/>
  <c r="CB317" i="16"/>
  <c r="CB336" i="16" s="1"/>
  <c r="CB356" i="16" s="1"/>
  <c r="CB323" i="16"/>
  <c r="CB342" i="16" s="1"/>
  <c r="CB362" i="16" s="1"/>
  <c r="CB381" i="16" s="1"/>
  <c r="CB400" i="16" s="1"/>
  <c r="CB318" i="16"/>
  <c r="CB337" i="16" s="1"/>
  <c r="CB357" i="16" s="1"/>
  <c r="CB376" i="16" s="1"/>
  <c r="CB395" i="16" s="1"/>
  <c r="CB319" i="16"/>
  <c r="CB338" i="16" s="1"/>
  <c r="CB358" i="16" s="1"/>
  <c r="CB377" i="16" s="1"/>
  <c r="CB396" i="16" s="1"/>
  <c r="CB320" i="16"/>
  <c r="CB339" i="16" s="1"/>
  <c r="CB359" i="16" s="1"/>
  <c r="CB378" i="16" s="1"/>
  <c r="CB397" i="16" s="1"/>
  <c r="CB321" i="16"/>
  <c r="CB340" i="16" s="1"/>
  <c r="CB360" i="16" s="1"/>
  <c r="CB379" i="16" s="1"/>
  <c r="CB398" i="16" s="1"/>
  <c r="BW38" i="16"/>
  <c r="CC38" i="16" s="1"/>
  <c r="BT35" i="16"/>
  <c r="BO35" i="16"/>
  <c r="BT32" i="16"/>
  <c r="BO32" i="16"/>
  <c r="BO29" i="16"/>
  <c r="BT26" i="16"/>
  <c r="BO26" i="16"/>
  <c r="CB394" i="16" l="1"/>
  <c r="CB375" i="16"/>
  <c r="CB419" i="16"/>
  <c r="CB438" i="16" s="1"/>
  <c r="CB421" i="16"/>
  <c r="CB440" i="16" s="1"/>
  <c r="CB414" i="16"/>
  <c r="CB433" i="16" s="1"/>
  <c r="CB413" i="16"/>
  <c r="CB432" i="16" s="1"/>
  <c r="CB420" i="16"/>
  <c r="CB439" i="16" s="1"/>
  <c r="CB422" i="16"/>
  <c r="CB441" i="16" s="1"/>
  <c r="CB418" i="16"/>
  <c r="CB437" i="16" s="1"/>
  <c r="CB423" i="16"/>
  <c r="CB442" i="16" s="1"/>
  <c r="CB415" i="16"/>
  <c r="CB434" i="16" s="1"/>
  <c r="CB416" i="16"/>
  <c r="CB435" i="16" s="1"/>
  <c r="CB417" i="16"/>
  <c r="CB436" i="16" s="1"/>
  <c r="BX38" i="16"/>
  <c r="CC37" i="16"/>
  <c r="CB462" i="16" l="1"/>
  <c r="CB481" i="16" s="1"/>
  <c r="CB500" i="16" s="1"/>
  <c r="CB520" i="16" s="1"/>
  <c r="CB539" i="16" s="1"/>
  <c r="CB559" i="16" s="1"/>
  <c r="CB578" i="16" s="1"/>
  <c r="CB597" i="16" s="1"/>
  <c r="CB617" i="16" s="1"/>
  <c r="CB461" i="16"/>
  <c r="CB480" i="16" s="1"/>
  <c r="CB499" i="16" s="1"/>
  <c r="CB519" i="16" s="1"/>
  <c r="CB538" i="16" s="1"/>
  <c r="CB558" i="16" s="1"/>
  <c r="CB577" i="16" s="1"/>
  <c r="CB596" i="16" s="1"/>
  <c r="CB616" i="16" s="1"/>
  <c r="CB453" i="16"/>
  <c r="CB472" i="16" s="1"/>
  <c r="CB491" i="16" s="1"/>
  <c r="CB511" i="16" s="1"/>
  <c r="CB530" i="16" s="1"/>
  <c r="CB550" i="16" s="1"/>
  <c r="CB569" i="16" s="1"/>
  <c r="CB588" i="16" s="1"/>
  <c r="CB608" i="16" s="1"/>
  <c r="CB458" i="16"/>
  <c r="CB477" i="16" s="1"/>
  <c r="CB496" i="16" s="1"/>
  <c r="CB516" i="16" s="1"/>
  <c r="CB535" i="16" s="1"/>
  <c r="CB555" i="16" s="1"/>
  <c r="CB574" i="16" s="1"/>
  <c r="CB593" i="16" s="1"/>
  <c r="CB613" i="16" s="1"/>
  <c r="CB457" i="16"/>
  <c r="CB476" i="16" s="1"/>
  <c r="CB495" i="16" s="1"/>
  <c r="CB515" i="16" s="1"/>
  <c r="CB534" i="16" s="1"/>
  <c r="CB554" i="16" s="1"/>
  <c r="CB573" i="16" s="1"/>
  <c r="CB592" i="16" s="1"/>
  <c r="CB612" i="16" s="1"/>
  <c r="CB459" i="16"/>
  <c r="CB478" i="16" s="1"/>
  <c r="CB497" i="16" s="1"/>
  <c r="CB517" i="16" s="1"/>
  <c r="CB536" i="16" s="1"/>
  <c r="CB556" i="16" s="1"/>
  <c r="CB575" i="16" s="1"/>
  <c r="CB594" i="16" s="1"/>
  <c r="CB614" i="16" s="1"/>
  <c r="CB452" i="16"/>
  <c r="CB471" i="16" s="1"/>
  <c r="CB490" i="16" s="1"/>
  <c r="CB510" i="16" s="1"/>
  <c r="CB529" i="16" s="1"/>
  <c r="CB549" i="16" s="1"/>
  <c r="CB568" i="16" s="1"/>
  <c r="CB587" i="16" s="1"/>
  <c r="CB607" i="16" s="1"/>
  <c r="CB460" i="16"/>
  <c r="CB479" i="16" s="1"/>
  <c r="CB498" i="16" s="1"/>
  <c r="CB518" i="16" s="1"/>
  <c r="CB537" i="16" s="1"/>
  <c r="CB557" i="16" s="1"/>
  <c r="CB576" i="16" s="1"/>
  <c r="CB595" i="16" s="1"/>
  <c r="CB615" i="16" s="1"/>
  <c r="CB454" i="16"/>
  <c r="CB473" i="16" s="1"/>
  <c r="CB492" i="16" s="1"/>
  <c r="CB512" i="16" s="1"/>
  <c r="CB531" i="16" s="1"/>
  <c r="CB551" i="16" s="1"/>
  <c r="CB570" i="16" s="1"/>
  <c r="CB589" i="16" s="1"/>
  <c r="CB609" i="16" s="1"/>
  <c r="CB455" i="16"/>
  <c r="CB474" i="16" s="1"/>
  <c r="CB493" i="16" s="1"/>
  <c r="CB513" i="16" s="1"/>
  <c r="CB532" i="16" s="1"/>
  <c r="CB552" i="16" s="1"/>
  <c r="CB571" i="16" s="1"/>
  <c r="CB590" i="16" s="1"/>
  <c r="CB610" i="16" s="1"/>
  <c r="CB456" i="16"/>
  <c r="CB475" i="16" s="1"/>
  <c r="CB494" i="16" s="1"/>
  <c r="CB514" i="16" s="1"/>
  <c r="CB533" i="16" s="1"/>
  <c r="CB553" i="16" s="1"/>
  <c r="CB572" i="16" s="1"/>
  <c r="CB591" i="16" s="1"/>
  <c r="CB611" i="16" s="1"/>
  <c r="BX37" i="16"/>
  <c r="CC36" i="16"/>
  <c r="CA38" i="16"/>
  <c r="BZ38" i="16"/>
  <c r="BY38" i="16"/>
  <c r="CB634" i="16" l="1"/>
  <c r="BX615" i="16"/>
  <c r="CA615" i="16" s="1"/>
  <c r="CB632" i="16"/>
  <c r="BX613" i="16"/>
  <c r="BY613" i="16" s="1"/>
  <c r="CB626" i="16"/>
  <c r="BX607" i="16"/>
  <c r="BZ607" i="16" s="1"/>
  <c r="CB631" i="16"/>
  <c r="BX612" i="16"/>
  <c r="BY612" i="16" s="1"/>
  <c r="CB627" i="16"/>
  <c r="BX608" i="16"/>
  <c r="CA608" i="16" s="1"/>
  <c r="CB635" i="16"/>
  <c r="BX616" i="16"/>
  <c r="BY616" i="16" s="1"/>
  <c r="CB633" i="16"/>
  <c r="BX614" i="16"/>
  <c r="BY614" i="16" s="1"/>
  <c r="CB636" i="16"/>
  <c r="BX617" i="16"/>
  <c r="BY617" i="16" s="1"/>
  <c r="CB628" i="16"/>
  <c r="BX609" i="16"/>
  <c r="BY609" i="16" s="1"/>
  <c r="CB629" i="16"/>
  <c r="BX610" i="16"/>
  <c r="CA610" i="16" s="1"/>
  <c r="CB630" i="16"/>
  <c r="BX611" i="16"/>
  <c r="BZ611" i="16" s="1"/>
  <c r="CC35" i="16"/>
  <c r="BX36" i="16"/>
  <c r="CA37" i="16"/>
  <c r="BZ37" i="16"/>
  <c r="BY37" i="16"/>
  <c r="BZ608" i="16" l="1"/>
  <c r="BY608" i="16"/>
  <c r="BZ615" i="16"/>
  <c r="BZ617" i="16"/>
  <c r="CA617" i="16"/>
  <c r="BY607" i="16"/>
  <c r="BZ614" i="16"/>
  <c r="CA607" i="16"/>
  <c r="CA614" i="16"/>
  <c r="BZ613" i="16"/>
  <c r="CA612" i="16"/>
  <c r="CB645" i="16"/>
  <c r="BX626" i="16"/>
  <c r="BY626" i="16" s="1"/>
  <c r="CA616" i="16"/>
  <c r="CA613" i="16"/>
  <c r="BZ616" i="16"/>
  <c r="CB654" i="16"/>
  <c r="BX635" i="16"/>
  <c r="BZ635" i="16" s="1"/>
  <c r="CB651" i="16"/>
  <c r="BX632" i="16"/>
  <c r="BY632" i="16" s="1"/>
  <c r="CB652" i="16"/>
  <c r="BX633" i="16"/>
  <c r="BZ633" i="16" s="1"/>
  <c r="BZ612" i="16"/>
  <c r="CB650" i="16"/>
  <c r="BX631" i="16"/>
  <c r="CA631" i="16" s="1"/>
  <c r="BY615" i="16"/>
  <c r="CB655" i="16"/>
  <c r="BX636" i="16"/>
  <c r="BZ636" i="16" s="1"/>
  <c r="CB646" i="16"/>
  <c r="BX627" i="16"/>
  <c r="CA627" i="16" s="1"/>
  <c r="CB653" i="16"/>
  <c r="BX634" i="16"/>
  <c r="BZ634" i="16" s="1"/>
  <c r="BZ609" i="16"/>
  <c r="CA609" i="16"/>
  <c r="CB647" i="16"/>
  <c r="BX628" i="16"/>
  <c r="BY628" i="16" s="1"/>
  <c r="BY610" i="16"/>
  <c r="BZ610" i="16"/>
  <c r="CB648" i="16"/>
  <c r="BX629" i="16"/>
  <c r="BZ629" i="16" s="1"/>
  <c r="BY611" i="16"/>
  <c r="CA611" i="16"/>
  <c r="CB649" i="16"/>
  <c r="BX630" i="16"/>
  <c r="BZ630" i="16" s="1"/>
  <c r="CA36" i="16"/>
  <c r="BY36" i="16"/>
  <c r="BZ36" i="16"/>
  <c r="BX35" i="16"/>
  <c r="CC34" i="16"/>
  <c r="CA632" i="16" l="1"/>
  <c r="BZ632" i="16"/>
  <c r="BY631" i="16"/>
  <c r="CB674" i="16"/>
  <c r="BX655" i="16"/>
  <c r="BZ655" i="16" s="1"/>
  <c r="BZ631" i="16"/>
  <c r="CA633" i="16"/>
  <c r="CB664" i="16"/>
  <c r="BX645" i="16"/>
  <c r="CA645" i="16" s="1"/>
  <c r="BZ626" i="16"/>
  <c r="CA634" i="16"/>
  <c r="CB669" i="16"/>
  <c r="BX650" i="16"/>
  <c r="BY650" i="16" s="1"/>
  <c r="BY634" i="16"/>
  <c r="CA626" i="16"/>
  <c r="BY633" i="16"/>
  <c r="CB672" i="16"/>
  <c r="BX653" i="16"/>
  <c r="CA653" i="16" s="1"/>
  <c r="CA635" i="16"/>
  <c r="CB673" i="16"/>
  <c r="BX654" i="16"/>
  <c r="BY654" i="16" s="1"/>
  <c r="BY627" i="16"/>
  <c r="CA636" i="16"/>
  <c r="BY635" i="16"/>
  <c r="CB665" i="16"/>
  <c r="BX646" i="16"/>
  <c r="CA646" i="16" s="1"/>
  <c r="BZ627" i="16"/>
  <c r="CB671" i="16"/>
  <c r="BX652" i="16"/>
  <c r="BZ652" i="16" s="1"/>
  <c r="BY636" i="16"/>
  <c r="CB670" i="16"/>
  <c r="BX651" i="16"/>
  <c r="CA651" i="16" s="1"/>
  <c r="BZ628" i="16"/>
  <c r="CA628" i="16"/>
  <c r="CB666" i="16"/>
  <c r="BX647" i="16"/>
  <c r="BZ647" i="16" s="1"/>
  <c r="BY629" i="16"/>
  <c r="CA629" i="16"/>
  <c r="CB667" i="16"/>
  <c r="BX648" i="16"/>
  <c r="BY648" i="16" s="1"/>
  <c r="CA630" i="16"/>
  <c r="BY630" i="16"/>
  <c r="CB668" i="16"/>
  <c r="BX649" i="16"/>
  <c r="BY649" i="16" s="1"/>
  <c r="CC33" i="16"/>
  <c r="BX34" i="16"/>
  <c r="BY35" i="16"/>
  <c r="BZ35" i="16"/>
  <c r="CA35" i="16"/>
  <c r="CB692" i="16" l="1"/>
  <c r="BX673" i="16"/>
  <c r="BZ673" i="16" s="1"/>
  <c r="CB683" i="16"/>
  <c r="BX664" i="16"/>
  <c r="CA664" i="16" s="1"/>
  <c r="BZ654" i="16"/>
  <c r="BZ645" i="16"/>
  <c r="BY646" i="16"/>
  <c r="CB688" i="16"/>
  <c r="BX669" i="16"/>
  <c r="CA669" i="16" s="1"/>
  <c r="BY645" i="16"/>
  <c r="CA654" i="16"/>
  <c r="BY651" i="16"/>
  <c r="CA652" i="16"/>
  <c r="BZ653" i="16"/>
  <c r="BY655" i="16"/>
  <c r="BY652" i="16"/>
  <c r="BY653" i="16"/>
  <c r="CA655" i="16"/>
  <c r="BZ646" i="16"/>
  <c r="CB691" i="16"/>
  <c r="BX672" i="16"/>
  <c r="BZ672" i="16" s="1"/>
  <c r="CB684" i="16"/>
  <c r="BX665" i="16"/>
  <c r="CA665" i="16" s="1"/>
  <c r="BZ650" i="16"/>
  <c r="BZ651" i="16"/>
  <c r="CB689" i="16"/>
  <c r="BX670" i="16"/>
  <c r="CA670" i="16" s="1"/>
  <c r="CB690" i="16"/>
  <c r="BX671" i="16"/>
  <c r="CA671" i="16" s="1"/>
  <c r="CB693" i="16"/>
  <c r="BX674" i="16"/>
  <c r="BZ674" i="16" s="1"/>
  <c r="CA650" i="16"/>
  <c r="CA647" i="16"/>
  <c r="BY647" i="16"/>
  <c r="CB685" i="16"/>
  <c r="BX666" i="16"/>
  <c r="BY666" i="16" s="1"/>
  <c r="BZ648" i="16"/>
  <c r="CB686" i="16"/>
  <c r="BX667" i="16"/>
  <c r="BY667" i="16" s="1"/>
  <c r="CA648" i="16"/>
  <c r="BZ649" i="16"/>
  <c r="CB687" i="16"/>
  <c r="BX668" i="16"/>
  <c r="BY668" i="16" s="1"/>
  <c r="CA649" i="16"/>
  <c r="CA34" i="16"/>
  <c r="BY34" i="16"/>
  <c r="BZ34" i="16"/>
  <c r="BX33" i="16"/>
  <c r="CC32" i="16"/>
  <c r="BZ669" i="16" l="1"/>
  <c r="BY669" i="16"/>
  <c r="CA673" i="16"/>
  <c r="BY673" i="16"/>
  <c r="CB708" i="16"/>
  <c r="BX689" i="16"/>
  <c r="CA689" i="16" s="1"/>
  <c r="BZ664" i="16"/>
  <c r="BY671" i="16"/>
  <c r="CB710" i="16"/>
  <c r="BX691" i="16"/>
  <c r="BY691" i="16" s="1"/>
  <c r="BY664" i="16"/>
  <c r="BY672" i="16"/>
  <c r="CB702" i="16"/>
  <c r="BX683" i="16"/>
  <c r="CA683" i="16" s="1"/>
  <c r="BZ671" i="16"/>
  <c r="BY665" i="16"/>
  <c r="BY674" i="16"/>
  <c r="CA672" i="16"/>
  <c r="BZ665" i="16"/>
  <c r="BY670" i="16"/>
  <c r="BZ670" i="16"/>
  <c r="CB703" i="16"/>
  <c r="BX684" i="16"/>
  <c r="CA684" i="16" s="1"/>
  <c r="CB707" i="16"/>
  <c r="BX688" i="16"/>
  <c r="BZ688" i="16" s="1"/>
  <c r="CA674" i="16"/>
  <c r="CB712" i="16"/>
  <c r="BX693" i="16"/>
  <c r="BZ693" i="16" s="1"/>
  <c r="CB709" i="16"/>
  <c r="BX690" i="16"/>
  <c r="BY690" i="16" s="1"/>
  <c r="CB711" i="16"/>
  <c r="BX692" i="16"/>
  <c r="CA692" i="16" s="1"/>
  <c r="BZ666" i="16"/>
  <c r="CA666" i="16"/>
  <c r="CB704" i="16"/>
  <c r="BX685" i="16"/>
  <c r="BY685" i="16" s="1"/>
  <c r="BZ667" i="16"/>
  <c r="CB705" i="16"/>
  <c r="BX686" i="16"/>
  <c r="BY686" i="16" s="1"/>
  <c r="CA667" i="16"/>
  <c r="BZ668" i="16"/>
  <c r="CA668" i="16"/>
  <c r="CB706" i="16"/>
  <c r="BX687" i="16"/>
  <c r="BZ687" i="16" s="1"/>
  <c r="BX32" i="16"/>
  <c r="CC31" i="16"/>
  <c r="BY33" i="16"/>
  <c r="BZ33" i="16"/>
  <c r="CA33" i="16"/>
  <c r="CA690" i="16" l="1"/>
  <c r="BZ690" i="16"/>
  <c r="BZ689" i="16"/>
  <c r="CB721" i="16"/>
  <c r="BX702" i="16"/>
  <c r="CA702" i="16" s="1"/>
  <c r="CA688" i="16"/>
  <c r="CA691" i="16"/>
  <c r="BZ691" i="16"/>
  <c r="CB726" i="16"/>
  <c r="BX707" i="16"/>
  <c r="CA707" i="16" s="1"/>
  <c r="BY692" i="16"/>
  <c r="BY684" i="16"/>
  <c r="BZ692" i="16"/>
  <c r="BZ684" i="16"/>
  <c r="CB729" i="16"/>
  <c r="BX710" i="16"/>
  <c r="BY710" i="16" s="1"/>
  <c r="CB731" i="16"/>
  <c r="BX712" i="16"/>
  <c r="CA712" i="16" s="1"/>
  <c r="CB722" i="16"/>
  <c r="BX703" i="16"/>
  <c r="CA703" i="16" s="1"/>
  <c r="BY688" i="16"/>
  <c r="BY689" i="16"/>
  <c r="CB728" i="16"/>
  <c r="BX709" i="16"/>
  <c r="BY709" i="16" s="1"/>
  <c r="BY693" i="16"/>
  <c r="CA693" i="16"/>
  <c r="BY683" i="16"/>
  <c r="BZ683" i="16"/>
  <c r="CB730" i="16"/>
  <c r="BX711" i="16"/>
  <c r="BZ711" i="16" s="1"/>
  <c r="CB727" i="16"/>
  <c r="BX708" i="16"/>
  <c r="BZ708" i="16" s="1"/>
  <c r="BZ685" i="16"/>
  <c r="CA685" i="16"/>
  <c r="CB723" i="16"/>
  <c r="BX704" i="16"/>
  <c r="CA704" i="16" s="1"/>
  <c r="CA686" i="16"/>
  <c r="BZ686" i="16"/>
  <c r="CB724" i="16"/>
  <c r="BX705" i="16"/>
  <c r="CA705" i="16" s="1"/>
  <c r="BY687" i="16"/>
  <c r="CA687" i="16"/>
  <c r="CB725" i="16"/>
  <c r="BX706" i="16"/>
  <c r="CA706" i="16" s="1"/>
  <c r="CA32" i="16"/>
  <c r="BZ32" i="16"/>
  <c r="BY32" i="16"/>
  <c r="BX31" i="16"/>
  <c r="CC30" i="16"/>
  <c r="BZ712" i="16" l="1"/>
  <c r="BZ702" i="16"/>
  <c r="BY712" i="16"/>
  <c r="BY707" i="16"/>
  <c r="CB747" i="16"/>
  <c r="BX728" i="16"/>
  <c r="CA728" i="16" s="1"/>
  <c r="BZ707" i="16"/>
  <c r="CA711" i="16"/>
  <c r="CB745" i="16"/>
  <c r="BX726" i="16"/>
  <c r="CA726" i="16" s="1"/>
  <c r="CB750" i="16"/>
  <c r="BX731" i="16"/>
  <c r="CA731" i="16" s="1"/>
  <c r="CA709" i="16"/>
  <c r="BZ709" i="16"/>
  <c r="BY708" i="16"/>
  <c r="CA708" i="16"/>
  <c r="CA710" i="16"/>
  <c r="BY702" i="16"/>
  <c r="BZ710" i="16"/>
  <c r="CB749" i="16"/>
  <c r="BX730" i="16"/>
  <c r="BY730" i="16" s="1"/>
  <c r="CB741" i="16"/>
  <c r="BX722" i="16"/>
  <c r="CA722" i="16" s="1"/>
  <c r="CB748" i="16"/>
  <c r="BX729" i="16"/>
  <c r="CA729" i="16" s="1"/>
  <c r="BY703" i="16"/>
  <c r="BZ703" i="16"/>
  <c r="CB746" i="16"/>
  <c r="BX727" i="16"/>
  <c r="CA727" i="16" s="1"/>
  <c r="BY711" i="16"/>
  <c r="CB740" i="16"/>
  <c r="BX721" i="16"/>
  <c r="BY721" i="16" s="1"/>
  <c r="BZ704" i="16"/>
  <c r="BY704" i="16"/>
  <c r="CB742" i="16"/>
  <c r="BX723" i="16"/>
  <c r="BZ723" i="16" s="1"/>
  <c r="BY705" i="16"/>
  <c r="BZ705" i="16"/>
  <c r="CB743" i="16"/>
  <c r="BX724" i="16"/>
  <c r="CA724" i="16" s="1"/>
  <c r="BZ706" i="16"/>
  <c r="BY706" i="16"/>
  <c r="CB744" i="16"/>
  <c r="BX725" i="16"/>
  <c r="CA725" i="16" s="1"/>
  <c r="CC29" i="16"/>
  <c r="BX30" i="16"/>
  <c r="BY31" i="16"/>
  <c r="BZ31" i="16"/>
  <c r="CA31" i="16"/>
  <c r="BY731" i="16" l="1"/>
  <c r="BY726" i="16"/>
  <c r="CB765" i="16"/>
  <c r="CQ784" i="16" s="1"/>
  <c r="BX746" i="16"/>
  <c r="BZ746" i="16" s="1"/>
  <c r="BY729" i="16"/>
  <c r="BZ729" i="16"/>
  <c r="BZ731" i="16"/>
  <c r="CB767" i="16"/>
  <c r="CQ786" i="16" s="1"/>
  <c r="BX748" i="16"/>
  <c r="CA748" i="16" s="1"/>
  <c r="CB769" i="16"/>
  <c r="CQ788" i="16" s="1"/>
  <c r="BX750" i="16"/>
  <c r="CA750" i="16" s="1"/>
  <c r="CA721" i="16"/>
  <c r="CB760" i="16"/>
  <c r="CQ779" i="16" s="1"/>
  <c r="BX741" i="16"/>
  <c r="CA741" i="16" s="1"/>
  <c r="CB764" i="16"/>
  <c r="CQ783" i="16" s="1"/>
  <c r="BX745" i="16"/>
  <c r="CA745" i="16" s="1"/>
  <c r="BZ722" i="16"/>
  <c r="BY722" i="16"/>
  <c r="BZ726" i="16"/>
  <c r="CA730" i="16"/>
  <c r="BZ721" i="16"/>
  <c r="BZ730" i="16"/>
  <c r="BY728" i="16"/>
  <c r="BY727" i="16"/>
  <c r="CB759" i="16"/>
  <c r="CQ778" i="16" s="1"/>
  <c r="BX740" i="16"/>
  <c r="CA740" i="16" s="1"/>
  <c r="BZ728" i="16"/>
  <c r="CB768" i="16"/>
  <c r="CQ787" i="16" s="1"/>
  <c r="BX749" i="16"/>
  <c r="CA749" i="16" s="1"/>
  <c r="CB766" i="16"/>
  <c r="CQ785" i="16" s="1"/>
  <c r="BX747" i="16"/>
  <c r="BZ747" i="16" s="1"/>
  <c r="BZ727" i="16"/>
  <c r="BY723" i="16"/>
  <c r="CA723" i="16"/>
  <c r="CB761" i="16"/>
  <c r="CQ780" i="16" s="1"/>
  <c r="BX742" i="16"/>
  <c r="CA742" i="16" s="1"/>
  <c r="BZ724" i="16"/>
  <c r="BY724" i="16"/>
  <c r="CB762" i="16"/>
  <c r="CQ781" i="16" s="1"/>
  <c r="BX743" i="16"/>
  <c r="CA743" i="16" s="1"/>
  <c r="BY725" i="16"/>
  <c r="CB763" i="16"/>
  <c r="CQ782" i="16" s="1"/>
  <c r="BX744" i="16"/>
  <c r="CA744" i="16" s="1"/>
  <c r="BZ725" i="16"/>
  <c r="CA30" i="16"/>
  <c r="BZ30" i="16"/>
  <c r="BY30" i="16"/>
  <c r="BX29" i="16"/>
  <c r="CC28" i="16"/>
  <c r="CH780" i="16" l="1"/>
  <c r="CH785" i="16"/>
  <c r="CH788" i="16"/>
  <c r="CH778" i="16"/>
  <c r="CH783" i="16"/>
  <c r="CH787" i="16"/>
  <c r="CH784" i="16"/>
  <c r="CH779" i="16"/>
  <c r="CH786" i="16"/>
  <c r="CH782" i="16"/>
  <c r="CH781" i="16"/>
  <c r="BZ750" i="16"/>
  <c r="BY749" i="16"/>
  <c r="CA746" i="16"/>
  <c r="BY746" i="16"/>
  <c r="BY750" i="16"/>
  <c r="BZ741" i="16"/>
  <c r="BX759" i="16"/>
  <c r="CA759" i="16" s="1"/>
  <c r="BX767" i="16"/>
  <c r="CA767" i="16" s="1"/>
  <c r="BZ740" i="16"/>
  <c r="BX769" i="16"/>
  <c r="BZ769" i="16" s="1"/>
  <c r="BY748" i="16"/>
  <c r="BY747" i="16"/>
  <c r="BZ745" i="16"/>
  <c r="BZ748" i="16"/>
  <c r="CA747" i="16"/>
  <c r="BX766" i="16"/>
  <c r="BY766" i="16" s="1"/>
  <c r="BY740" i="16"/>
  <c r="BZ749" i="16"/>
  <c r="BX764" i="16"/>
  <c r="CA764" i="16" s="1"/>
  <c r="BY745" i="16"/>
  <c r="BY741" i="16"/>
  <c r="BX760" i="16"/>
  <c r="BZ760" i="16" s="1"/>
  <c r="BX768" i="16"/>
  <c r="BY768" i="16" s="1"/>
  <c r="BX765" i="16"/>
  <c r="CA765" i="16" s="1"/>
  <c r="BZ742" i="16"/>
  <c r="BY742" i="16"/>
  <c r="BX761" i="16"/>
  <c r="CA761" i="16" s="1"/>
  <c r="BY743" i="16"/>
  <c r="BX762" i="16"/>
  <c r="BZ762" i="16" s="1"/>
  <c r="BZ743" i="16"/>
  <c r="BY744" i="16"/>
  <c r="BX763" i="16"/>
  <c r="BZ763" i="16" s="1"/>
  <c r="BZ744" i="16"/>
  <c r="CC27" i="16"/>
  <c r="BX28" i="16"/>
  <c r="CA29" i="16"/>
  <c r="BZ29" i="16"/>
  <c r="BY29" i="16"/>
  <c r="CA769" i="16" l="1"/>
  <c r="CA768" i="16"/>
  <c r="BY769" i="16"/>
  <c r="BY760" i="16"/>
  <c r="BZ767" i="16"/>
  <c r="BZ764" i="16"/>
  <c r="BY767" i="16"/>
  <c r="BZ768" i="16"/>
  <c r="BY764" i="16"/>
  <c r="BY765" i="16"/>
  <c r="CA760" i="16"/>
  <c r="BZ759" i="16"/>
  <c r="BY759" i="16"/>
  <c r="BZ766" i="16"/>
  <c r="BZ765" i="16"/>
  <c r="CA766" i="16"/>
  <c r="BZ761" i="16"/>
  <c r="BY761" i="16"/>
  <c r="CA762" i="16"/>
  <c r="BY762" i="16"/>
  <c r="CA763" i="16"/>
  <c r="BY763" i="16"/>
  <c r="CA28" i="16"/>
  <c r="BZ28" i="16"/>
  <c r="BY28" i="16"/>
  <c r="CC26" i="16"/>
  <c r="BX26" i="16" s="1"/>
  <c r="BX27" i="16"/>
  <c r="BY27" i="16" l="1"/>
  <c r="CA27" i="16"/>
  <c r="BY26" i="16"/>
  <c r="CA26" i="16"/>
  <c r="BZ27" i="16"/>
  <c r="BZ26" i="16"/>
  <c r="BS113" i="44" l="1"/>
  <c r="BS112" i="44"/>
  <c r="BS111" i="44"/>
  <c r="BS110" i="44"/>
  <c r="BS109" i="44"/>
  <c r="BS108" i="44"/>
  <c r="BS107" i="44"/>
  <c r="BS106" i="44"/>
  <c r="BS105" i="44"/>
  <c r="BS104" i="44"/>
  <c r="BS103" i="44"/>
  <c r="BS102" i="44"/>
  <c r="BN106" i="44"/>
  <c r="BN113" i="44"/>
  <c r="BN112" i="44"/>
  <c r="BN111" i="44"/>
  <c r="BN110" i="44"/>
  <c r="BN109" i="44"/>
  <c r="BN108" i="44"/>
  <c r="BN107" i="44"/>
  <c r="BN105" i="44"/>
  <c r="BN104" i="44"/>
  <c r="BN103" i="44"/>
  <c r="BN102" i="44"/>
  <c r="BT380" i="16" l="1"/>
  <c r="BT102" i="44"/>
  <c r="BT111" i="44"/>
  <c r="BT105" i="44"/>
  <c r="BO105" i="44"/>
  <c r="BO108" i="44"/>
  <c r="BO111" i="44"/>
  <c r="BO102" i="44"/>
  <c r="BW114" i="44"/>
  <c r="CC114" i="44" s="1"/>
  <c r="BL56" i="44"/>
  <c r="BL132" i="44"/>
  <c r="BL131" i="44"/>
  <c r="BL130" i="44"/>
  <c r="BL129" i="44"/>
  <c r="BL128" i="44"/>
  <c r="BL127" i="44"/>
  <c r="BL126" i="44"/>
  <c r="BL125" i="44"/>
  <c r="BO124" i="44" s="1"/>
  <c r="BL124" i="44"/>
  <c r="BL123" i="44"/>
  <c r="BL122" i="44"/>
  <c r="BL121" i="44"/>
  <c r="BW152" i="44"/>
  <c r="CC152" i="44" s="1"/>
  <c r="BS151" i="44"/>
  <c r="BN151" i="44"/>
  <c r="BS150" i="44"/>
  <c r="BN150" i="44"/>
  <c r="BT149" i="44"/>
  <c r="BS149" i="44"/>
  <c r="BO149" i="44"/>
  <c r="BN149" i="44"/>
  <c r="BS148" i="44"/>
  <c r="BN148" i="44"/>
  <c r="BS147" i="44"/>
  <c r="BN147" i="44"/>
  <c r="BT146" i="44"/>
  <c r="BS146" i="44"/>
  <c r="BO146" i="44"/>
  <c r="BN146" i="44"/>
  <c r="BS145" i="44"/>
  <c r="BN145" i="44"/>
  <c r="BS144" i="44"/>
  <c r="BN144" i="44"/>
  <c r="BT143" i="44"/>
  <c r="BS143" i="44"/>
  <c r="BO143" i="44"/>
  <c r="BN143" i="44"/>
  <c r="BS142" i="44"/>
  <c r="BN142" i="44"/>
  <c r="BS141" i="44"/>
  <c r="BN141" i="44"/>
  <c r="BT140" i="44"/>
  <c r="BS140" i="44"/>
  <c r="BO140" i="44"/>
  <c r="BN140" i="44"/>
  <c r="BW133" i="44"/>
  <c r="CC133" i="44" s="1"/>
  <c r="BQ132" i="44"/>
  <c r="BQ131" i="44"/>
  <c r="BQ130" i="44"/>
  <c r="BQ129" i="44"/>
  <c r="BQ128" i="44"/>
  <c r="BQ127" i="44"/>
  <c r="BQ126" i="44"/>
  <c r="BQ125" i="44"/>
  <c r="BQ124" i="44"/>
  <c r="BQ123" i="44"/>
  <c r="BQ122" i="44"/>
  <c r="BQ121" i="44"/>
  <c r="BT222" i="16"/>
  <c r="BO222" i="16"/>
  <c r="AA23" i="16"/>
  <c r="AA20" i="16"/>
  <c r="AA17" i="16"/>
  <c r="BW540" i="16"/>
  <c r="CC540" i="16" s="1"/>
  <c r="BN540" i="16"/>
  <c r="BT537" i="16"/>
  <c r="BO537" i="16"/>
  <c r="BT534" i="16"/>
  <c r="BO534" i="16"/>
  <c r="BT531" i="16"/>
  <c r="BO531" i="16"/>
  <c r="BT528" i="16"/>
  <c r="BO528" i="16"/>
  <c r="BW598" i="16"/>
  <c r="CC598" i="16" s="1"/>
  <c r="BX598" i="16" s="1"/>
  <c r="BY598" i="16" s="1"/>
  <c r="BO595" i="16"/>
  <c r="BO592" i="16"/>
  <c r="BO589" i="16"/>
  <c r="BO586" i="16"/>
  <c r="BW579" i="16"/>
  <c r="CC579" i="16" s="1"/>
  <c r="BX579" i="16" s="1"/>
  <c r="CA579" i="16" s="1"/>
  <c r="BT576" i="16"/>
  <c r="BO576" i="16"/>
  <c r="BT573" i="16"/>
  <c r="BO573" i="16"/>
  <c r="BT570" i="16"/>
  <c r="BO570" i="16"/>
  <c r="BT567" i="16"/>
  <c r="BO567" i="16"/>
  <c r="BW560" i="16"/>
  <c r="CC560" i="16" s="1"/>
  <c r="BW521" i="16"/>
  <c r="CC521" i="16" s="1"/>
  <c r="BT518" i="16"/>
  <c r="BO518" i="16"/>
  <c r="BT515" i="16"/>
  <c r="BO515" i="16"/>
  <c r="BT512" i="16"/>
  <c r="BO512" i="16"/>
  <c r="BT509" i="16"/>
  <c r="BO509" i="16"/>
  <c r="BW443" i="16"/>
  <c r="CC443" i="16" s="1"/>
  <c r="BX443" i="16" s="1"/>
  <c r="BN443" i="16"/>
  <c r="BO440" i="16"/>
  <c r="BT437" i="16"/>
  <c r="BO437" i="16"/>
  <c r="BT434" i="16"/>
  <c r="BO434" i="16"/>
  <c r="BT431" i="16"/>
  <c r="BO431" i="16"/>
  <c r="BW501" i="16"/>
  <c r="CC501" i="16" s="1"/>
  <c r="BX501" i="16" s="1"/>
  <c r="BO498" i="16"/>
  <c r="BO495" i="16"/>
  <c r="BO492" i="16"/>
  <c r="BO489" i="16"/>
  <c r="BW482" i="16"/>
  <c r="CC482" i="16" s="1"/>
  <c r="BT479" i="16"/>
  <c r="BO479" i="16"/>
  <c r="BT476" i="16"/>
  <c r="BO476" i="16"/>
  <c r="BT473" i="16"/>
  <c r="BO473" i="16"/>
  <c r="BT470" i="16"/>
  <c r="BO470" i="16"/>
  <c r="BW463" i="16"/>
  <c r="CC463" i="16" s="1"/>
  <c r="BW424" i="16"/>
  <c r="CC424" i="16" s="1"/>
  <c r="BT421" i="16"/>
  <c r="BO421" i="16"/>
  <c r="BT418" i="16"/>
  <c r="BO418" i="16"/>
  <c r="BT415" i="16"/>
  <c r="BO415" i="16"/>
  <c r="BT412" i="16"/>
  <c r="BO412" i="16"/>
  <c r="BW347" i="16"/>
  <c r="CC347" i="16" s="1"/>
  <c r="BN347" i="16"/>
  <c r="BT344" i="16"/>
  <c r="BO344" i="16"/>
  <c r="BT341" i="16"/>
  <c r="BO341" i="16"/>
  <c r="BT338" i="16"/>
  <c r="BO338" i="16"/>
  <c r="BT335" i="16"/>
  <c r="BO335" i="16"/>
  <c r="BW405" i="16"/>
  <c r="CC405" i="16" s="1"/>
  <c r="BX405" i="16" s="1"/>
  <c r="BO402" i="16"/>
  <c r="BO399" i="16"/>
  <c r="BO396" i="16"/>
  <c r="BO393" i="16"/>
  <c r="BW386" i="16"/>
  <c r="CC386" i="16" s="1"/>
  <c r="BT383" i="16"/>
  <c r="BO383" i="16"/>
  <c r="BO380" i="16"/>
  <c r="BT377" i="16"/>
  <c r="BO377" i="16"/>
  <c r="BT374" i="16"/>
  <c r="BO374" i="16"/>
  <c r="BW367" i="16"/>
  <c r="CC367" i="16" s="1"/>
  <c r="BW328" i="16"/>
  <c r="CC328" i="16" s="1"/>
  <c r="BT325" i="16"/>
  <c r="BO325" i="16"/>
  <c r="BT322" i="16"/>
  <c r="BO322" i="16"/>
  <c r="BT319" i="16"/>
  <c r="BO319" i="16"/>
  <c r="BT316" i="16"/>
  <c r="BO316" i="16"/>
  <c r="BW250" i="16"/>
  <c r="CC250" i="16" s="1"/>
  <c r="BN250" i="16"/>
  <c r="BT247" i="16"/>
  <c r="BO247" i="16"/>
  <c r="BT244" i="16"/>
  <c r="BO244" i="16"/>
  <c r="BT241" i="16"/>
  <c r="BO241" i="16"/>
  <c r="BT238" i="16"/>
  <c r="BO238" i="16"/>
  <c r="BW308" i="16"/>
  <c r="CC308" i="16" s="1"/>
  <c r="BX308" i="16" s="1"/>
  <c r="BO305" i="16"/>
  <c r="BO302" i="16"/>
  <c r="BO299" i="16"/>
  <c r="BO296" i="16"/>
  <c r="BW289" i="16"/>
  <c r="CC289" i="16" s="1"/>
  <c r="BT286" i="16"/>
  <c r="BO286" i="16"/>
  <c r="BT283" i="16"/>
  <c r="BO283" i="16"/>
  <c r="BT280" i="16"/>
  <c r="BO280" i="16"/>
  <c r="BT277" i="16"/>
  <c r="BO277" i="16"/>
  <c r="BW270" i="16"/>
  <c r="CC270" i="16" s="1"/>
  <c r="BW231" i="16"/>
  <c r="CC231" i="16" s="1"/>
  <c r="BT228" i="16"/>
  <c r="BO228" i="16"/>
  <c r="BT225" i="16"/>
  <c r="BO225" i="16"/>
  <c r="BT219" i="16"/>
  <c r="BO219" i="16"/>
  <c r="BO180" i="16"/>
  <c r="BT180" i="16"/>
  <c r="BO121" i="44" l="1"/>
  <c r="BO358" i="16"/>
  <c r="BO551" i="16"/>
  <c r="BO355" i="16"/>
  <c r="BO454" i="16"/>
  <c r="BO554" i="16"/>
  <c r="BO261" i="16"/>
  <c r="BO457" i="16"/>
  <c r="BO451" i="16"/>
  <c r="BO258" i="16"/>
  <c r="BO548" i="16"/>
  <c r="BT267" i="16"/>
  <c r="BT261" i="16"/>
  <c r="BT124" i="44"/>
  <c r="BT361" i="16"/>
  <c r="BT457" i="16"/>
  <c r="BT554" i="16"/>
  <c r="BT358" i="16"/>
  <c r="BT454" i="16"/>
  <c r="BT551" i="16"/>
  <c r="BO130" i="44"/>
  <c r="BT451" i="16"/>
  <c r="BT548" i="16"/>
  <c r="BT355" i="16"/>
  <c r="BO264" i="16"/>
  <c r="BT258" i="16"/>
  <c r="BO364" i="16"/>
  <c r="BT121" i="44"/>
  <c r="BO267" i="16"/>
  <c r="BO361" i="16"/>
  <c r="BO460" i="16"/>
  <c r="BO557" i="16"/>
  <c r="BO127" i="44"/>
  <c r="BT460" i="16"/>
  <c r="BT364" i="16"/>
  <c r="BT557" i="16"/>
  <c r="BT127" i="44"/>
  <c r="BT264" i="16"/>
  <c r="BT130" i="44"/>
  <c r="BT108" i="44"/>
  <c r="BX114" i="44"/>
  <c r="CC113" i="44"/>
  <c r="BX540" i="16"/>
  <c r="CA540" i="16" s="1"/>
  <c r="CC539" i="16"/>
  <c r="BX539" i="16" s="1"/>
  <c r="CA539" i="16" s="1"/>
  <c r="BX482" i="16"/>
  <c r="BY482" i="16" s="1"/>
  <c r="CC481" i="16"/>
  <c r="BX481" i="16" s="1"/>
  <c r="CC151" i="44"/>
  <c r="BX152" i="44"/>
  <c r="BX133" i="44"/>
  <c r="CC132" i="44"/>
  <c r="CA598" i="16"/>
  <c r="BZ598" i="16"/>
  <c r="CC559" i="16"/>
  <c r="BX560" i="16"/>
  <c r="CC520" i="16"/>
  <c r="BX521" i="16"/>
  <c r="BZ579" i="16"/>
  <c r="BY579" i="16"/>
  <c r="CC578" i="16"/>
  <c r="CC597" i="16"/>
  <c r="BZ501" i="16"/>
  <c r="BY501" i="16"/>
  <c r="CA501" i="16"/>
  <c r="BX424" i="16"/>
  <c r="CC423" i="16"/>
  <c r="CC462" i="16"/>
  <c r="BX463" i="16"/>
  <c r="CA443" i="16"/>
  <c r="BZ443" i="16"/>
  <c r="BY443" i="16"/>
  <c r="CC442" i="16"/>
  <c r="CC500" i="16"/>
  <c r="CC366" i="16"/>
  <c r="BX367" i="16"/>
  <c r="CA367" i="16" s="1"/>
  <c r="BZ405" i="16"/>
  <c r="BY405" i="16"/>
  <c r="CA405" i="16"/>
  <c r="CC385" i="16"/>
  <c r="BX386" i="16"/>
  <c r="CA386" i="16" s="1"/>
  <c r="BX328" i="16"/>
  <c r="CC327" i="16"/>
  <c r="BX347" i="16"/>
  <c r="CC346" i="16"/>
  <c r="CC404" i="16"/>
  <c r="BX250" i="16"/>
  <c r="CC249" i="16"/>
  <c r="CC269" i="16"/>
  <c r="BX270" i="16"/>
  <c r="BX289" i="16"/>
  <c r="CA289" i="16" s="1"/>
  <c r="CC288" i="16"/>
  <c r="BX231" i="16"/>
  <c r="CC230" i="16"/>
  <c r="BZ308" i="16"/>
  <c r="BY308" i="16"/>
  <c r="CA308" i="16"/>
  <c r="CC307" i="16"/>
  <c r="BZ481" i="16" l="1"/>
  <c r="CA481" i="16"/>
  <c r="BX113" i="44"/>
  <c r="CC112" i="44"/>
  <c r="CA114" i="44"/>
  <c r="BZ114" i="44"/>
  <c r="BY114" i="44"/>
  <c r="CA482" i="16"/>
  <c r="BZ482" i="16"/>
  <c r="BY481" i="16"/>
  <c r="CC538" i="16"/>
  <c r="CC537" i="16" s="1"/>
  <c r="BY540" i="16"/>
  <c r="CC480" i="16"/>
  <c r="BX480" i="16" s="1"/>
  <c r="CA480" i="16" s="1"/>
  <c r="BZ540" i="16"/>
  <c r="BY539" i="16"/>
  <c r="BZ539" i="16"/>
  <c r="BZ133" i="44"/>
  <c r="BY133" i="44"/>
  <c r="CA133" i="44"/>
  <c r="BX132" i="44"/>
  <c r="CC131" i="44"/>
  <c r="CA152" i="44"/>
  <c r="BZ152" i="44"/>
  <c r="BY152" i="44"/>
  <c r="CC150" i="44"/>
  <c r="BX151" i="44"/>
  <c r="CC596" i="16"/>
  <c r="BX597" i="16"/>
  <c r="CA521" i="16"/>
  <c r="BZ521" i="16"/>
  <c r="BY521" i="16"/>
  <c r="BX578" i="16"/>
  <c r="CA578" i="16" s="1"/>
  <c r="CC577" i="16"/>
  <c r="CC519" i="16"/>
  <c r="BX520" i="16"/>
  <c r="CA560" i="16"/>
  <c r="BZ560" i="16"/>
  <c r="BY560" i="16"/>
  <c r="CC558" i="16"/>
  <c r="BX559" i="16"/>
  <c r="BX423" i="16"/>
  <c r="CC422" i="16"/>
  <c r="BZ424" i="16"/>
  <c r="CA424" i="16"/>
  <c r="BY424" i="16"/>
  <c r="CC499" i="16"/>
  <c r="BX500" i="16"/>
  <c r="CA463" i="16"/>
  <c r="BZ463" i="16"/>
  <c r="BY463" i="16"/>
  <c r="CC441" i="16"/>
  <c r="BX442" i="16"/>
  <c r="BX462" i="16"/>
  <c r="CC461" i="16"/>
  <c r="BZ386" i="16"/>
  <c r="BY386" i="16"/>
  <c r="BX404" i="16"/>
  <c r="CC403" i="16"/>
  <c r="BX385" i="16"/>
  <c r="CA385" i="16" s="1"/>
  <c r="CC384" i="16"/>
  <c r="BX346" i="16"/>
  <c r="CC345" i="16"/>
  <c r="CA347" i="16"/>
  <c r="BZ347" i="16"/>
  <c r="BY347" i="16"/>
  <c r="CC326" i="16"/>
  <c r="BX327" i="16"/>
  <c r="BZ328" i="16"/>
  <c r="BY328" i="16"/>
  <c r="CA328" i="16"/>
  <c r="BZ367" i="16"/>
  <c r="BY367" i="16"/>
  <c r="BX366" i="16"/>
  <c r="CA366" i="16" s="1"/>
  <c r="CC365" i="16"/>
  <c r="BY231" i="16"/>
  <c r="CA231" i="16"/>
  <c r="BZ231" i="16"/>
  <c r="BZ289" i="16"/>
  <c r="BY289" i="16"/>
  <c r="CA270" i="16"/>
  <c r="BY270" i="16"/>
  <c r="BZ270" i="16"/>
  <c r="BX249" i="16"/>
  <c r="CC248" i="16"/>
  <c r="CC229" i="16"/>
  <c r="BX230" i="16"/>
  <c r="BX307" i="16"/>
  <c r="CC306" i="16"/>
  <c r="BX288" i="16"/>
  <c r="CA288" i="16" s="1"/>
  <c r="CC287" i="16"/>
  <c r="BX269" i="16"/>
  <c r="CC268" i="16"/>
  <c r="CA250" i="16"/>
  <c r="BZ250" i="16"/>
  <c r="BY250" i="16"/>
  <c r="BZ113" i="44" l="1"/>
  <c r="BY113" i="44"/>
  <c r="CA113" i="44"/>
  <c r="BX112" i="44"/>
  <c r="CC111" i="44"/>
  <c r="BX538" i="16"/>
  <c r="BY538" i="16" s="1"/>
  <c r="CC479" i="16"/>
  <c r="BX479" i="16" s="1"/>
  <c r="CA479" i="16" s="1"/>
  <c r="CC130" i="44"/>
  <c r="BX131" i="44"/>
  <c r="BY132" i="44"/>
  <c r="CA132" i="44"/>
  <c r="BZ132" i="44"/>
  <c r="CA151" i="44"/>
  <c r="BZ151" i="44"/>
  <c r="BY151" i="44"/>
  <c r="BX150" i="44"/>
  <c r="CC149" i="44"/>
  <c r="CC518" i="16"/>
  <c r="BX519" i="16"/>
  <c r="CA520" i="16"/>
  <c r="BZ520" i="16"/>
  <c r="BY520" i="16"/>
  <c r="BX577" i="16"/>
  <c r="CA577" i="16" s="1"/>
  <c r="CC576" i="16"/>
  <c r="BY578" i="16"/>
  <c r="BZ578" i="16"/>
  <c r="BX558" i="16"/>
  <c r="CC557" i="16"/>
  <c r="BX537" i="16"/>
  <c r="CC536" i="16"/>
  <c r="CA559" i="16"/>
  <c r="BZ559" i="16"/>
  <c r="BY559" i="16"/>
  <c r="CA597" i="16"/>
  <c r="BZ597" i="16"/>
  <c r="BY597" i="16"/>
  <c r="CC595" i="16"/>
  <c r="BX596" i="16"/>
  <c r="BZ500" i="16"/>
  <c r="CA500" i="16"/>
  <c r="BY500" i="16"/>
  <c r="BX461" i="16"/>
  <c r="CC460" i="16"/>
  <c r="CC498" i="16"/>
  <c r="BX499" i="16"/>
  <c r="CA442" i="16"/>
  <c r="BZ442" i="16"/>
  <c r="BY442" i="16"/>
  <c r="BX441" i="16"/>
  <c r="CC440" i="16"/>
  <c r="BY480" i="16"/>
  <c r="BZ480" i="16"/>
  <c r="CA462" i="16"/>
  <c r="BZ462" i="16"/>
  <c r="BY462" i="16"/>
  <c r="BX422" i="16"/>
  <c r="CC421" i="16"/>
  <c r="CA423" i="16"/>
  <c r="BZ423" i="16"/>
  <c r="BY423" i="16"/>
  <c r="BZ385" i="16"/>
  <c r="BY385" i="16"/>
  <c r="CA327" i="16"/>
  <c r="BY327" i="16"/>
  <c r="BZ327" i="16"/>
  <c r="BX326" i="16"/>
  <c r="CC325" i="16"/>
  <c r="CC402" i="16"/>
  <c r="BX403" i="16"/>
  <c r="CA346" i="16"/>
  <c r="BZ346" i="16"/>
  <c r="BY346" i="16"/>
  <c r="CA404" i="16"/>
  <c r="BZ404" i="16"/>
  <c r="BY404" i="16"/>
  <c r="BX384" i="16"/>
  <c r="CA384" i="16" s="1"/>
  <c r="CC383" i="16"/>
  <c r="CC364" i="16"/>
  <c r="BX365" i="16"/>
  <c r="CA365" i="16" s="1"/>
  <c r="BZ366" i="16"/>
  <c r="BY366" i="16"/>
  <c r="BX345" i="16"/>
  <c r="CC344" i="16"/>
  <c r="CC305" i="16"/>
  <c r="BX306" i="16"/>
  <c r="BX268" i="16"/>
  <c r="CC267" i="16"/>
  <c r="CA269" i="16"/>
  <c r="BZ269" i="16"/>
  <c r="BY269" i="16"/>
  <c r="CC228" i="16"/>
  <c r="BX229" i="16"/>
  <c r="CA249" i="16"/>
  <c r="BZ249" i="16"/>
  <c r="BY249" i="16"/>
  <c r="CA230" i="16"/>
  <c r="BZ230" i="16"/>
  <c r="BY230" i="16"/>
  <c r="BX248" i="16"/>
  <c r="CC247" i="16"/>
  <c r="BX287" i="16"/>
  <c r="CA287" i="16" s="1"/>
  <c r="CC286" i="16"/>
  <c r="BZ288" i="16"/>
  <c r="BY288" i="16"/>
  <c r="CA307" i="16"/>
  <c r="BZ307" i="16"/>
  <c r="BY307" i="16"/>
  <c r="BX111" i="44" l="1"/>
  <c r="CC110" i="44"/>
  <c r="BY112" i="44"/>
  <c r="BZ112" i="44"/>
  <c r="CA112" i="44"/>
  <c r="BZ538" i="16"/>
  <c r="CA538" i="16"/>
  <c r="CC478" i="16"/>
  <c r="BX478" i="16" s="1"/>
  <c r="CA478" i="16" s="1"/>
  <c r="CA131" i="44"/>
  <c r="BZ131" i="44"/>
  <c r="BY131" i="44"/>
  <c r="BX149" i="44"/>
  <c r="CC148" i="44"/>
  <c r="CC129" i="44"/>
  <c r="BX130" i="44"/>
  <c r="CA150" i="44"/>
  <c r="BZ150" i="44"/>
  <c r="BY150" i="44"/>
  <c r="CC575" i="16"/>
  <c r="BX576" i="16"/>
  <c r="CA576" i="16" s="1"/>
  <c r="BX536" i="16"/>
  <c r="CC535" i="16"/>
  <c r="BZ577" i="16"/>
  <c r="BY577" i="16"/>
  <c r="CC594" i="16"/>
  <c r="BX595" i="16"/>
  <c r="BY537" i="16"/>
  <c r="CA537" i="16"/>
  <c r="BZ537" i="16"/>
  <c r="BX557" i="16"/>
  <c r="CC556" i="16"/>
  <c r="CA596" i="16"/>
  <c r="BZ596" i="16"/>
  <c r="BY596" i="16"/>
  <c r="BZ558" i="16"/>
  <c r="BY558" i="16"/>
  <c r="CA558" i="16"/>
  <c r="CA519" i="16"/>
  <c r="BZ519" i="16"/>
  <c r="BY519" i="16"/>
  <c r="CC517" i="16"/>
  <c r="BX518" i="16"/>
  <c r="BZ479" i="16"/>
  <c r="BY479" i="16"/>
  <c r="BX440" i="16"/>
  <c r="CC439" i="16"/>
  <c r="BZ441" i="16"/>
  <c r="BY441" i="16"/>
  <c r="CA441" i="16"/>
  <c r="CC497" i="16"/>
  <c r="BX498" i="16"/>
  <c r="BY499" i="16"/>
  <c r="CA499" i="16"/>
  <c r="BZ499" i="16"/>
  <c r="BX460" i="16"/>
  <c r="CC459" i="16"/>
  <c r="CA461" i="16"/>
  <c r="BZ461" i="16"/>
  <c r="BY461" i="16"/>
  <c r="CC420" i="16"/>
  <c r="BX421" i="16"/>
  <c r="CA422" i="16"/>
  <c r="BZ422" i="16"/>
  <c r="BY422" i="16"/>
  <c r="CC343" i="16"/>
  <c r="BX344" i="16"/>
  <c r="BZ403" i="16"/>
  <c r="CA403" i="16"/>
  <c r="BY403" i="16"/>
  <c r="BX364" i="16"/>
  <c r="CA364" i="16" s="1"/>
  <c r="CC363" i="16"/>
  <c r="BY384" i="16"/>
  <c r="BZ384" i="16"/>
  <c r="BX402" i="16"/>
  <c r="CC401" i="16"/>
  <c r="BZ345" i="16"/>
  <c r="BY345" i="16"/>
  <c r="CA345" i="16"/>
  <c r="BX383" i="16"/>
  <c r="CA383" i="16" s="1"/>
  <c r="CC382" i="16"/>
  <c r="CC324" i="16"/>
  <c r="BX325" i="16"/>
  <c r="CA326" i="16"/>
  <c r="BZ326" i="16"/>
  <c r="BY326" i="16"/>
  <c r="BZ365" i="16"/>
  <c r="BY365" i="16"/>
  <c r="BX286" i="16"/>
  <c r="CA286" i="16" s="1"/>
  <c r="CC285" i="16"/>
  <c r="BX228" i="16"/>
  <c r="CC227" i="16"/>
  <c r="BY287" i="16"/>
  <c r="BZ287" i="16"/>
  <c r="BX247" i="16"/>
  <c r="CC246" i="16"/>
  <c r="BX267" i="16"/>
  <c r="CC266" i="16"/>
  <c r="BZ248" i="16"/>
  <c r="BY248" i="16"/>
  <c r="CA248" i="16"/>
  <c r="CA268" i="16"/>
  <c r="BZ268" i="16"/>
  <c r="BY268" i="16"/>
  <c r="CA306" i="16"/>
  <c r="BZ306" i="16"/>
  <c r="BY306" i="16"/>
  <c r="CA229" i="16"/>
  <c r="BZ229" i="16"/>
  <c r="BY229" i="16"/>
  <c r="CC304" i="16"/>
  <c r="BX305" i="16"/>
  <c r="BX110" i="44" l="1"/>
  <c r="CC109" i="44"/>
  <c r="BY111" i="44"/>
  <c r="CA111" i="44"/>
  <c r="BZ111" i="44"/>
  <c r="CC477" i="16"/>
  <c r="CC476" i="16" s="1"/>
  <c r="BX148" i="44"/>
  <c r="CC147" i="44"/>
  <c r="BZ149" i="44"/>
  <c r="CA149" i="44"/>
  <c r="BY149" i="44"/>
  <c r="CA130" i="44"/>
  <c r="BZ130" i="44"/>
  <c r="BY130" i="44"/>
  <c r="CC128" i="44"/>
  <c r="BX129" i="44"/>
  <c r="BY557" i="16"/>
  <c r="BZ557" i="16"/>
  <c r="CA557" i="16"/>
  <c r="BX517" i="16"/>
  <c r="CC516" i="16"/>
  <c r="CA518" i="16"/>
  <c r="BZ518" i="16"/>
  <c r="BY518" i="16"/>
  <c r="BX535" i="16"/>
  <c r="CC534" i="16"/>
  <c r="CC593" i="16"/>
  <c r="BX594" i="16"/>
  <c r="BZ536" i="16"/>
  <c r="BY536" i="16"/>
  <c r="CA536" i="16"/>
  <c r="BX556" i="16"/>
  <c r="CC555" i="16"/>
  <c r="BY576" i="16"/>
  <c r="BZ576" i="16"/>
  <c r="CA595" i="16"/>
  <c r="BZ595" i="16"/>
  <c r="BY595" i="16"/>
  <c r="BX575" i="16"/>
  <c r="CA575" i="16" s="1"/>
  <c r="CC574" i="16"/>
  <c r="BZ460" i="16"/>
  <c r="BY460" i="16"/>
  <c r="CA460" i="16"/>
  <c r="BY440" i="16"/>
  <c r="CA440" i="16"/>
  <c r="BZ440" i="16"/>
  <c r="BY478" i="16"/>
  <c r="BZ478" i="16"/>
  <c r="BX439" i="16"/>
  <c r="CC438" i="16"/>
  <c r="CA498" i="16"/>
  <c r="BZ498" i="16"/>
  <c r="BY498" i="16"/>
  <c r="BX420" i="16"/>
  <c r="CC419" i="16"/>
  <c r="CC496" i="16"/>
  <c r="BX497" i="16"/>
  <c r="CA421" i="16"/>
  <c r="BY421" i="16"/>
  <c r="BZ421" i="16"/>
  <c r="BX459" i="16"/>
  <c r="CC458" i="16"/>
  <c r="CA325" i="16"/>
  <c r="BZ325" i="16"/>
  <c r="BY325" i="16"/>
  <c r="CA402" i="16"/>
  <c r="BZ402" i="16"/>
  <c r="BY402" i="16"/>
  <c r="CC400" i="16"/>
  <c r="BX401" i="16"/>
  <c r="BY383" i="16"/>
  <c r="BZ383" i="16"/>
  <c r="BY344" i="16"/>
  <c r="CA344" i="16"/>
  <c r="BZ344" i="16"/>
  <c r="BX343" i="16"/>
  <c r="CC342" i="16"/>
  <c r="BZ364" i="16"/>
  <c r="BY364" i="16"/>
  <c r="CC323" i="16"/>
  <c r="BX324" i="16"/>
  <c r="BX382" i="16"/>
  <c r="CA382" i="16" s="1"/>
  <c r="CC381" i="16"/>
  <c r="CC362" i="16"/>
  <c r="BX363" i="16"/>
  <c r="CA363" i="16" s="1"/>
  <c r="BZ267" i="16"/>
  <c r="BY267" i="16"/>
  <c r="CA267" i="16"/>
  <c r="CA305" i="16"/>
  <c r="BZ305" i="16"/>
  <c r="BY305" i="16"/>
  <c r="BX246" i="16"/>
  <c r="CC245" i="16"/>
  <c r="CC303" i="16"/>
  <c r="BX304" i="16"/>
  <c r="BY247" i="16"/>
  <c r="BZ247" i="16"/>
  <c r="CA247" i="16"/>
  <c r="BX266" i="16"/>
  <c r="CC265" i="16"/>
  <c r="CC226" i="16"/>
  <c r="BX227" i="16"/>
  <c r="BX285" i="16"/>
  <c r="CA285" i="16" s="1"/>
  <c r="CC284" i="16"/>
  <c r="CA228" i="16"/>
  <c r="BZ228" i="16"/>
  <c r="BY228" i="16"/>
  <c r="BZ286" i="16"/>
  <c r="BY286" i="16"/>
  <c r="BX109" i="44" l="1"/>
  <c r="CC108" i="44"/>
  <c r="BY110" i="44"/>
  <c r="BZ110" i="44"/>
  <c r="CA110" i="44"/>
  <c r="BX477" i="16"/>
  <c r="BX245" i="16"/>
  <c r="CC244" i="16"/>
  <c r="BX147" i="44"/>
  <c r="CC146" i="44"/>
  <c r="CA148" i="44"/>
  <c r="BZ148" i="44"/>
  <c r="BY148" i="44"/>
  <c r="CA129" i="44"/>
  <c r="BZ129" i="44"/>
  <c r="BY129" i="44"/>
  <c r="CC127" i="44"/>
  <c r="BX128" i="44"/>
  <c r="BX534" i="16"/>
  <c r="CC533" i="16"/>
  <c r="BY535" i="16"/>
  <c r="BZ535" i="16"/>
  <c r="CA535" i="16"/>
  <c r="CC592" i="16"/>
  <c r="BX593" i="16"/>
  <c r="BX516" i="16"/>
  <c r="CC515" i="16"/>
  <c r="BZ556" i="16"/>
  <c r="BY556" i="16"/>
  <c r="CA556" i="16"/>
  <c r="CA517" i="16"/>
  <c r="BZ517" i="16"/>
  <c r="BY517" i="16"/>
  <c r="CC573" i="16"/>
  <c r="BX574" i="16"/>
  <c r="CA574" i="16" s="1"/>
  <c r="BX555" i="16"/>
  <c r="CC554" i="16"/>
  <c r="BY575" i="16"/>
  <c r="BZ575" i="16"/>
  <c r="CA594" i="16"/>
  <c r="BZ594" i="16"/>
  <c r="BY594" i="16"/>
  <c r="CC495" i="16"/>
  <c r="BX496" i="16"/>
  <c r="BX419" i="16"/>
  <c r="CC418" i="16"/>
  <c r="BX458" i="16"/>
  <c r="CC457" i="16"/>
  <c r="CA420" i="16"/>
  <c r="BZ420" i="16"/>
  <c r="BY420" i="16"/>
  <c r="BX438" i="16"/>
  <c r="CC437" i="16"/>
  <c r="CA459" i="16"/>
  <c r="BZ459" i="16"/>
  <c r="BY459" i="16"/>
  <c r="CC475" i="16"/>
  <c r="BX476" i="16"/>
  <c r="CA476" i="16" s="1"/>
  <c r="BZ439" i="16"/>
  <c r="BY439" i="16"/>
  <c r="CA439" i="16"/>
  <c r="BY497" i="16"/>
  <c r="CA497" i="16"/>
  <c r="BZ497" i="16"/>
  <c r="CC399" i="16"/>
  <c r="BX400" i="16"/>
  <c r="BZ363" i="16"/>
  <c r="BY363" i="16"/>
  <c r="BX362" i="16"/>
  <c r="CA362" i="16" s="1"/>
  <c r="CC361" i="16"/>
  <c r="BX342" i="16"/>
  <c r="CC341" i="16"/>
  <c r="BZ343" i="16"/>
  <c r="BY343" i="16"/>
  <c r="CA343" i="16"/>
  <c r="BY382" i="16"/>
  <c r="BZ382" i="16"/>
  <c r="BY401" i="16"/>
  <c r="CA401" i="16"/>
  <c r="BZ401" i="16"/>
  <c r="BX381" i="16"/>
  <c r="CA381" i="16" s="1"/>
  <c r="CC380" i="16"/>
  <c r="BZ324" i="16"/>
  <c r="CA324" i="16"/>
  <c r="BY324" i="16"/>
  <c r="BX323" i="16"/>
  <c r="CC322" i="16"/>
  <c r="BX265" i="16"/>
  <c r="CC264" i="16"/>
  <c r="BX284" i="16"/>
  <c r="CA284" i="16" s="1"/>
  <c r="CC283" i="16"/>
  <c r="CC302" i="16"/>
  <c r="BX303" i="16"/>
  <c r="BZ246" i="16"/>
  <c r="BY246" i="16"/>
  <c r="CA246" i="16"/>
  <c r="CA266" i="16"/>
  <c r="BZ266" i="16"/>
  <c r="BY266" i="16"/>
  <c r="BY285" i="16"/>
  <c r="BZ285" i="16"/>
  <c r="CA227" i="16"/>
  <c r="BZ227" i="16"/>
  <c r="BY227" i="16"/>
  <c r="BX226" i="16"/>
  <c r="CC225" i="16"/>
  <c r="BZ304" i="16"/>
  <c r="CA304" i="16"/>
  <c r="BY304" i="16"/>
  <c r="BY477" i="16" l="1"/>
  <c r="CA477" i="16"/>
  <c r="BY109" i="44"/>
  <c r="CA109" i="44"/>
  <c r="BZ109" i="44"/>
  <c r="BX108" i="44"/>
  <c r="CC107" i="44"/>
  <c r="BZ477" i="16"/>
  <c r="BZ245" i="16"/>
  <c r="BY245" i="16"/>
  <c r="CA245" i="16"/>
  <c r="CA128" i="44"/>
  <c r="BZ128" i="44"/>
  <c r="BY128" i="44"/>
  <c r="BX146" i="44"/>
  <c r="CC145" i="44"/>
  <c r="BZ147" i="44"/>
  <c r="BY147" i="44"/>
  <c r="CA147" i="44"/>
  <c r="CC126" i="44"/>
  <c r="BX127" i="44"/>
  <c r="BY534" i="16"/>
  <c r="CA534" i="16"/>
  <c r="BZ534" i="16"/>
  <c r="CC572" i="16"/>
  <c r="BX573" i="16"/>
  <c r="CA573" i="16" s="1"/>
  <c r="CA516" i="16"/>
  <c r="BZ516" i="16"/>
  <c r="BY516" i="16"/>
  <c r="CC591" i="16"/>
  <c r="BX592" i="16"/>
  <c r="CA593" i="16"/>
  <c r="BZ593" i="16"/>
  <c r="BY593" i="16"/>
  <c r="BX554" i="16"/>
  <c r="CC553" i="16"/>
  <c r="BY574" i="16"/>
  <c r="BZ574" i="16"/>
  <c r="CC514" i="16"/>
  <c r="BX515" i="16"/>
  <c r="BZ555" i="16"/>
  <c r="BY555" i="16"/>
  <c r="CA555" i="16"/>
  <c r="BX533" i="16"/>
  <c r="CC532" i="16"/>
  <c r="BX475" i="16"/>
  <c r="CA475" i="16" s="1"/>
  <c r="CC474" i="16"/>
  <c r="BX457" i="16"/>
  <c r="CC456" i="16"/>
  <c r="CC417" i="16"/>
  <c r="BX418" i="16"/>
  <c r="BX437" i="16"/>
  <c r="CC436" i="16"/>
  <c r="CA419" i="16"/>
  <c r="BZ419" i="16"/>
  <c r="BY419" i="16"/>
  <c r="BY438" i="16"/>
  <c r="CA438" i="16"/>
  <c r="BZ438" i="16"/>
  <c r="CA496" i="16"/>
  <c r="BZ496" i="16"/>
  <c r="BY496" i="16"/>
  <c r="CC494" i="16"/>
  <c r="BX495" i="16"/>
  <c r="BY476" i="16"/>
  <c r="BZ476" i="16"/>
  <c r="BZ458" i="16"/>
  <c r="BY458" i="16"/>
  <c r="CA458" i="16"/>
  <c r="BZ362" i="16"/>
  <c r="BY362" i="16"/>
  <c r="BY342" i="16"/>
  <c r="CA342" i="16"/>
  <c r="BZ342" i="16"/>
  <c r="BY381" i="16"/>
  <c r="BZ381" i="16"/>
  <c r="CA323" i="16"/>
  <c r="BZ323" i="16"/>
  <c r="BY323" i="16"/>
  <c r="BX361" i="16"/>
  <c r="CA361" i="16" s="1"/>
  <c r="CC360" i="16"/>
  <c r="CC321" i="16"/>
  <c r="BX322" i="16"/>
  <c r="CC379" i="16"/>
  <c r="BX380" i="16"/>
  <c r="CA380" i="16" s="1"/>
  <c r="CA400" i="16"/>
  <c r="BY400" i="16"/>
  <c r="BZ400" i="16"/>
  <c r="BX341" i="16"/>
  <c r="CC340" i="16"/>
  <c r="CC398" i="16"/>
  <c r="BX399" i="16"/>
  <c r="CA226" i="16"/>
  <c r="BZ226" i="16"/>
  <c r="BY226" i="16"/>
  <c r="CA303" i="16"/>
  <c r="BY303" i="16"/>
  <c r="BZ303" i="16"/>
  <c r="BZ265" i="16"/>
  <c r="BY265" i="16"/>
  <c r="CA265" i="16"/>
  <c r="CC301" i="16"/>
  <c r="BX302" i="16"/>
  <c r="CA302" i="16" s="1"/>
  <c r="BX264" i="16"/>
  <c r="CC263" i="16"/>
  <c r="CC282" i="16"/>
  <c r="BX283" i="16"/>
  <c r="CA283" i="16" s="1"/>
  <c r="BX244" i="16"/>
  <c r="CC243" i="16"/>
  <c r="CC224" i="16"/>
  <c r="BX225" i="16"/>
  <c r="BY284" i="16"/>
  <c r="BZ284" i="16"/>
  <c r="BX107" i="44" l="1"/>
  <c r="CC106" i="44"/>
  <c r="CA108" i="44"/>
  <c r="BZ108" i="44"/>
  <c r="BY108" i="44"/>
  <c r="CA127" i="44"/>
  <c r="BZ127" i="44"/>
  <c r="BY127" i="44"/>
  <c r="CC125" i="44"/>
  <c r="BX126" i="44"/>
  <c r="BY146" i="44"/>
  <c r="BZ146" i="44"/>
  <c r="CA146" i="44"/>
  <c r="BX145" i="44"/>
  <c r="CC144" i="44"/>
  <c r="BY533" i="16"/>
  <c r="BZ533" i="16"/>
  <c r="CA533" i="16"/>
  <c r="CC513" i="16"/>
  <c r="BX514" i="16"/>
  <c r="BX532" i="16"/>
  <c r="CC531" i="16"/>
  <c r="BZ573" i="16"/>
  <c r="BY573" i="16"/>
  <c r="CA592" i="16"/>
  <c r="BZ592" i="16"/>
  <c r="BY592" i="16"/>
  <c r="BX553" i="16"/>
  <c r="CC552" i="16"/>
  <c r="CC590" i="16"/>
  <c r="BX591" i="16"/>
  <c r="BX572" i="16"/>
  <c r="CA572" i="16" s="1"/>
  <c r="CC571" i="16"/>
  <c r="BY554" i="16"/>
  <c r="CA554" i="16"/>
  <c r="BZ554" i="16"/>
  <c r="BZ515" i="16"/>
  <c r="BY515" i="16"/>
  <c r="CA515" i="16"/>
  <c r="BX436" i="16"/>
  <c r="CC435" i="16"/>
  <c r="BZ418" i="16"/>
  <c r="BY418" i="16"/>
  <c r="CA418" i="16"/>
  <c r="BX417" i="16"/>
  <c r="CC416" i="16"/>
  <c r="BZ437" i="16"/>
  <c r="CA437" i="16"/>
  <c r="BY437" i="16"/>
  <c r="BX456" i="16"/>
  <c r="CC455" i="16"/>
  <c r="CA457" i="16"/>
  <c r="BZ457" i="16"/>
  <c r="BY457" i="16"/>
  <c r="CA495" i="16"/>
  <c r="BZ495" i="16"/>
  <c r="BY495" i="16"/>
  <c r="CC493" i="16"/>
  <c r="BX494" i="16"/>
  <c r="CC473" i="16"/>
  <c r="BX474" i="16"/>
  <c r="CA474" i="16" s="1"/>
  <c r="BZ475" i="16"/>
  <c r="BY475" i="16"/>
  <c r="BY380" i="16"/>
  <c r="BZ380" i="16"/>
  <c r="CA399" i="16"/>
  <c r="BZ399" i="16"/>
  <c r="BY399" i="16"/>
  <c r="BX379" i="16"/>
  <c r="CA379" i="16" s="1"/>
  <c r="CC378" i="16"/>
  <c r="BY361" i="16"/>
  <c r="BZ361" i="16"/>
  <c r="BX340" i="16"/>
  <c r="CC339" i="16"/>
  <c r="BX321" i="16"/>
  <c r="CC320" i="16"/>
  <c r="CC397" i="16"/>
  <c r="BX398" i="16"/>
  <c r="CA341" i="16"/>
  <c r="BZ341" i="16"/>
  <c r="BY341" i="16"/>
  <c r="BZ322" i="16"/>
  <c r="BY322" i="16"/>
  <c r="CA322" i="16"/>
  <c r="BX360" i="16"/>
  <c r="CA360" i="16" s="1"/>
  <c r="CC359" i="16"/>
  <c r="CA225" i="16"/>
  <c r="BY225" i="16"/>
  <c r="BZ225" i="16"/>
  <c r="CC223" i="16"/>
  <c r="BX224" i="16"/>
  <c r="BX263" i="16"/>
  <c r="CC262" i="16"/>
  <c r="CA244" i="16"/>
  <c r="BZ244" i="16"/>
  <c r="BY244" i="16"/>
  <c r="BY264" i="16"/>
  <c r="BZ264" i="16"/>
  <c r="CA264" i="16"/>
  <c r="BZ283" i="16"/>
  <c r="BY283" i="16"/>
  <c r="BX282" i="16"/>
  <c r="CA282" i="16" s="1"/>
  <c r="CC281" i="16"/>
  <c r="BZ302" i="16"/>
  <c r="BY302" i="16"/>
  <c r="CC300" i="16"/>
  <c r="BX301" i="16"/>
  <c r="BX243" i="16"/>
  <c r="CC242" i="16"/>
  <c r="CA107" i="44" l="1"/>
  <c r="BZ107" i="44"/>
  <c r="BY107" i="44"/>
  <c r="CC105" i="44"/>
  <c r="BX106" i="44"/>
  <c r="BZ145" i="44"/>
  <c r="BY145" i="44"/>
  <c r="CA145" i="44"/>
  <c r="CA126" i="44"/>
  <c r="BZ126" i="44"/>
  <c r="BY126" i="44"/>
  <c r="CC124" i="44"/>
  <c r="BX125" i="44"/>
  <c r="BX144" i="44"/>
  <c r="CC143" i="44"/>
  <c r="CA532" i="16"/>
  <c r="BZ532" i="16"/>
  <c r="BY532" i="16"/>
  <c r="BZ572" i="16"/>
  <c r="BY572" i="16"/>
  <c r="CC570" i="16"/>
  <c r="BX571" i="16"/>
  <c r="CA571" i="16" s="1"/>
  <c r="CC530" i="16"/>
  <c r="BX531" i="16"/>
  <c r="CA514" i="16"/>
  <c r="BZ514" i="16"/>
  <c r="BY514" i="16"/>
  <c r="CA591" i="16"/>
  <c r="BZ591" i="16"/>
  <c r="BY591" i="16"/>
  <c r="BX590" i="16"/>
  <c r="CC589" i="16"/>
  <c r="BX552" i="16"/>
  <c r="CC551" i="16"/>
  <c r="BX513" i="16"/>
  <c r="CC512" i="16"/>
  <c r="BY553" i="16"/>
  <c r="CA553" i="16"/>
  <c r="BZ553" i="16"/>
  <c r="BX493" i="16"/>
  <c r="CC492" i="16"/>
  <c r="BX455" i="16"/>
  <c r="CC454" i="16"/>
  <c r="BZ456" i="16"/>
  <c r="BY456" i="16"/>
  <c r="CA456" i="16"/>
  <c r="BX435" i="16"/>
  <c r="CC434" i="16"/>
  <c r="BY436" i="16"/>
  <c r="CA436" i="16"/>
  <c r="BZ436" i="16"/>
  <c r="BY474" i="16"/>
  <c r="BZ474" i="16"/>
  <c r="CC472" i="16"/>
  <c r="BX473" i="16"/>
  <c r="CA473" i="16" s="1"/>
  <c r="BX416" i="16"/>
  <c r="CC415" i="16"/>
  <c r="CA494" i="16"/>
  <c r="BZ494" i="16"/>
  <c r="BY494" i="16"/>
  <c r="CA417" i="16"/>
  <c r="BZ417" i="16"/>
  <c r="BY417" i="16"/>
  <c r="BZ379" i="16"/>
  <c r="BY379" i="16"/>
  <c r="BX359" i="16"/>
  <c r="CA359" i="16" s="1"/>
  <c r="CC358" i="16"/>
  <c r="CC396" i="16"/>
  <c r="BX397" i="16"/>
  <c r="BY360" i="16"/>
  <c r="BZ360" i="16"/>
  <c r="BX339" i="16"/>
  <c r="CC338" i="16"/>
  <c r="CA321" i="16"/>
  <c r="BZ321" i="16"/>
  <c r="BY321" i="16"/>
  <c r="CC377" i="16"/>
  <c r="BX378" i="16"/>
  <c r="CA378" i="16" s="1"/>
  <c r="BX320" i="16"/>
  <c r="CC319" i="16"/>
  <c r="BY340" i="16"/>
  <c r="CA340" i="16"/>
  <c r="BZ340" i="16"/>
  <c r="BY398" i="16"/>
  <c r="CA398" i="16"/>
  <c r="BZ398" i="16"/>
  <c r="BX262" i="16"/>
  <c r="CC261" i="16"/>
  <c r="BZ263" i="16"/>
  <c r="BY263" i="16"/>
  <c r="CA263" i="16"/>
  <c r="BY243" i="16"/>
  <c r="BZ243" i="16"/>
  <c r="CA243" i="16"/>
  <c r="BZ224" i="16"/>
  <c r="BY224" i="16"/>
  <c r="CA224" i="16"/>
  <c r="BX242" i="16"/>
  <c r="CC241" i="16"/>
  <c r="BX223" i="16"/>
  <c r="CC222" i="16"/>
  <c r="BY301" i="16"/>
  <c r="CA301" i="16"/>
  <c r="BZ301" i="16"/>
  <c r="CC299" i="16"/>
  <c r="BX300" i="16"/>
  <c r="CC280" i="16"/>
  <c r="BX281" i="16"/>
  <c r="CA281" i="16" s="1"/>
  <c r="BZ282" i="16"/>
  <c r="BY282" i="16"/>
  <c r="CA106" i="44" l="1"/>
  <c r="BZ106" i="44"/>
  <c r="BY106" i="44"/>
  <c r="CC104" i="44"/>
  <c r="BX105" i="44"/>
  <c r="BX222" i="16"/>
  <c r="CC221" i="16"/>
  <c r="CA125" i="44"/>
  <c r="BZ125" i="44"/>
  <c r="BY125" i="44"/>
  <c r="BY144" i="44"/>
  <c r="BZ144" i="44"/>
  <c r="CA144" i="44"/>
  <c r="BX143" i="44"/>
  <c r="CC142" i="44"/>
  <c r="CC123" i="44"/>
  <c r="BX124" i="44"/>
  <c r="CA531" i="16"/>
  <c r="BZ531" i="16"/>
  <c r="BY531" i="16"/>
  <c r="BY552" i="16"/>
  <c r="BZ552" i="16"/>
  <c r="CA552" i="16"/>
  <c r="CA590" i="16"/>
  <c r="BZ590" i="16"/>
  <c r="BY590" i="16"/>
  <c r="BX530" i="16"/>
  <c r="CA530" i="16" s="1"/>
  <c r="CC529" i="16"/>
  <c r="BX551" i="16"/>
  <c r="CA551" i="16" s="1"/>
  <c r="CC550" i="16"/>
  <c r="CC569" i="16"/>
  <c r="BX570" i="16"/>
  <c r="CA570" i="16" s="1"/>
  <c r="CC588" i="16"/>
  <c r="BX589" i="16"/>
  <c r="CA589" i="16" s="1"/>
  <c r="BX512" i="16"/>
  <c r="CC511" i="16"/>
  <c r="BZ513" i="16"/>
  <c r="BY513" i="16"/>
  <c r="CA513" i="16"/>
  <c r="BZ571" i="16"/>
  <c r="BY571" i="16"/>
  <c r="CC471" i="16"/>
  <c r="BX472" i="16"/>
  <c r="CA472" i="16" s="1"/>
  <c r="BX415" i="16"/>
  <c r="CC414" i="16"/>
  <c r="BY455" i="16"/>
  <c r="CA455" i="16"/>
  <c r="BZ455" i="16"/>
  <c r="CA416" i="16"/>
  <c r="BZ416" i="16"/>
  <c r="BY416" i="16"/>
  <c r="CC491" i="16"/>
  <c r="BX492" i="16"/>
  <c r="BZ473" i="16"/>
  <c r="BY473" i="16"/>
  <c r="CC433" i="16"/>
  <c r="BX434" i="16"/>
  <c r="CA493" i="16"/>
  <c r="BZ493" i="16"/>
  <c r="BY493" i="16"/>
  <c r="BZ435" i="16"/>
  <c r="CA435" i="16"/>
  <c r="BY435" i="16"/>
  <c r="CC453" i="16"/>
  <c r="BX454" i="16"/>
  <c r="CA397" i="16"/>
  <c r="BZ397" i="16"/>
  <c r="BY397" i="16"/>
  <c r="BX319" i="16"/>
  <c r="CC318" i="16"/>
  <c r="CC395" i="16"/>
  <c r="BX396" i="16"/>
  <c r="CA320" i="16"/>
  <c r="BZ320" i="16"/>
  <c r="BY320" i="16"/>
  <c r="CC357" i="16"/>
  <c r="BX358" i="16"/>
  <c r="CA358" i="16" s="1"/>
  <c r="BY378" i="16"/>
  <c r="BZ378" i="16"/>
  <c r="CC337" i="16"/>
  <c r="BX338" i="16"/>
  <c r="BY359" i="16"/>
  <c r="BZ359" i="16"/>
  <c r="BZ339" i="16"/>
  <c r="CA339" i="16"/>
  <c r="BY339" i="16"/>
  <c r="CC376" i="16"/>
  <c r="BX377" i="16"/>
  <c r="CA377" i="16" s="1"/>
  <c r="BZ281" i="16"/>
  <c r="BY281" i="16"/>
  <c r="CC279" i="16"/>
  <c r="BX280" i="16"/>
  <c r="CA280" i="16" s="1"/>
  <c r="CA223" i="16"/>
  <c r="BY223" i="16"/>
  <c r="BZ223" i="16"/>
  <c r="CC240" i="16"/>
  <c r="BX241" i="16"/>
  <c r="CA242" i="16"/>
  <c r="BZ242" i="16"/>
  <c r="BY242" i="16"/>
  <c r="CC298" i="16"/>
  <c r="BX299" i="16"/>
  <c r="CA300" i="16"/>
  <c r="BZ300" i="16"/>
  <c r="BY300" i="16"/>
  <c r="BX261" i="16"/>
  <c r="CC260" i="16"/>
  <c r="BY262" i="16"/>
  <c r="BZ262" i="16"/>
  <c r="CA262" i="16"/>
  <c r="CA105" i="44" l="1"/>
  <c r="BZ105" i="44"/>
  <c r="BY105" i="44"/>
  <c r="CC103" i="44"/>
  <c r="BX104" i="44"/>
  <c r="BY222" i="16"/>
  <c r="BZ222" i="16"/>
  <c r="CA222" i="16"/>
  <c r="CC122" i="44"/>
  <c r="BX123" i="44"/>
  <c r="CA124" i="44"/>
  <c r="BZ124" i="44"/>
  <c r="BY124" i="44"/>
  <c r="BX142" i="44"/>
  <c r="CC141" i="44"/>
  <c r="BY143" i="44"/>
  <c r="CA143" i="44"/>
  <c r="BZ143" i="44"/>
  <c r="BX550" i="16"/>
  <c r="CA550" i="16" s="1"/>
  <c r="CC549" i="16"/>
  <c r="BY551" i="16"/>
  <c r="BZ551" i="16"/>
  <c r="BX511" i="16"/>
  <c r="CA511" i="16" s="1"/>
  <c r="CC510" i="16"/>
  <c r="CC528" i="16"/>
  <c r="BX528" i="16" s="1"/>
  <c r="CA528" i="16" s="1"/>
  <c r="BX529" i="16"/>
  <c r="CA529" i="16" s="1"/>
  <c r="CC568" i="16"/>
  <c r="BX569" i="16"/>
  <c r="CA569" i="16" s="1"/>
  <c r="BZ512" i="16"/>
  <c r="BY512" i="16"/>
  <c r="CA512" i="16"/>
  <c r="BY530" i="16"/>
  <c r="BZ530" i="16"/>
  <c r="BZ589" i="16"/>
  <c r="BY589" i="16"/>
  <c r="BX588" i="16"/>
  <c r="CA588" i="16" s="1"/>
  <c r="CC587" i="16"/>
  <c r="BZ570" i="16"/>
  <c r="BY570" i="16"/>
  <c r="BZ454" i="16"/>
  <c r="CA454" i="16"/>
  <c r="BY454" i="16"/>
  <c r="CA492" i="16"/>
  <c r="BZ492" i="16"/>
  <c r="BY492" i="16"/>
  <c r="BX414" i="16"/>
  <c r="CA414" i="16" s="1"/>
  <c r="CC413" i="16"/>
  <c r="BX491" i="16"/>
  <c r="CA491" i="16" s="1"/>
  <c r="CC490" i="16"/>
  <c r="BY415" i="16"/>
  <c r="CA415" i="16"/>
  <c r="BZ415" i="16"/>
  <c r="BY472" i="16"/>
  <c r="BZ472" i="16"/>
  <c r="CA434" i="16"/>
  <c r="BY434" i="16"/>
  <c r="BZ434" i="16"/>
  <c r="BX471" i="16"/>
  <c r="CA471" i="16" s="1"/>
  <c r="CC470" i="16"/>
  <c r="BX470" i="16" s="1"/>
  <c r="CA470" i="16" s="1"/>
  <c r="BX453" i="16"/>
  <c r="CA453" i="16" s="1"/>
  <c r="CC452" i="16"/>
  <c r="BX433" i="16"/>
  <c r="CA433" i="16" s="1"/>
  <c r="CC432" i="16"/>
  <c r="CA396" i="16"/>
  <c r="BZ396" i="16"/>
  <c r="BY396" i="16"/>
  <c r="BX337" i="16"/>
  <c r="CC336" i="16"/>
  <c r="CC394" i="16"/>
  <c r="BX395" i="16"/>
  <c r="CA395" i="16" s="1"/>
  <c r="BX318" i="16"/>
  <c r="CA318" i="16" s="1"/>
  <c r="CC317" i="16"/>
  <c r="BY319" i="16"/>
  <c r="CA319" i="16"/>
  <c r="BZ319" i="16"/>
  <c r="BZ358" i="16"/>
  <c r="BY358" i="16"/>
  <c r="CC375" i="16"/>
  <c r="BX376" i="16"/>
  <c r="CA376" i="16" s="1"/>
  <c r="BX357" i="16"/>
  <c r="CA357" i="16" s="1"/>
  <c r="CC356" i="16"/>
  <c r="BY377" i="16"/>
  <c r="BZ377" i="16"/>
  <c r="BY338" i="16"/>
  <c r="CA338" i="16"/>
  <c r="BZ338" i="16"/>
  <c r="CA261" i="16"/>
  <c r="BZ261" i="16"/>
  <c r="BY261" i="16"/>
  <c r="BX240" i="16"/>
  <c r="CA240" i="16" s="1"/>
  <c r="CC239" i="16"/>
  <c r="BX221" i="16"/>
  <c r="CC220" i="16"/>
  <c r="BY280" i="16"/>
  <c r="BZ280" i="16"/>
  <c r="CC297" i="16"/>
  <c r="BX298" i="16"/>
  <c r="CC278" i="16"/>
  <c r="BX279" i="16"/>
  <c r="CA279" i="16" s="1"/>
  <c r="CA299" i="16"/>
  <c r="BZ299" i="16"/>
  <c r="BY299" i="16"/>
  <c r="BX260" i="16"/>
  <c r="CA260" i="16" s="1"/>
  <c r="CC259" i="16"/>
  <c r="CA241" i="16"/>
  <c r="BZ241" i="16"/>
  <c r="BY241" i="16"/>
  <c r="CA104" i="44" l="1"/>
  <c r="BZ104" i="44"/>
  <c r="BY104" i="44"/>
  <c r="CC102" i="44"/>
  <c r="BX102" i="44" s="1"/>
  <c r="BX103" i="44"/>
  <c r="CA123" i="44"/>
  <c r="BZ123" i="44"/>
  <c r="BY123" i="44"/>
  <c r="BX122" i="44"/>
  <c r="CC121" i="44"/>
  <c r="BX121" i="44" s="1"/>
  <c r="BX141" i="44"/>
  <c r="CC140" i="44"/>
  <c r="BX140" i="44" s="1"/>
  <c r="BY142" i="44"/>
  <c r="BZ142" i="44"/>
  <c r="CA142" i="44"/>
  <c r="BZ569" i="16"/>
  <c r="BY569" i="16"/>
  <c r="CC567" i="16"/>
  <c r="BX567" i="16" s="1"/>
  <c r="CA567" i="16" s="1"/>
  <c r="BX568" i="16"/>
  <c r="CA568" i="16" s="1"/>
  <c r="BZ529" i="16"/>
  <c r="BY529" i="16"/>
  <c r="BZ528" i="16"/>
  <c r="BY528" i="16"/>
  <c r="BX510" i="16"/>
  <c r="CA510" i="16" s="1"/>
  <c r="CC509" i="16"/>
  <c r="BX509" i="16" s="1"/>
  <c r="CA509" i="16" s="1"/>
  <c r="BX549" i="16"/>
  <c r="CA549" i="16" s="1"/>
  <c r="CC548" i="16"/>
  <c r="BX548" i="16" s="1"/>
  <c r="CA548" i="16" s="1"/>
  <c r="BZ511" i="16"/>
  <c r="BY511" i="16"/>
  <c r="BZ550" i="16"/>
  <c r="BY550" i="16"/>
  <c r="CC586" i="16"/>
  <c r="BX586" i="16" s="1"/>
  <c r="CA586" i="16" s="1"/>
  <c r="BX587" i="16"/>
  <c r="CA587" i="16" s="1"/>
  <c r="BZ588" i="16"/>
  <c r="BY588" i="16"/>
  <c r="BZ414" i="16"/>
  <c r="BY414" i="16"/>
  <c r="BZ433" i="16"/>
  <c r="BY433" i="16"/>
  <c r="BX413" i="16"/>
  <c r="CA413" i="16" s="1"/>
  <c r="CC412" i="16"/>
  <c r="BX412" i="16" s="1"/>
  <c r="CA412" i="16" s="1"/>
  <c r="BX452" i="16"/>
  <c r="CA452" i="16" s="1"/>
  <c r="CC451" i="16"/>
  <c r="BX451" i="16" s="1"/>
  <c r="CA451" i="16" s="1"/>
  <c r="BZ453" i="16"/>
  <c r="BY453" i="16"/>
  <c r="BZ470" i="16"/>
  <c r="BY470" i="16"/>
  <c r="BZ471" i="16"/>
  <c r="BY471" i="16"/>
  <c r="BX490" i="16"/>
  <c r="CA490" i="16" s="1"/>
  <c r="CC489" i="16"/>
  <c r="BX489" i="16" s="1"/>
  <c r="CA489" i="16" s="1"/>
  <c r="CC431" i="16"/>
  <c r="BX431" i="16" s="1"/>
  <c r="CA431" i="16" s="1"/>
  <c r="BX432" i="16"/>
  <c r="CA432" i="16" s="1"/>
  <c r="BZ491" i="16"/>
  <c r="BY491" i="16"/>
  <c r="BY357" i="16"/>
  <c r="BZ357" i="16"/>
  <c r="CC355" i="16"/>
  <c r="BX355" i="16" s="1"/>
  <c r="CA355" i="16" s="1"/>
  <c r="BX356" i="16"/>
  <c r="CA356" i="16" s="1"/>
  <c r="BX394" i="16"/>
  <c r="CC393" i="16"/>
  <c r="BX393" i="16" s="1"/>
  <c r="BZ318" i="16"/>
  <c r="BY318" i="16"/>
  <c r="CA337" i="16"/>
  <c r="BY337" i="16"/>
  <c r="BZ337" i="16"/>
  <c r="BZ376" i="16"/>
  <c r="BY376" i="16"/>
  <c r="BX317" i="16"/>
  <c r="CA317" i="16" s="1"/>
  <c r="CC316" i="16"/>
  <c r="BX316" i="16" s="1"/>
  <c r="CA316" i="16" s="1"/>
  <c r="BX375" i="16"/>
  <c r="CA375" i="16" s="1"/>
  <c r="CC374" i="16"/>
  <c r="BX374" i="16" s="1"/>
  <c r="CA374" i="16" s="1"/>
  <c r="CC335" i="16"/>
  <c r="BX335" i="16" s="1"/>
  <c r="CA335" i="16" s="1"/>
  <c r="BX336" i="16"/>
  <c r="CA336" i="16" s="1"/>
  <c r="BZ395" i="16"/>
  <c r="BY395" i="16"/>
  <c r="BY260" i="16"/>
  <c r="BZ260" i="16"/>
  <c r="CC238" i="16"/>
  <c r="BX238" i="16" s="1"/>
  <c r="CA238" i="16" s="1"/>
  <c r="BX239" i="16"/>
  <c r="CA239" i="16" s="1"/>
  <c r="BY240" i="16"/>
  <c r="BZ240" i="16"/>
  <c r="BZ279" i="16"/>
  <c r="BY279" i="16"/>
  <c r="CC277" i="16"/>
  <c r="BX277" i="16" s="1"/>
  <c r="CA277" i="16" s="1"/>
  <c r="BX278" i="16"/>
  <c r="CA278" i="16" s="1"/>
  <c r="CA298" i="16"/>
  <c r="BZ298" i="16"/>
  <c r="BY298" i="16"/>
  <c r="BX220" i="16"/>
  <c r="CA220" i="16" s="1"/>
  <c r="CC219" i="16"/>
  <c r="BX219" i="16" s="1"/>
  <c r="CA219" i="16" s="1"/>
  <c r="BX259" i="16"/>
  <c r="CA259" i="16" s="1"/>
  <c r="CC258" i="16"/>
  <c r="BX258" i="16" s="1"/>
  <c r="CA258" i="16" s="1"/>
  <c r="CC296" i="16"/>
  <c r="BX296" i="16" s="1"/>
  <c r="BX297" i="16"/>
  <c r="CA221" i="16"/>
  <c r="BY221" i="16"/>
  <c r="BZ221" i="16"/>
  <c r="BY393" i="16" l="1"/>
  <c r="CA393" i="16"/>
  <c r="BY394" i="16"/>
  <c r="CA394" i="16"/>
  <c r="CA103" i="44"/>
  <c r="BZ103" i="44"/>
  <c r="BY103" i="44"/>
  <c r="CA102" i="44"/>
  <c r="BZ102" i="44"/>
  <c r="BY102" i="44"/>
  <c r="BY141" i="44"/>
  <c r="CA141" i="44"/>
  <c r="BZ141" i="44"/>
  <c r="CA122" i="44"/>
  <c r="BZ122" i="44"/>
  <c r="BY122" i="44"/>
  <c r="BZ121" i="44"/>
  <c r="BY121" i="44"/>
  <c r="CA121" i="44"/>
  <c r="CA140" i="44"/>
  <c r="BZ140" i="44"/>
  <c r="BY140" i="44"/>
  <c r="BZ509" i="16"/>
  <c r="BY509" i="16"/>
  <c r="BZ568" i="16"/>
  <c r="BY568" i="16"/>
  <c r="BY549" i="16"/>
  <c r="BZ549" i="16"/>
  <c r="BY510" i="16"/>
  <c r="BZ510" i="16"/>
  <c r="BZ586" i="16"/>
  <c r="BY586" i="16"/>
  <c r="BZ567" i="16"/>
  <c r="BY567" i="16"/>
  <c r="BZ587" i="16"/>
  <c r="BY587" i="16"/>
  <c r="BZ548" i="16"/>
  <c r="BY548" i="16"/>
  <c r="BZ412" i="16"/>
  <c r="BY412" i="16"/>
  <c r="BY413" i="16"/>
  <c r="BZ413" i="16"/>
  <c r="BY432" i="16"/>
  <c r="BZ432" i="16"/>
  <c r="BZ489" i="16"/>
  <c r="BY489" i="16"/>
  <c r="BY451" i="16"/>
  <c r="BZ451" i="16"/>
  <c r="BZ431" i="16"/>
  <c r="BY431" i="16"/>
  <c r="BZ490" i="16"/>
  <c r="BY490" i="16"/>
  <c r="BZ452" i="16"/>
  <c r="BY452" i="16"/>
  <c r="BZ374" i="16"/>
  <c r="BY374" i="16"/>
  <c r="BY317" i="16"/>
  <c r="BZ317" i="16"/>
  <c r="BZ355" i="16"/>
  <c r="BY355" i="16"/>
  <c r="BZ356" i="16"/>
  <c r="BY356" i="16"/>
  <c r="BY316" i="16"/>
  <c r="BZ316" i="16"/>
  <c r="BZ336" i="16"/>
  <c r="BY336" i="16"/>
  <c r="BY375" i="16"/>
  <c r="BZ375" i="16"/>
  <c r="BZ335" i="16"/>
  <c r="BY335" i="16"/>
  <c r="BZ393" i="16"/>
  <c r="BZ394" i="16"/>
  <c r="BY258" i="16"/>
  <c r="BZ258" i="16"/>
  <c r="BZ259" i="16"/>
  <c r="BY259" i="16"/>
  <c r="BZ220" i="16"/>
  <c r="BY220" i="16"/>
  <c r="BY219" i="16"/>
  <c r="BZ219" i="16"/>
  <c r="CA297" i="16"/>
  <c r="BZ297" i="16"/>
  <c r="BY297" i="16"/>
  <c r="BY278" i="16"/>
  <c r="BZ278" i="16"/>
  <c r="BZ239" i="16"/>
  <c r="BY239" i="16"/>
  <c r="CA296" i="16"/>
  <c r="BZ296" i="16"/>
  <c r="BY296" i="16"/>
  <c r="BZ277" i="16"/>
  <c r="BY277" i="16"/>
  <c r="BZ238" i="16"/>
  <c r="BY238" i="16"/>
  <c r="BS64" i="11" l="1"/>
  <c r="BS26" i="11"/>
  <c r="AE66" i="9" l="1"/>
  <c r="B66" i="9"/>
  <c r="H50" i="35" l="1"/>
  <c r="I50" i="35"/>
  <c r="U24" i="35" l="1"/>
  <c r="V24" i="35" s="1"/>
  <c r="U23" i="35"/>
  <c r="V23" i="35" s="1"/>
  <c r="U22" i="35"/>
  <c r="V22" i="35" s="1"/>
  <c r="U21" i="35"/>
  <c r="V21" i="35" s="1"/>
  <c r="BL113" i="11" l="1"/>
  <c r="BL112" i="11"/>
  <c r="BL111" i="11"/>
  <c r="BL110" i="11"/>
  <c r="BL109" i="11"/>
  <c r="BL108" i="11"/>
  <c r="BL107" i="11"/>
  <c r="BL106" i="11"/>
  <c r="BL105" i="11"/>
  <c r="BL104" i="11"/>
  <c r="BL103" i="11"/>
  <c r="BL102" i="11"/>
  <c r="BT89" i="10"/>
  <c r="BT92" i="10"/>
  <c r="BL94" i="10"/>
  <c r="BL93" i="10"/>
  <c r="BL92" i="10"/>
  <c r="BL91" i="10"/>
  <c r="BL90" i="10"/>
  <c r="BL89" i="10"/>
  <c r="BL88" i="10"/>
  <c r="BL87" i="10"/>
  <c r="BL86" i="10"/>
  <c r="BL85" i="10"/>
  <c r="BL84" i="10"/>
  <c r="BL83" i="10"/>
  <c r="BL37" i="12"/>
  <c r="BL45" i="44"/>
  <c r="BL46" i="44"/>
  <c r="BL47" i="44"/>
  <c r="BL48" i="44"/>
  <c r="BL49" i="44"/>
  <c r="BL50" i="44"/>
  <c r="BL51" i="44"/>
  <c r="BO83" i="10" l="1"/>
  <c r="BO86" i="10"/>
  <c r="BO89" i="10"/>
  <c r="BO92" i="10"/>
  <c r="S15" i="27"/>
  <c r="B66" i="10" l="1"/>
  <c r="AE66" i="10"/>
  <c r="B89" i="10"/>
  <c r="AE89" i="10"/>
  <c r="BS132" i="11" l="1"/>
  <c r="BN132" i="11"/>
  <c r="BS131" i="11"/>
  <c r="BN131" i="11"/>
  <c r="BT130" i="11"/>
  <c r="BS130" i="11"/>
  <c r="BO130" i="11"/>
  <c r="BN130" i="11"/>
  <c r="BS129" i="11"/>
  <c r="BN129" i="11"/>
  <c r="BS128" i="11"/>
  <c r="BN128" i="11"/>
  <c r="BS127" i="11"/>
  <c r="BO127" i="11"/>
  <c r="BN127" i="11"/>
  <c r="BS126" i="11"/>
  <c r="BN126" i="11"/>
  <c r="BS125" i="11"/>
  <c r="BN125" i="11"/>
  <c r="BT124" i="11"/>
  <c r="BS124" i="11"/>
  <c r="BO124" i="11"/>
  <c r="BN124" i="11"/>
  <c r="BS123" i="11"/>
  <c r="BN123" i="11"/>
  <c r="BS122" i="11"/>
  <c r="BN122" i="11"/>
  <c r="BT121" i="11"/>
  <c r="BO121" i="11"/>
  <c r="BN121" i="11"/>
  <c r="BW133" i="11"/>
  <c r="CC133" i="11" s="1"/>
  <c r="BX133" i="11" s="1"/>
  <c r="BO102" i="11"/>
  <c r="BQ102" i="11"/>
  <c r="BQ103" i="11"/>
  <c r="BQ104" i="11"/>
  <c r="BO105" i="11"/>
  <c r="BQ105" i="11"/>
  <c r="BT105" i="11"/>
  <c r="BQ106" i="11"/>
  <c r="BQ107" i="11"/>
  <c r="BO108" i="11"/>
  <c r="BQ108" i="11"/>
  <c r="BT108" i="11" s="1"/>
  <c r="BQ109" i="11"/>
  <c r="BQ110" i="11"/>
  <c r="BO111" i="11"/>
  <c r="BQ111" i="11"/>
  <c r="BT111" i="11"/>
  <c r="BQ112" i="11"/>
  <c r="BQ113" i="11"/>
  <c r="BW114" i="11"/>
  <c r="CC114" i="11" s="1"/>
  <c r="BX114" i="11" s="1"/>
  <c r="BQ90" i="11"/>
  <c r="BT102" i="11" l="1"/>
  <c r="BT127" i="11"/>
  <c r="BS121" i="11"/>
  <c r="CA133" i="11"/>
  <c r="BZ133" i="11"/>
  <c r="BY133" i="11"/>
  <c r="CC132" i="11"/>
  <c r="CA114" i="11"/>
  <c r="BZ114" i="11"/>
  <c r="BY114" i="11"/>
  <c r="CC113" i="11"/>
  <c r="BX132" i="11" l="1"/>
  <c r="CC131" i="11"/>
  <c r="BX113" i="11"/>
  <c r="CC112" i="11"/>
  <c r="BL75" i="11"/>
  <c r="BL74" i="11"/>
  <c r="BL73" i="11"/>
  <c r="BL72" i="11"/>
  <c r="BL71" i="11"/>
  <c r="BL70" i="11"/>
  <c r="BL69" i="11"/>
  <c r="BL68" i="11"/>
  <c r="BL67" i="11"/>
  <c r="BL66" i="11"/>
  <c r="BL65" i="11"/>
  <c r="BL64" i="11"/>
  <c r="BL37" i="11"/>
  <c r="BL36" i="11"/>
  <c r="BL35" i="11"/>
  <c r="BL34" i="11"/>
  <c r="BL33" i="11"/>
  <c r="BL32" i="11"/>
  <c r="BL31" i="11"/>
  <c r="BL30" i="11"/>
  <c r="BL29" i="11"/>
  <c r="BL28" i="11"/>
  <c r="BL27" i="11"/>
  <c r="BL26" i="11"/>
  <c r="BY132" i="11" l="1"/>
  <c r="BZ132" i="11"/>
  <c r="CA132" i="11"/>
  <c r="BX131" i="11"/>
  <c r="CC130" i="11"/>
  <c r="BX112" i="11"/>
  <c r="CC111" i="11"/>
  <c r="BY113" i="11"/>
  <c r="CA113" i="11"/>
  <c r="BZ113" i="11"/>
  <c r="BZ131" i="11" l="1"/>
  <c r="BY131" i="11"/>
  <c r="CA131" i="11"/>
  <c r="CC129" i="11"/>
  <c r="BX130" i="11"/>
  <c r="BX111" i="11"/>
  <c r="CC110" i="11"/>
  <c r="BY112" i="11"/>
  <c r="BZ112" i="11"/>
  <c r="CA112" i="11"/>
  <c r="CA130" i="11" l="1"/>
  <c r="BZ130" i="11"/>
  <c r="BY130" i="11"/>
  <c r="BX129" i="11"/>
  <c r="CC128" i="11"/>
  <c r="BX110" i="11"/>
  <c r="CC109" i="11"/>
  <c r="BY111" i="11"/>
  <c r="CA111" i="11"/>
  <c r="BZ111" i="11"/>
  <c r="CC125" i="48"/>
  <c r="BX125" i="48" s="1"/>
  <c r="CA125" i="48"/>
  <c r="BZ125" i="48"/>
  <c r="BY125" i="48"/>
  <c r="CA124" i="48"/>
  <c r="BZ124" i="48"/>
  <c r="BY124" i="48"/>
  <c r="BT124" i="48"/>
  <c r="BO124" i="48"/>
  <c r="CA123" i="48"/>
  <c r="BZ123" i="48"/>
  <c r="BY123" i="48"/>
  <c r="CA122" i="48"/>
  <c r="BZ122" i="48"/>
  <c r="BY122" i="48"/>
  <c r="CA121" i="48"/>
  <c r="BZ121" i="48"/>
  <c r="BY121" i="48"/>
  <c r="BT121" i="48"/>
  <c r="BO121" i="48"/>
  <c r="CA120" i="48"/>
  <c r="BZ120" i="48"/>
  <c r="BY120" i="48"/>
  <c r="CA119" i="48"/>
  <c r="BZ119" i="48"/>
  <c r="BY119" i="48"/>
  <c r="CA118" i="48"/>
  <c r="BZ118" i="48"/>
  <c r="BY118" i="48"/>
  <c r="BT118" i="48"/>
  <c r="BO118" i="48"/>
  <c r="BW76" i="48"/>
  <c r="CC76" i="48" s="1"/>
  <c r="BT73" i="48"/>
  <c r="BO73" i="48"/>
  <c r="BT70" i="48"/>
  <c r="BO70" i="48"/>
  <c r="BT67" i="48"/>
  <c r="BO67" i="48"/>
  <c r="BT64" i="48"/>
  <c r="BO64" i="48"/>
  <c r="BW57" i="48"/>
  <c r="CC57" i="48" s="1"/>
  <c r="BX57" i="48" s="1"/>
  <c r="BT54" i="48"/>
  <c r="BO54" i="48"/>
  <c r="BT51" i="48"/>
  <c r="BO51" i="48"/>
  <c r="BT48" i="48"/>
  <c r="BO48" i="48"/>
  <c r="BT45" i="48"/>
  <c r="BO45" i="48"/>
  <c r="BW38" i="48"/>
  <c r="CC38" i="48" s="1"/>
  <c r="BX38" i="48" s="1"/>
  <c r="BT35" i="48"/>
  <c r="BO35" i="48"/>
  <c r="BT32" i="48"/>
  <c r="BO32" i="48"/>
  <c r="BT29" i="48"/>
  <c r="BO29" i="48"/>
  <c r="BT26" i="48"/>
  <c r="BO26" i="48"/>
  <c r="BS126" i="47"/>
  <c r="BT125" i="47"/>
  <c r="BS125" i="47"/>
  <c r="BO125" i="47"/>
  <c r="CC124" i="47"/>
  <c r="CC123" i="47" s="1"/>
  <c r="BS124" i="47"/>
  <c r="BS123" i="47"/>
  <c r="BT122" i="47"/>
  <c r="BS122" i="47"/>
  <c r="BO122" i="47"/>
  <c r="BS121" i="47"/>
  <c r="BS120" i="47"/>
  <c r="BT119" i="47"/>
  <c r="BS119" i="47"/>
  <c r="BO119" i="47"/>
  <c r="CC127" i="11" l="1"/>
  <c r="BX128" i="11"/>
  <c r="BZ129" i="11"/>
  <c r="BY129" i="11"/>
  <c r="CA129" i="11"/>
  <c r="BX109" i="11"/>
  <c r="CC108" i="11"/>
  <c r="BZ110" i="11"/>
  <c r="BY110" i="11"/>
  <c r="CA110" i="11"/>
  <c r="BX124" i="47"/>
  <c r="BZ124" i="47" s="1"/>
  <c r="BY57" i="48"/>
  <c r="BZ57" i="48"/>
  <c r="CA57" i="48"/>
  <c r="BX76" i="48"/>
  <c r="CC75" i="48"/>
  <c r="CA38" i="48"/>
  <c r="BZ38" i="48"/>
  <c r="BY38" i="48"/>
  <c r="CC37" i="48"/>
  <c r="CC56" i="48"/>
  <c r="CC124" i="48"/>
  <c r="BX123" i="47"/>
  <c r="CC122" i="47"/>
  <c r="CA128" i="11" l="1"/>
  <c r="BZ128" i="11"/>
  <c r="BY128" i="11"/>
  <c r="CC126" i="11"/>
  <c r="BX127" i="11"/>
  <c r="CC107" i="11"/>
  <c r="BX108" i="11"/>
  <c r="BY109" i="11"/>
  <c r="CA109" i="11"/>
  <c r="BZ109" i="11"/>
  <c r="CA124" i="47"/>
  <c r="BY124" i="47"/>
  <c r="BX37" i="48"/>
  <c r="CC36" i="48"/>
  <c r="BX75" i="48"/>
  <c r="CC74" i="48"/>
  <c r="CC55" i="48"/>
  <c r="BX56" i="48"/>
  <c r="BZ76" i="48"/>
  <c r="CA76" i="48"/>
  <c r="BY76" i="48"/>
  <c r="CC123" i="48"/>
  <c r="BX124" i="48"/>
  <c r="CC121" i="47"/>
  <c r="BX122" i="47"/>
  <c r="CA123" i="47"/>
  <c r="BY123" i="47"/>
  <c r="BZ123" i="47"/>
  <c r="CA127" i="11" l="1"/>
  <c r="BZ127" i="11"/>
  <c r="BY127" i="11"/>
  <c r="CC125" i="11"/>
  <c r="BX126" i="11"/>
  <c r="CC106" i="11"/>
  <c r="BX107" i="11"/>
  <c r="CA108" i="11"/>
  <c r="BZ108" i="11"/>
  <c r="BY108" i="11"/>
  <c r="BX123" i="48"/>
  <c r="CC122" i="48"/>
  <c r="BX36" i="48"/>
  <c r="CC35" i="48"/>
  <c r="BZ37" i="48"/>
  <c r="BY37" i="48"/>
  <c r="CA37" i="48"/>
  <c r="BZ56" i="48"/>
  <c r="BY56" i="48"/>
  <c r="CA56" i="48"/>
  <c r="BX55" i="48"/>
  <c r="CC54" i="48"/>
  <c r="BX74" i="48"/>
  <c r="CC73" i="48"/>
  <c r="CA75" i="48"/>
  <c r="BY75" i="48"/>
  <c r="BZ75" i="48"/>
  <c r="CA122" i="47"/>
  <c r="BZ122" i="47"/>
  <c r="BY122" i="47"/>
  <c r="CC120" i="47"/>
  <c r="BX121" i="47"/>
  <c r="CA126" i="11" l="1"/>
  <c r="BZ126" i="11"/>
  <c r="BY126" i="11"/>
  <c r="CC124" i="11"/>
  <c r="BX125" i="11"/>
  <c r="BY107" i="11"/>
  <c r="CA107" i="11"/>
  <c r="BZ107" i="11"/>
  <c r="CC105" i="11"/>
  <c r="BX106" i="11"/>
  <c r="BX122" i="48"/>
  <c r="CC121" i="48"/>
  <c r="CC72" i="48"/>
  <c r="BX73" i="48"/>
  <c r="CA74" i="48"/>
  <c r="BZ74" i="48"/>
  <c r="BY74" i="48"/>
  <c r="BX54" i="48"/>
  <c r="CC53" i="48"/>
  <c r="BX35" i="48"/>
  <c r="CC34" i="48"/>
  <c r="CA55" i="48"/>
  <c r="BZ55" i="48"/>
  <c r="BY55" i="48"/>
  <c r="CA36" i="48"/>
  <c r="BZ36" i="48"/>
  <c r="BY36" i="48"/>
  <c r="CA121" i="47"/>
  <c r="BZ121" i="47"/>
  <c r="BY121" i="47"/>
  <c r="BX120" i="47"/>
  <c r="CC119" i="47"/>
  <c r="CA125" i="11" l="1"/>
  <c r="BZ125" i="11"/>
  <c r="BY125" i="11"/>
  <c r="CC123" i="11"/>
  <c r="BX124" i="11"/>
  <c r="CA106" i="11"/>
  <c r="BZ106" i="11"/>
  <c r="BY106" i="11"/>
  <c r="CC104" i="11"/>
  <c r="BX105" i="11"/>
  <c r="CA35" i="48"/>
  <c r="BZ35" i="48"/>
  <c r="BY35" i="48"/>
  <c r="BX121" i="48"/>
  <c r="CC120" i="48"/>
  <c r="BX53" i="48"/>
  <c r="CC52" i="48"/>
  <c r="BZ54" i="48"/>
  <c r="BY54" i="48"/>
  <c r="CA54" i="48"/>
  <c r="BZ73" i="48"/>
  <c r="CA73" i="48"/>
  <c r="BY73" i="48"/>
  <c r="BX34" i="48"/>
  <c r="CC33" i="48"/>
  <c r="BX72" i="48"/>
  <c r="CC71" i="48"/>
  <c r="BZ120" i="47"/>
  <c r="BY120" i="47"/>
  <c r="CA120" i="47"/>
  <c r="BX119" i="47"/>
  <c r="CC118" i="47"/>
  <c r="CA124" i="11" l="1"/>
  <c r="BZ124" i="11"/>
  <c r="BY124" i="11"/>
  <c r="CC122" i="11"/>
  <c r="BX123" i="11"/>
  <c r="CA105" i="11"/>
  <c r="BZ105" i="11"/>
  <c r="BY105" i="11"/>
  <c r="CC103" i="11"/>
  <c r="BX104" i="11"/>
  <c r="CC51" i="48"/>
  <c r="BX52" i="48"/>
  <c r="BY72" i="48"/>
  <c r="CA72" i="48"/>
  <c r="BZ72" i="48"/>
  <c r="BZ34" i="48"/>
  <c r="BY34" i="48"/>
  <c r="CA34" i="48"/>
  <c r="CC32" i="48"/>
  <c r="BX33" i="48"/>
  <c r="BY53" i="48"/>
  <c r="CA53" i="48"/>
  <c r="BZ53" i="48"/>
  <c r="CC119" i="48"/>
  <c r="BX120" i="48"/>
  <c r="CC70" i="48"/>
  <c r="BX71" i="48"/>
  <c r="CC117" i="47"/>
  <c r="BX117" i="47" s="1"/>
  <c r="BX118" i="47"/>
  <c r="CA119" i="47"/>
  <c r="BZ119" i="47"/>
  <c r="BY119" i="47"/>
  <c r="CA123" i="11" l="1"/>
  <c r="BZ123" i="11"/>
  <c r="BY123" i="11"/>
  <c r="CC121" i="11"/>
  <c r="BX121" i="11" s="1"/>
  <c r="BX122" i="11"/>
  <c r="CA104" i="11"/>
  <c r="BZ104" i="11"/>
  <c r="BY104" i="11"/>
  <c r="CC102" i="11"/>
  <c r="BX102" i="11" s="1"/>
  <c r="BX103" i="11"/>
  <c r="CA52" i="48"/>
  <c r="BZ52" i="48"/>
  <c r="BY52" i="48"/>
  <c r="BX70" i="48"/>
  <c r="CC69" i="48"/>
  <c r="BX119" i="48"/>
  <c r="CC118" i="48"/>
  <c r="BX118" i="48" s="1"/>
  <c r="CA33" i="48"/>
  <c r="BZ33" i="48"/>
  <c r="BY33" i="48"/>
  <c r="CA71" i="48"/>
  <c r="BZ71" i="48"/>
  <c r="BY71" i="48"/>
  <c r="BX32" i="48"/>
  <c r="CC31" i="48"/>
  <c r="BX51" i="48"/>
  <c r="CC50" i="48"/>
  <c r="CA118" i="47"/>
  <c r="BZ118" i="47"/>
  <c r="BY118" i="47"/>
  <c r="CA117" i="47"/>
  <c r="BZ117" i="47"/>
  <c r="BY117" i="47"/>
  <c r="CA122" i="11" l="1"/>
  <c r="BZ122" i="11"/>
  <c r="BY122" i="11"/>
  <c r="BZ121" i="11"/>
  <c r="BY121" i="11"/>
  <c r="CA121" i="11"/>
  <c r="BZ103" i="11"/>
  <c r="CA103" i="11"/>
  <c r="BY103" i="11"/>
  <c r="CA102" i="11"/>
  <c r="BZ102" i="11"/>
  <c r="BY102" i="11"/>
  <c r="BX50" i="48"/>
  <c r="CC49" i="48"/>
  <c r="CA51" i="48"/>
  <c r="BZ51" i="48"/>
  <c r="BY51" i="48"/>
  <c r="BX31" i="48"/>
  <c r="CC30" i="48"/>
  <c r="CA32" i="48"/>
  <c r="BZ32" i="48"/>
  <c r="BY32" i="48"/>
  <c r="CC68" i="48"/>
  <c r="BX69" i="48"/>
  <c r="CA70" i="48"/>
  <c r="BZ70" i="48"/>
  <c r="BY70" i="48"/>
  <c r="BX30" i="48" l="1"/>
  <c r="CC29" i="48"/>
  <c r="CC48" i="48"/>
  <c r="BX49" i="48"/>
  <c r="BY50" i="48"/>
  <c r="CA50" i="48"/>
  <c r="BZ50" i="48"/>
  <c r="CA31" i="48"/>
  <c r="BZ31" i="48"/>
  <c r="BY31" i="48"/>
  <c r="BZ69" i="48"/>
  <c r="CA69" i="48"/>
  <c r="BY69" i="48"/>
  <c r="CC67" i="48"/>
  <c r="BX68" i="48"/>
  <c r="CC47" i="48" l="1"/>
  <c r="BX48" i="48"/>
  <c r="CC28" i="48"/>
  <c r="BX29" i="48"/>
  <c r="CA30" i="48"/>
  <c r="BZ30" i="48"/>
  <c r="BY30" i="48"/>
  <c r="CA68" i="48"/>
  <c r="BZ68" i="48"/>
  <c r="BY68" i="48"/>
  <c r="BX67" i="48"/>
  <c r="CC66" i="48"/>
  <c r="CA49" i="48"/>
  <c r="BZ49" i="48"/>
  <c r="BY49" i="48"/>
  <c r="BZ67" i="48" l="1"/>
  <c r="BY67" i="48"/>
  <c r="CA67" i="48"/>
  <c r="BX28" i="48"/>
  <c r="CC27" i="48"/>
  <c r="CA48" i="48"/>
  <c r="BZ48" i="48"/>
  <c r="BY48" i="48"/>
  <c r="BX47" i="48"/>
  <c r="CC46" i="48"/>
  <c r="BX66" i="48"/>
  <c r="CC65" i="48"/>
  <c r="CA29" i="48"/>
  <c r="BZ29" i="48"/>
  <c r="BY29" i="48"/>
  <c r="CA66" i="48" l="1"/>
  <c r="BZ66" i="48"/>
  <c r="BY66" i="48"/>
  <c r="BZ47" i="48"/>
  <c r="BY47" i="48"/>
  <c r="CA47" i="48"/>
  <c r="BX27" i="48"/>
  <c r="CC26" i="48"/>
  <c r="BX26" i="48" s="1"/>
  <c r="BX65" i="48"/>
  <c r="CC64" i="48"/>
  <c r="BX64" i="48" s="1"/>
  <c r="CA28" i="48"/>
  <c r="BZ28" i="48"/>
  <c r="BY28" i="48"/>
  <c r="CC45" i="48"/>
  <c r="BX45" i="48" s="1"/>
  <c r="BX46" i="48"/>
  <c r="CA26" i="48" l="1"/>
  <c r="BZ26" i="48"/>
  <c r="BY26" i="48"/>
  <c r="CA45" i="48"/>
  <c r="BZ45" i="48"/>
  <c r="BY45" i="48"/>
  <c r="BZ27" i="48"/>
  <c r="BY27" i="48"/>
  <c r="CA27" i="48"/>
  <c r="CA46" i="48"/>
  <c r="BZ46" i="48"/>
  <c r="BY46" i="48"/>
  <c r="CA64" i="48"/>
  <c r="BZ64" i="48"/>
  <c r="BY64" i="48"/>
  <c r="CA65" i="48"/>
  <c r="BZ65" i="48"/>
  <c r="BY65" i="48"/>
  <c r="BW153" i="16" l="1"/>
  <c r="CC153" i="16" s="1"/>
  <c r="BX153" i="16" s="1"/>
  <c r="BN153" i="16"/>
  <c r="BT150" i="16"/>
  <c r="BO150" i="16"/>
  <c r="BT147" i="16"/>
  <c r="BO147" i="16"/>
  <c r="BT144" i="16"/>
  <c r="BO144" i="16"/>
  <c r="BT141" i="16"/>
  <c r="BO141" i="16"/>
  <c r="CA153" i="16" l="1"/>
  <c r="BZ153" i="16"/>
  <c r="BY153" i="16"/>
  <c r="CC152" i="16"/>
  <c r="BX152" i="16" l="1"/>
  <c r="CC151" i="16"/>
  <c r="BZ152" i="16" l="1"/>
  <c r="CA152" i="16"/>
  <c r="BY152" i="16"/>
  <c r="BX151" i="16"/>
  <c r="CC150" i="16"/>
  <c r="BX150" i="16" l="1"/>
  <c r="CC149" i="16"/>
  <c r="BY151" i="16"/>
  <c r="BZ151" i="16"/>
  <c r="CA151" i="16"/>
  <c r="BX149" i="16" l="1"/>
  <c r="CC148" i="16"/>
  <c r="CA150" i="16"/>
  <c r="BY150" i="16"/>
  <c r="BZ150" i="16"/>
  <c r="BX148" i="16" l="1"/>
  <c r="CC147" i="16"/>
  <c r="BY149" i="16"/>
  <c r="BZ149" i="16"/>
  <c r="CA149" i="16"/>
  <c r="CA148" i="16" l="1"/>
  <c r="BZ148" i="16"/>
  <c r="BY148" i="16"/>
  <c r="CC146" i="16"/>
  <c r="BX147" i="16"/>
  <c r="BX146" i="16" l="1"/>
  <c r="CC145" i="16"/>
  <c r="BZ147" i="16"/>
  <c r="CA147" i="16"/>
  <c r="BY147" i="16"/>
  <c r="BY146" i="16" l="1"/>
  <c r="CA146" i="16"/>
  <c r="BZ146" i="16"/>
  <c r="CC144" i="16"/>
  <c r="BX145" i="16"/>
  <c r="CC143" i="16" l="1"/>
  <c r="BX144" i="16"/>
  <c r="BZ145" i="16"/>
  <c r="CA145" i="16"/>
  <c r="BY145" i="16"/>
  <c r="CC142" i="16" l="1"/>
  <c r="BX143" i="16"/>
  <c r="BY144" i="16"/>
  <c r="CA144" i="16"/>
  <c r="BZ144" i="16"/>
  <c r="BT32" i="15"/>
  <c r="BZ143" i="16" l="1"/>
  <c r="CA143" i="16"/>
  <c r="BY143" i="16"/>
  <c r="CC141" i="16"/>
  <c r="BX141" i="16" s="1"/>
  <c r="CA141" i="16" s="1"/>
  <c r="BX142" i="16"/>
  <c r="CA142" i="16" s="1"/>
  <c r="BT89" i="6"/>
  <c r="BT107" i="6"/>
  <c r="BZ142" i="16" l="1"/>
  <c r="BY142" i="16"/>
  <c r="BZ141" i="16"/>
  <c r="BY141" i="16"/>
  <c r="BW95" i="10" l="1"/>
  <c r="CC95" i="10" s="1"/>
  <c r="BQ94" i="10"/>
  <c r="BQ93" i="10"/>
  <c r="BQ92" i="10"/>
  <c r="BQ91" i="10"/>
  <c r="BQ90" i="10"/>
  <c r="BQ89" i="10"/>
  <c r="BQ88" i="10"/>
  <c r="BQ87" i="10"/>
  <c r="BQ86" i="10"/>
  <c r="BQ85" i="10"/>
  <c r="BQ84" i="10"/>
  <c r="BQ83" i="10"/>
  <c r="BT86" i="10" l="1"/>
  <c r="BT83" i="10"/>
  <c r="BX95" i="10"/>
  <c r="CC94" i="10"/>
  <c r="CA95" i="10" l="1"/>
  <c r="BZ95" i="10"/>
  <c r="BY95" i="10"/>
  <c r="BX94" i="10"/>
  <c r="CC93" i="10"/>
  <c r="CC92" i="10" l="1"/>
  <c r="BX93" i="10"/>
  <c r="BZ94" i="10"/>
  <c r="BY94" i="10"/>
  <c r="CA94" i="10"/>
  <c r="BX92" i="10" l="1"/>
  <c r="CC91" i="10"/>
  <c r="BZ93" i="10"/>
  <c r="CA93" i="10"/>
  <c r="BY93" i="10"/>
  <c r="BX91" i="10" l="1"/>
  <c r="CC90" i="10"/>
  <c r="CA92" i="10"/>
  <c r="BZ92" i="10"/>
  <c r="BY92" i="10"/>
  <c r="BY91" i="10" l="1"/>
  <c r="CA91" i="10"/>
  <c r="BZ91" i="10"/>
  <c r="BX90" i="10"/>
  <c r="CC89" i="10"/>
  <c r="BZ90" i="10" l="1"/>
  <c r="CA90" i="10"/>
  <c r="BY90" i="10"/>
  <c r="CC88" i="10"/>
  <c r="BX89" i="10"/>
  <c r="CA89" i="10" l="1"/>
  <c r="BZ89" i="10"/>
  <c r="BY89" i="10"/>
  <c r="BX88" i="10"/>
  <c r="CC87" i="10"/>
  <c r="BX87" i="10" l="1"/>
  <c r="CC86" i="10"/>
  <c r="CA88" i="10"/>
  <c r="BZ88" i="10"/>
  <c r="BY88" i="10"/>
  <c r="BX86" i="10" l="1"/>
  <c r="CC85" i="10"/>
  <c r="BY87" i="10"/>
  <c r="CA87" i="10"/>
  <c r="BZ87" i="10"/>
  <c r="CC84" i="10" l="1"/>
  <c r="BX85" i="10"/>
  <c r="BZ86" i="10"/>
  <c r="BY86" i="10"/>
  <c r="CA86" i="10"/>
  <c r="CA85" i="10" l="1"/>
  <c r="BZ85" i="10"/>
  <c r="BY85" i="10"/>
  <c r="BX84" i="10"/>
  <c r="CC83" i="10"/>
  <c r="BX83" i="10" s="1"/>
  <c r="AA23" i="48"/>
  <c r="AA20" i="48"/>
  <c r="AA23" i="47"/>
  <c r="AA20" i="47"/>
  <c r="AA23" i="39"/>
  <c r="AA20" i="39"/>
  <c r="AA23" i="9"/>
  <c r="AA20" i="9"/>
  <c r="AA23" i="12"/>
  <c r="AA20" i="12"/>
  <c r="AA23" i="10"/>
  <c r="AA20" i="10"/>
  <c r="AA23" i="29"/>
  <c r="AA23" i="44"/>
  <c r="AA20" i="44"/>
  <c r="AA23" i="5"/>
  <c r="AA20" i="5"/>
  <c r="AA23" i="14"/>
  <c r="AA20" i="14"/>
  <c r="AA23" i="8"/>
  <c r="AA20" i="8"/>
  <c r="AA23" i="7"/>
  <c r="AA20" i="7"/>
  <c r="AA23" i="6"/>
  <c r="AA20" i="6"/>
  <c r="AA23" i="2"/>
  <c r="AA20" i="2"/>
  <c r="BY83" i="10" l="1"/>
  <c r="CA83" i="10"/>
  <c r="BZ83" i="10"/>
  <c r="CA84" i="10"/>
  <c r="BZ84" i="10"/>
  <c r="BY84" i="10"/>
  <c r="BT29" i="15" l="1"/>
  <c r="BQ37" i="12" l="1"/>
  <c r="BQ36" i="12"/>
  <c r="BL36" i="12"/>
  <c r="BT35" i="12"/>
  <c r="BQ35" i="12"/>
  <c r="BL35" i="12"/>
  <c r="BQ34" i="12"/>
  <c r="BL34" i="12"/>
  <c r="BQ33" i="12"/>
  <c r="BL33" i="12"/>
  <c r="BQ32" i="12"/>
  <c r="BL32" i="12"/>
  <c r="BQ31" i="12"/>
  <c r="BL31" i="12"/>
  <c r="BQ30" i="12"/>
  <c r="BL30" i="12"/>
  <c r="BQ29" i="12"/>
  <c r="BL29" i="12"/>
  <c r="BQ28" i="12"/>
  <c r="BL28" i="12"/>
  <c r="BQ27" i="12"/>
  <c r="BL27" i="12"/>
  <c r="BQ26" i="12"/>
  <c r="BL26" i="12"/>
  <c r="BT32" i="12" l="1"/>
  <c r="BO26" i="12"/>
  <c r="BO35" i="12"/>
  <c r="BO32" i="12"/>
  <c r="BT26" i="12"/>
  <c r="BO29" i="12"/>
  <c r="BT29" i="12"/>
  <c r="AA17" i="47" l="1"/>
  <c r="AA17" i="48"/>
  <c r="B5" i="9" l="1"/>
  <c r="BT26" i="15" l="1"/>
  <c r="BT29" i="11" l="1"/>
  <c r="BJ14" i="48" l="1"/>
  <c r="BK6" i="48" s="1"/>
  <c r="BK14" i="48" s="1"/>
  <c r="BL6" i="48" s="1"/>
  <c r="BL14" i="48" s="1"/>
  <c r="BM6" i="48" s="1"/>
  <c r="BM14" i="48" s="1"/>
  <c r="BN6" i="48" s="1"/>
  <c r="BN14" i="48" s="1"/>
  <c r="BO6" i="48" s="1"/>
  <c r="BO14" i="48" s="1"/>
  <c r="BE5" i="48"/>
  <c r="B5" i="48"/>
  <c r="BW76" i="47"/>
  <c r="CC76" i="47" s="1"/>
  <c r="BT73" i="47"/>
  <c r="BO73" i="47"/>
  <c r="BT70" i="47"/>
  <c r="BO70" i="47"/>
  <c r="BT67" i="47"/>
  <c r="BO67" i="47"/>
  <c r="BT64" i="47"/>
  <c r="BO64" i="47"/>
  <c r="BW57" i="47"/>
  <c r="CC57" i="47" s="1"/>
  <c r="BT54" i="47"/>
  <c r="BO54" i="47"/>
  <c r="BT51" i="47"/>
  <c r="BO51" i="47"/>
  <c r="BT48" i="47"/>
  <c r="BO48" i="47"/>
  <c r="BT45" i="47"/>
  <c r="BO45" i="47"/>
  <c r="BW38" i="47"/>
  <c r="CC38" i="47" s="1"/>
  <c r="BS37" i="47"/>
  <c r="BS36" i="47"/>
  <c r="BT35" i="47"/>
  <c r="BS35" i="47"/>
  <c r="BO35" i="47"/>
  <c r="BS34" i="47"/>
  <c r="BS33" i="47"/>
  <c r="BT32" i="47"/>
  <c r="BS32" i="47"/>
  <c r="BO32" i="47"/>
  <c r="BS31" i="47"/>
  <c r="BS30" i="47"/>
  <c r="BT29" i="47"/>
  <c r="BS29" i="47"/>
  <c r="BO29" i="47"/>
  <c r="BS28" i="47"/>
  <c r="BS27" i="47"/>
  <c r="BT26" i="47"/>
  <c r="BS26" i="47"/>
  <c r="BO26" i="47"/>
  <c r="BJ14" i="47"/>
  <c r="BK6" i="47" s="1"/>
  <c r="BK14" i="47" s="1"/>
  <c r="BL6" i="47" s="1"/>
  <c r="BL14" i="47" s="1"/>
  <c r="BM6" i="47" s="1"/>
  <c r="BE5" i="47"/>
  <c r="B5" i="47"/>
  <c r="BP6" i="48" l="1"/>
  <c r="BP14" i="48" s="1"/>
  <c r="BQ6" i="48" s="1"/>
  <c r="BQ14" i="48" s="1"/>
  <c r="AN22" i="48"/>
  <c r="G20" i="48" a="1"/>
  <c r="G20" i="48" s="1"/>
  <c r="G18" i="48"/>
  <c r="G21" i="48" a="1"/>
  <c r="G21" i="48" s="1"/>
  <c r="G26" i="48" a="1"/>
  <c r="G26" i="48" s="1"/>
  <c r="U18" i="47"/>
  <c r="G21" i="47" a="1"/>
  <c r="G21" i="47" s="1"/>
  <c r="G20" i="47" a="1"/>
  <c r="G20" i="47" s="1"/>
  <c r="G26" i="47" a="1"/>
  <c r="G26" i="47" s="1"/>
  <c r="G18" i="47"/>
  <c r="M20" i="47"/>
  <c r="U17" i="47"/>
  <c r="P18" i="48"/>
  <c r="P17" i="48"/>
  <c r="K18" i="48"/>
  <c r="K17" i="48"/>
  <c r="M20" i="48"/>
  <c r="U18" i="48"/>
  <c r="U17" i="48"/>
  <c r="BM14" i="47"/>
  <c r="BN6" i="47" s="1"/>
  <c r="BN14" i="47" s="1"/>
  <c r="BO6" i="47" s="1"/>
  <c r="BO14" i="47" s="1"/>
  <c r="BX38" i="47"/>
  <c r="CC37" i="47"/>
  <c r="CC56" i="47"/>
  <c r="BX57" i="47"/>
  <c r="BX76" i="47"/>
  <c r="CC75" i="47"/>
  <c r="K17" i="47"/>
  <c r="K18" i="47"/>
  <c r="P17" i="47"/>
  <c r="P18" i="47"/>
  <c r="AN17" i="48"/>
  <c r="AN17" i="47"/>
  <c r="BP6" i="47" l="1"/>
  <c r="BP14" i="47" s="1"/>
  <c r="BQ6" i="47" s="1"/>
  <c r="BQ14" i="47" s="1"/>
  <c r="BR6" i="48"/>
  <c r="BR14" i="48" s="1"/>
  <c r="I26" i="48"/>
  <c r="I26" i="47"/>
  <c r="V20" i="48"/>
  <c r="G17" i="48" s="1"/>
  <c r="BB22" i="47"/>
  <c r="BB17" i="48"/>
  <c r="AU17" i="47"/>
  <c r="BB17" i="47"/>
  <c r="AU17" i="48"/>
  <c r="AU22" i="48"/>
  <c r="AN22" i="47"/>
  <c r="AU22" i="47"/>
  <c r="BB22" i="48"/>
  <c r="V20" i="47"/>
  <c r="G17" i="47" s="1"/>
  <c r="BX75" i="47"/>
  <c r="CC74" i="47"/>
  <c r="BY76" i="47"/>
  <c r="CA76" i="47"/>
  <c r="BZ76" i="47"/>
  <c r="CC36" i="47"/>
  <c r="BX37" i="47"/>
  <c r="CA38" i="47"/>
  <c r="BZ38" i="47"/>
  <c r="BY38" i="47"/>
  <c r="BZ57" i="47"/>
  <c r="BY57" i="47"/>
  <c r="CA57" i="47"/>
  <c r="BX56" i="47"/>
  <c r="CC55" i="47"/>
  <c r="AN18" i="47"/>
  <c r="AN19" i="47" s="1"/>
  <c r="AN18" i="48"/>
  <c r="AN19" i="48" s="1"/>
  <c r="BB18" i="47"/>
  <c r="AN23" i="47"/>
  <c r="AN23" i="48"/>
  <c r="BS6" i="48" l="1"/>
  <c r="BS14" i="48" s="1"/>
  <c r="BR6" i="47"/>
  <c r="BR14" i="47" s="1"/>
  <c r="AU18" i="48"/>
  <c r="AU19" i="48" s="1"/>
  <c r="BB19" i="47"/>
  <c r="AN24" i="48"/>
  <c r="AU18" i="47"/>
  <c r="AU19" i="47" s="1"/>
  <c r="BB18" i="48"/>
  <c r="BB19" i="48" s="1"/>
  <c r="AN24" i="47"/>
  <c r="AU23" i="48"/>
  <c r="AU24" i="48" s="1"/>
  <c r="BB23" i="48"/>
  <c r="BB24" i="48" s="1"/>
  <c r="BB23" i="47"/>
  <c r="BB24" i="47" s="1"/>
  <c r="AU23" i="47"/>
  <c r="AU24" i="47" s="1"/>
  <c r="BX74" i="47"/>
  <c r="CC73" i="47"/>
  <c r="BZ75" i="47"/>
  <c r="BY75" i="47"/>
  <c r="CA75" i="47"/>
  <c r="CA56" i="47"/>
  <c r="BZ56" i="47"/>
  <c r="BY56" i="47"/>
  <c r="BX36" i="47"/>
  <c r="CC35" i="47"/>
  <c r="CC54" i="47"/>
  <c r="BX55" i="47"/>
  <c r="BZ37" i="47"/>
  <c r="BY37" i="47"/>
  <c r="CA37" i="47"/>
  <c r="BT6" i="48" l="1"/>
  <c r="BT14" i="48" s="1"/>
  <c r="BS6" i="47"/>
  <c r="BS14" i="47" s="1"/>
  <c r="CA55" i="47"/>
  <c r="BZ55" i="47"/>
  <c r="BY55" i="47"/>
  <c r="BX54" i="47"/>
  <c r="CC53" i="47"/>
  <c r="BX35" i="47"/>
  <c r="CC34" i="47"/>
  <c r="BX73" i="47"/>
  <c r="CC72" i="47"/>
  <c r="CA36" i="47"/>
  <c r="BZ36" i="47"/>
  <c r="BY36" i="47"/>
  <c r="BY74" i="47"/>
  <c r="CA74" i="47"/>
  <c r="BZ74" i="47"/>
  <c r="BU6" i="48" l="1"/>
  <c r="BU14" i="48" s="1"/>
  <c r="BT6" i="47"/>
  <c r="BT14" i="47" s="1"/>
  <c r="CA73" i="47"/>
  <c r="BZ73" i="47"/>
  <c r="BY73" i="47"/>
  <c r="BZ54" i="47"/>
  <c r="BY54" i="47"/>
  <c r="CA54" i="47"/>
  <c r="BX34" i="47"/>
  <c r="CC33" i="47"/>
  <c r="BZ35" i="47"/>
  <c r="BY35" i="47"/>
  <c r="CA35" i="47"/>
  <c r="CC52" i="47"/>
  <c r="BX53" i="47"/>
  <c r="BX72" i="47"/>
  <c r="CC71" i="47"/>
  <c r="BV6" i="48" l="1"/>
  <c r="BU6" i="47"/>
  <c r="BU14" i="47" s="1"/>
  <c r="BZ34" i="47"/>
  <c r="BY34" i="47"/>
  <c r="CA34" i="47"/>
  <c r="BX52" i="47"/>
  <c r="CC51" i="47"/>
  <c r="BX71" i="47"/>
  <c r="CC70" i="47"/>
  <c r="CA53" i="47"/>
  <c r="BZ53" i="47"/>
  <c r="BY53" i="47"/>
  <c r="BX33" i="47"/>
  <c r="CC32" i="47"/>
  <c r="BY72" i="47"/>
  <c r="CA72" i="47"/>
  <c r="BZ72" i="47"/>
  <c r="BV14" i="48" l="1"/>
  <c r="G16" i="48"/>
  <c r="BV6" i="47"/>
  <c r="CA71" i="47"/>
  <c r="BZ71" i="47"/>
  <c r="BY71" i="47"/>
  <c r="BX51" i="47"/>
  <c r="CC50" i="47"/>
  <c r="CC69" i="47"/>
  <c r="BX70" i="47"/>
  <c r="BZ52" i="47"/>
  <c r="BY52" i="47"/>
  <c r="CA52" i="47"/>
  <c r="BX32" i="47"/>
  <c r="CC31" i="47"/>
  <c r="BY33" i="47"/>
  <c r="CA33" i="47"/>
  <c r="BZ33" i="47"/>
  <c r="BV14" i="47" l="1"/>
  <c r="G16" i="47"/>
  <c r="G25" i="48"/>
  <c r="I25" i="48" s="1"/>
  <c r="G19" i="48"/>
  <c r="CA70" i="47"/>
  <c r="BZ70" i="47"/>
  <c r="BY70" i="47"/>
  <c r="BX69" i="47"/>
  <c r="CC68" i="47"/>
  <c r="BX50" i="47"/>
  <c r="CC49" i="47"/>
  <c r="BX31" i="47"/>
  <c r="CC30" i="47"/>
  <c r="BY51" i="47"/>
  <c r="CA51" i="47"/>
  <c r="BZ51" i="47"/>
  <c r="CA32" i="47"/>
  <c r="BZ32" i="47"/>
  <c r="BY32" i="47"/>
  <c r="G23" i="48" l="1"/>
  <c r="G22" i="48"/>
  <c r="G25" i="47"/>
  <c r="I25" i="47" s="1"/>
  <c r="G19" i="47"/>
  <c r="BY31" i="47"/>
  <c r="CA31" i="47"/>
  <c r="BZ31" i="47"/>
  <c r="BX49" i="47"/>
  <c r="CC48" i="47"/>
  <c r="BZ50" i="47"/>
  <c r="BY50" i="47"/>
  <c r="CA50" i="47"/>
  <c r="CC67" i="47"/>
  <c r="BX68" i="47"/>
  <c r="CA69" i="47"/>
  <c r="BZ69" i="47"/>
  <c r="BY69" i="47"/>
  <c r="BX30" i="47"/>
  <c r="CC29" i="47"/>
  <c r="CB29" i="47" s="1"/>
  <c r="G22" i="47" l="1"/>
  <c r="G23" i="47"/>
  <c r="CC28" i="47"/>
  <c r="BX29" i="47"/>
  <c r="CA30" i="47"/>
  <c r="BZ30" i="47"/>
  <c r="BY30" i="47"/>
  <c r="BX48" i="47"/>
  <c r="CC47" i="47"/>
  <c r="BY49" i="47"/>
  <c r="CA49" i="47"/>
  <c r="BZ49" i="47"/>
  <c r="CA68" i="47"/>
  <c r="BZ68" i="47"/>
  <c r="BY68" i="47"/>
  <c r="BX67" i="47"/>
  <c r="CC66" i="47"/>
  <c r="CA48" i="47" l="1"/>
  <c r="BZ48" i="47"/>
  <c r="BY48" i="47"/>
  <c r="CA29" i="47"/>
  <c r="BZ29" i="47"/>
  <c r="BY29" i="47"/>
  <c r="CC65" i="47"/>
  <c r="BX66" i="47"/>
  <c r="BX47" i="47"/>
  <c r="CC46" i="47"/>
  <c r="BZ67" i="47"/>
  <c r="BY67" i="47"/>
  <c r="CA67" i="47"/>
  <c r="BX28" i="47"/>
  <c r="CC27" i="47"/>
  <c r="CA28" i="47" l="1"/>
  <c r="BZ28" i="47"/>
  <c r="BY28" i="47"/>
  <c r="CC26" i="47"/>
  <c r="BX26" i="47" s="1"/>
  <c r="BX27" i="47"/>
  <c r="CC64" i="47"/>
  <c r="BX64" i="47" s="1"/>
  <c r="BX65" i="47"/>
  <c r="BX46" i="47"/>
  <c r="CC45" i="47"/>
  <c r="BX45" i="47" s="1"/>
  <c r="CA66" i="47"/>
  <c r="BZ66" i="47"/>
  <c r="BY66" i="47"/>
  <c r="BY47" i="47"/>
  <c r="CA47" i="47"/>
  <c r="BZ47" i="47"/>
  <c r="CA46" i="47" l="1"/>
  <c r="BZ46" i="47"/>
  <c r="BY46" i="47"/>
  <c r="BZ26" i="47"/>
  <c r="BY26" i="47"/>
  <c r="CA26" i="47"/>
  <c r="BZ65" i="47"/>
  <c r="BY65" i="47"/>
  <c r="CA65" i="47"/>
  <c r="CA27" i="47"/>
  <c r="BZ27" i="47"/>
  <c r="BY27" i="47"/>
  <c r="CA64" i="47"/>
  <c r="BY64" i="47"/>
  <c r="BZ64" i="47"/>
  <c r="CA45" i="47"/>
  <c r="BZ45" i="47"/>
  <c r="BY45" i="47"/>
  <c r="BW133" i="39" l="1"/>
  <c r="CC133" i="39" s="1"/>
  <c r="BS132" i="39"/>
  <c r="BL132" i="39"/>
  <c r="BS131" i="39"/>
  <c r="BL131" i="39"/>
  <c r="BT130" i="39"/>
  <c r="BS130" i="39"/>
  <c r="BO130" i="39"/>
  <c r="BL130" i="39"/>
  <c r="BS129" i="39"/>
  <c r="BL129" i="39"/>
  <c r="BS128" i="39"/>
  <c r="BL128" i="39"/>
  <c r="BT127" i="39"/>
  <c r="BS127" i="39"/>
  <c r="BO127" i="39"/>
  <c r="BL127" i="39"/>
  <c r="BS126" i="39"/>
  <c r="BL126" i="39"/>
  <c r="BS125" i="39"/>
  <c r="BL125" i="39"/>
  <c r="BT124" i="39"/>
  <c r="BS124" i="39"/>
  <c r="BO124" i="39"/>
  <c r="BL124" i="39"/>
  <c r="BS123" i="39"/>
  <c r="BL123" i="39"/>
  <c r="BS122" i="39"/>
  <c r="BL122" i="39"/>
  <c r="BT121" i="39"/>
  <c r="BS121" i="39"/>
  <c r="BO121" i="39"/>
  <c r="BL121" i="39"/>
  <c r="BW114" i="39"/>
  <c r="CC114" i="39" s="1"/>
  <c r="BS113" i="39"/>
  <c r="BL113" i="39"/>
  <c r="BS112" i="39"/>
  <c r="BL112" i="39"/>
  <c r="BT111" i="39"/>
  <c r="BS111" i="39"/>
  <c r="BO111" i="39"/>
  <c r="BL111" i="39"/>
  <c r="BS110" i="39"/>
  <c r="BL110" i="39"/>
  <c r="BS109" i="39"/>
  <c r="BL109" i="39"/>
  <c r="BT108" i="39"/>
  <c r="BS108" i="39"/>
  <c r="BO108" i="39"/>
  <c r="BL108" i="39"/>
  <c r="BS107" i="39"/>
  <c r="BL107" i="39"/>
  <c r="BS106" i="39"/>
  <c r="BL106" i="39"/>
  <c r="BT105" i="39"/>
  <c r="BS105" i="39"/>
  <c r="BO105" i="39"/>
  <c r="BL105" i="39"/>
  <c r="BS104" i="39"/>
  <c r="BL104" i="39"/>
  <c r="BS103" i="39"/>
  <c r="BL103" i="39"/>
  <c r="BT102" i="39"/>
  <c r="BS102" i="39"/>
  <c r="BO102" i="39"/>
  <c r="BL102" i="39"/>
  <c r="BW95" i="39"/>
  <c r="CC95" i="39" s="1"/>
  <c r="CC94" i="39" s="1"/>
  <c r="BN94" i="39"/>
  <c r="BN93" i="39"/>
  <c r="BT92" i="39"/>
  <c r="BO92" i="39"/>
  <c r="BN92" i="39"/>
  <c r="BN91" i="39"/>
  <c r="BN90" i="39"/>
  <c r="BT89" i="39"/>
  <c r="BO89" i="39"/>
  <c r="BN89" i="39"/>
  <c r="BN88" i="39"/>
  <c r="BS87" i="39"/>
  <c r="BN87" i="39"/>
  <c r="BT86" i="39"/>
  <c r="BS86" i="39"/>
  <c r="BO86" i="39"/>
  <c r="BN86" i="39"/>
  <c r="BS85" i="39"/>
  <c r="BN85" i="39"/>
  <c r="BS84" i="39"/>
  <c r="BN84" i="39"/>
  <c r="BT83" i="39"/>
  <c r="BS83" i="39"/>
  <c r="BO83" i="39"/>
  <c r="BN83" i="39"/>
  <c r="BW76" i="39"/>
  <c r="CC76" i="39" s="1"/>
  <c r="CC75" i="39" s="1"/>
  <c r="BN75" i="39"/>
  <c r="BN74" i="39"/>
  <c r="BT73" i="39"/>
  <c r="BO73" i="39"/>
  <c r="BN73" i="39"/>
  <c r="BN72" i="39"/>
  <c r="BN71" i="39"/>
  <c r="BT70" i="39"/>
  <c r="BO70" i="39"/>
  <c r="BN70" i="39"/>
  <c r="BN69" i="39"/>
  <c r="BS68" i="39"/>
  <c r="BN68" i="39"/>
  <c r="BT67" i="39"/>
  <c r="BS67" i="39"/>
  <c r="BO67" i="39"/>
  <c r="BN67" i="39"/>
  <c r="BS66" i="39"/>
  <c r="BN66" i="39"/>
  <c r="BS65" i="39"/>
  <c r="BN65" i="39"/>
  <c r="BT64" i="39"/>
  <c r="BS64" i="39"/>
  <c r="BO64" i="39"/>
  <c r="BN64" i="39"/>
  <c r="BW57" i="39"/>
  <c r="CC57" i="39" s="1"/>
  <c r="CC56" i="39" s="1"/>
  <c r="BN56" i="39"/>
  <c r="BN55" i="39"/>
  <c r="BT54" i="39"/>
  <c r="BO54" i="39"/>
  <c r="BN54" i="39"/>
  <c r="BN53" i="39"/>
  <c r="BN52" i="39"/>
  <c r="BT51" i="39"/>
  <c r="BO51" i="39"/>
  <c r="BN51" i="39"/>
  <c r="BN50" i="39"/>
  <c r="BS49" i="39"/>
  <c r="BN49" i="39"/>
  <c r="BT48" i="39"/>
  <c r="BS48" i="39"/>
  <c r="BO48" i="39"/>
  <c r="BN48" i="39"/>
  <c r="BS47" i="39"/>
  <c r="BN47" i="39"/>
  <c r="BS46" i="39"/>
  <c r="BN46" i="39"/>
  <c r="BT45" i="39"/>
  <c r="BS45" i="39"/>
  <c r="BO45" i="39"/>
  <c r="BN45" i="39"/>
  <c r="BW38" i="39"/>
  <c r="BN37" i="39"/>
  <c r="BN36" i="39"/>
  <c r="BT35" i="39"/>
  <c r="BO35" i="39"/>
  <c r="BN35" i="39"/>
  <c r="BN34" i="39"/>
  <c r="BN33" i="39"/>
  <c r="BT32" i="39"/>
  <c r="BO32" i="39"/>
  <c r="BN32" i="39"/>
  <c r="BN31" i="39"/>
  <c r="BS30" i="39"/>
  <c r="BN30" i="39"/>
  <c r="BT29" i="39"/>
  <c r="BS29" i="39"/>
  <c r="BO29" i="39"/>
  <c r="BN29" i="39"/>
  <c r="BS28" i="39"/>
  <c r="BN28" i="39"/>
  <c r="BS27" i="39"/>
  <c r="BN27" i="39"/>
  <c r="BT26" i="39"/>
  <c r="BS26" i="39"/>
  <c r="BO26" i="39"/>
  <c r="BN26" i="39"/>
  <c r="AA17" i="39"/>
  <c r="BJ14" i="39"/>
  <c r="BK6" i="39" s="1"/>
  <c r="BK14" i="39" s="1"/>
  <c r="BL6" i="39" s="1"/>
  <c r="BL14" i="39" s="1"/>
  <c r="BM6" i="39" s="1"/>
  <c r="BM14" i="39" s="1"/>
  <c r="BN6" i="39" s="1"/>
  <c r="BN14" i="39" s="1"/>
  <c r="BO6" i="39" s="1"/>
  <c r="BO14" i="39" s="1"/>
  <c r="BP6" i="39" s="1"/>
  <c r="BP14" i="39" s="1"/>
  <c r="BE5" i="39"/>
  <c r="B5" i="39"/>
  <c r="BW57" i="9"/>
  <c r="CC57" i="9" s="1"/>
  <c r="BQ56" i="9"/>
  <c r="BQ55" i="9"/>
  <c r="BL55" i="9"/>
  <c r="BQ54" i="9"/>
  <c r="BL54" i="9"/>
  <c r="BQ53" i="9"/>
  <c r="BL53" i="9"/>
  <c r="BQ52" i="9"/>
  <c r="BL52" i="9"/>
  <c r="BQ51" i="9"/>
  <c r="BL51" i="9"/>
  <c r="BQ50" i="9"/>
  <c r="BL50" i="9"/>
  <c r="BQ49" i="9"/>
  <c r="BL49" i="9"/>
  <c r="BQ48" i="9"/>
  <c r="BL48" i="9"/>
  <c r="BQ47" i="9"/>
  <c r="BL47" i="9"/>
  <c r="BQ46" i="9"/>
  <c r="BL46" i="9"/>
  <c r="BQ45" i="9"/>
  <c r="BL45" i="9"/>
  <c r="BW38" i="9"/>
  <c r="CC38" i="9" s="1"/>
  <c r="BX38" i="9" s="1"/>
  <c r="BQ37" i="9"/>
  <c r="BQ36" i="9"/>
  <c r="BL36" i="9"/>
  <c r="BQ35" i="9"/>
  <c r="BL35" i="9"/>
  <c r="BQ34" i="9"/>
  <c r="BL34" i="9"/>
  <c r="BQ33" i="9"/>
  <c r="BL33" i="9"/>
  <c r="BQ32" i="9"/>
  <c r="BL32" i="9"/>
  <c r="BQ31" i="9"/>
  <c r="BL31" i="9"/>
  <c r="BQ30" i="9"/>
  <c r="BL30" i="9"/>
  <c r="BQ29" i="9"/>
  <c r="BL29" i="9"/>
  <c r="BQ28" i="9"/>
  <c r="BL28" i="9"/>
  <c r="BQ27" i="9"/>
  <c r="BL27" i="9"/>
  <c r="BQ26" i="9"/>
  <c r="BL26" i="9"/>
  <c r="AA17" i="9"/>
  <c r="BJ14" i="9"/>
  <c r="BK14" i="9" s="1"/>
  <c r="BL6" i="9" s="1"/>
  <c r="BL14" i="9" s="1"/>
  <c r="BM6" i="9" s="1"/>
  <c r="BM14" i="9" s="1"/>
  <c r="BN6" i="9" s="1"/>
  <c r="BN14" i="9" s="1"/>
  <c r="BO6" i="9" s="1"/>
  <c r="BO14" i="9" s="1"/>
  <c r="BP6" i="9" s="1"/>
  <c r="BP14" i="9" s="1"/>
  <c r="BQ6" i="9" s="1"/>
  <c r="BQ14" i="9" s="1"/>
  <c r="BR6" i="9" s="1"/>
  <c r="BR14" i="9" s="1"/>
  <c r="BS6" i="9" s="1"/>
  <c r="BS14" i="9" s="1"/>
  <c r="BT6" i="9" s="1"/>
  <c r="BT14" i="9" s="1"/>
  <c r="BU6" i="9" s="1"/>
  <c r="BU14" i="9" s="1"/>
  <c r="BV6" i="9" s="1"/>
  <c r="BV14" i="9" s="1"/>
  <c r="BE5" i="9"/>
  <c r="BW38" i="12"/>
  <c r="CC38" i="12" s="1"/>
  <c r="CC37" i="12" s="1"/>
  <c r="BX37" i="12" s="1"/>
  <c r="AA17" i="12"/>
  <c r="BJ14" i="12"/>
  <c r="BK6" i="12" s="1"/>
  <c r="BK14" i="12" s="1"/>
  <c r="BE5" i="12"/>
  <c r="G26" i="12" s="1" a="1"/>
  <c r="G26" i="12" s="1"/>
  <c r="I26" i="12" s="1"/>
  <c r="B5" i="12"/>
  <c r="BW95" i="11"/>
  <c r="CC95" i="11" s="1"/>
  <c r="CC94" i="11" s="1"/>
  <c r="BQ94" i="11"/>
  <c r="BT92" i="11" s="1"/>
  <c r="BL94" i="11"/>
  <c r="BQ93" i="11"/>
  <c r="BL93" i="11"/>
  <c r="BQ92" i="11"/>
  <c r="BL92" i="11"/>
  <c r="BQ91" i="11"/>
  <c r="BL91" i="11"/>
  <c r="BL90" i="11"/>
  <c r="BQ89" i="11"/>
  <c r="BT89" i="11" s="1"/>
  <c r="BL89" i="11"/>
  <c r="BQ88" i="11"/>
  <c r="BL88" i="11"/>
  <c r="BQ87" i="11"/>
  <c r="BL87" i="11"/>
  <c r="BT86" i="11"/>
  <c r="BQ86" i="11"/>
  <c r="BL86" i="11"/>
  <c r="BQ85" i="11"/>
  <c r="BL85" i="11"/>
  <c r="BQ84" i="11"/>
  <c r="BL84" i="11"/>
  <c r="BQ83" i="11"/>
  <c r="BL83" i="11"/>
  <c r="BO83" i="11" s="1"/>
  <c r="BW76" i="11"/>
  <c r="CC76" i="11" s="1"/>
  <c r="CC75" i="11" s="1"/>
  <c r="BX75" i="11" s="1"/>
  <c r="BZ75" i="11" s="1"/>
  <c r="BQ75" i="11"/>
  <c r="BQ74" i="11"/>
  <c r="BQ73" i="11"/>
  <c r="BO73" i="11"/>
  <c r="BQ72" i="11"/>
  <c r="BQ71" i="11"/>
  <c r="BQ70" i="11"/>
  <c r="BT70" i="11" s="1"/>
  <c r="BO70" i="11"/>
  <c r="BQ69" i="11"/>
  <c r="BQ68" i="11"/>
  <c r="BQ67" i="11"/>
  <c r="BT67" i="11" s="1"/>
  <c r="BO67" i="11"/>
  <c r="BQ66" i="11"/>
  <c r="BQ65" i="11"/>
  <c r="BQ64" i="11"/>
  <c r="BO64" i="11"/>
  <c r="BW57" i="11"/>
  <c r="CC57" i="11" s="1"/>
  <c r="BQ56" i="11"/>
  <c r="BL56" i="11"/>
  <c r="BQ55" i="11"/>
  <c r="BL55" i="11"/>
  <c r="BT54" i="11"/>
  <c r="BQ54" i="11"/>
  <c r="BL54" i="11"/>
  <c r="BQ53" i="11"/>
  <c r="BL53" i="11"/>
  <c r="BQ52" i="11"/>
  <c r="BL52" i="11"/>
  <c r="BT51" i="11"/>
  <c r="BQ51" i="11"/>
  <c r="BL51" i="11"/>
  <c r="BQ50" i="11"/>
  <c r="BL50" i="11"/>
  <c r="BQ49" i="11"/>
  <c r="BL49" i="11"/>
  <c r="BT48" i="11"/>
  <c r="BQ48" i="11"/>
  <c r="BL48" i="11"/>
  <c r="BQ47" i="11"/>
  <c r="BL47" i="11"/>
  <c r="BQ46" i="11"/>
  <c r="BL46" i="11"/>
  <c r="BQ45" i="11"/>
  <c r="BL45" i="11"/>
  <c r="BW38" i="11"/>
  <c r="CC38" i="11" s="1"/>
  <c r="BX38" i="11" s="1"/>
  <c r="BZ38" i="11" s="1"/>
  <c r="BQ37" i="11"/>
  <c r="BQ36" i="11"/>
  <c r="BQ35" i="11"/>
  <c r="BT35" i="11" s="1"/>
  <c r="BO35" i="11"/>
  <c r="BQ34" i="11"/>
  <c r="BQ33" i="11"/>
  <c r="BQ32" i="11"/>
  <c r="BT32" i="11" s="1"/>
  <c r="BO32" i="11"/>
  <c r="BQ31" i="11"/>
  <c r="BQ30" i="11"/>
  <c r="BQ29" i="11"/>
  <c r="BO29" i="11"/>
  <c r="BQ28" i="11"/>
  <c r="BQ27" i="11"/>
  <c r="BQ26" i="11"/>
  <c r="BO26" i="11"/>
  <c r="AA23" i="11"/>
  <c r="AA20" i="11"/>
  <c r="AA17" i="11"/>
  <c r="BJ14" i="11"/>
  <c r="BK6" i="11" s="1"/>
  <c r="BK14" i="11" s="1"/>
  <c r="BL6" i="11" s="1"/>
  <c r="BL14" i="11" s="1"/>
  <c r="BM6" i="11" s="1"/>
  <c r="BM14" i="11" s="1"/>
  <c r="BN6" i="11" s="1"/>
  <c r="BN14" i="11" s="1"/>
  <c r="BO6" i="11" s="1"/>
  <c r="BO14" i="11" s="1"/>
  <c r="BP6" i="11" s="1"/>
  <c r="BP14" i="11" s="1"/>
  <c r="BQ6" i="11" s="1"/>
  <c r="BQ14" i="11" s="1"/>
  <c r="BR6" i="11" s="1"/>
  <c r="BR14" i="11" s="1"/>
  <c r="BS6" i="11" s="1"/>
  <c r="BS14" i="11" s="1"/>
  <c r="BT6" i="11" s="1"/>
  <c r="BT14" i="11" s="1"/>
  <c r="BU6" i="11" s="1"/>
  <c r="BU14" i="11" s="1"/>
  <c r="BV6" i="11" s="1"/>
  <c r="BV14" i="11" s="1"/>
  <c r="BE5" i="11"/>
  <c r="G26" i="11" s="1" a="1"/>
  <c r="G26" i="11" s="1"/>
  <c r="B5" i="11"/>
  <c r="BW76" i="10"/>
  <c r="CC76" i="10" s="1"/>
  <c r="BQ75" i="10"/>
  <c r="BL75" i="10"/>
  <c r="BQ74" i="10"/>
  <c r="BL74" i="10"/>
  <c r="BT73" i="10"/>
  <c r="BQ73" i="10"/>
  <c r="BL73" i="10"/>
  <c r="BQ72" i="10"/>
  <c r="BL72" i="10"/>
  <c r="BQ71" i="10"/>
  <c r="BL71" i="10"/>
  <c r="BQ70" i="10"/>
  <c r="BT70" i="10" s="1"/>
  <c r="BL70" i="10"/>
  <c r="BQ69" i="10"/>
  <c r="BL69" i="10"/>
  <c r="BQ68" i="10"/>
  <c r="BL68" i="10"/>
  <c r="BQ67" i="10"/>
  <c r="BL67" i="10"/>
  <c r="BQ66" i="10"/>
  <c r="BL66" i="10"/>
  <c r="BQ65" i="10"/>
  <c r="BL65" i="10"/>
  <c r="BQ64" i="10"/>
  <c r="BL64" i="10"/>
  <c r="BW57" i="10"/>
  <c r="CC57" i="10" s="1"/>
  <c r="BS56" i="10"/>
  <c r="BN56" i="10"/>
  <c r="BS55" i="10"/>
  <c r="BN55" i="10"/>
  <c r="BT54" i="10"/>
  <c r="BS54" i="10"/>
  <c r="BO54" i="10"/>
  <c r="BN54" i="10"/>
  <c r="BS53" i="10"/>
  <c r="BN53" i="10"/>
  <c r="BS52" i="10"/>
  <c r="BN52" i="10"/>
  <c r="BT51" i="10"/>
  <c r="BS51" i="10"/>
  <c r="BO51" i="10"/>
  <c r="BN51" i="10"/>
  <c r="BS50" i="10"/>
  <c r="BN50" i="10"/>
  <c r="BS49" i="10"/>
  <c r="BN49" i="10"/>
  <c r="BT48" i="10"/>
  <c r="BS48" i="10"/>
  <c r="BO48" i="10"/>
  <c r="BN48" i="10"/>
  <c r="BS47" i="10"/>
  <c r="BN47" i="10"/>
  <c r="BS46" i="10"/>
  <c r="BN46" i="10"/>
  <c r="BT45" i="10"/>
  <c r="BS45" i="10"/>
  <c r="BO45" i="10"/>
  <c r="BN45" i="10"/>
  <c r="BW38" i="10"/>
  <c r="CC38" i="10" s="1"/>
  <c r="BS37" i="10"/>
  <c r="BN37" i="10"/>
  <c r="BS36" i="10"/>
  <c r="BN36" i="10"/>
  <c r="BT35" i="10"/>
  <c r="BS35" i="10"/>
  <c r="BO35" i="10"/>
  <c r="BN35" i="10"/>
  <c r="BS34" i="10"/>
  <c r="BN34" i="10"/>
  <c r="BS33" i="10"/>
  <c r="BN33" i="10"/>
  <c r="BT32" i="10"/>
  <c r="BS32" i="10"/>
  <c r="BO32" i="10"/>
  <c r="BN32" i="10"/>
  <c r="BS31" i="10"/>
  <c r="BN31" i="10"/>
  <c r="BS30" i="10"/>
  <c r="BN30" i="10"/>
  <c r="BT29" i="10"/>
  <c r="BS29" i="10"/>
  <c r="BO29" i="10"/>
  <c r="BN29" i="10"/>
  <c r="BS28" i="10"/>
  <c r="BN28" i="10"/>
  <c r="BS27" i="10"/>
  <c r="BN27" i="10"/>
  <c r="BT26" i="10"/>
  <c r="BS26" i="10"/>
  <c r="BO26" i="10"/>
  <c r="BN26" i="10"/>
  <c r="AA17" i="10"/>
  <c r="BJ14" i="10"/>
  <c r="BK6" i="10" s="1"/>
  <c r="BK14" i="10" s="1"/>
  <c r="BL6" i="10" s="1"/>
  <c r="BL14" i="10" s="1"/>
  <c r="BM6" i="10" s="1"/>
  <c r="BM14" i="10" s="1"/>
  <c r="BN6" i="10" s="1"/>
  <c r="BN14" i="10" s="1"/>
  <c r="BO6" i="10" s="1"/>
  <c r="BO14" i="10" s="1"/>
  <c r="BP6" i="10" s="1"/>
  <c r="BP14" i="10" s="1"/>
  <c r="BQ6" i="10" s="1"/>
  <c r="BQ14" i="10" s="1"/>
  <c r="BR6" i="10" s="1"/>
  <c r="BR14" i="10" s="1"/>
  <c r="BS6" i="10" s="1"/>
  <c r="BS14" i="10" s="1"/>
  <c r="BT6" i="10" s="1"/>
  <c r="BT14" i="10" s="1"/>
  <c r="BU6" i="10" s="1"/>
  <c r="BU14" i="10" s="1"/>
  <c r="BV6" i="10" s="1"/>
  <c r="BV14" i="10" s="1"/>
  <c r="BE5" i="10"/>
  <c r="B5" i="10"/>
  <c r="AA20" i="29"/>
  <c r="AA17" i="29"/>
  <c r="BK14" i="29"/>
  <c r="BL6" i="29" s="1"/>
  <c r="BE5" i="29"/>
  <c r="G18" i="29" s="1"/>
  <c r="B5" i="29"/>
  <c r="BW95" i="44"/>
  <c r="CC95" i="44" s="1"/>
  <c r="CC94" i="44" s="1"/>
  <c r="BS94" i="44"/>
  <c r="BN94" i="44"/>
  <c r="BS93" i="44"/>
  <c r="BN93" i="44"/>
  <c r="BT92" i="44"/>
  <c r="BS92" i="44"/>
  <c r="BO92" i="44"/>
  <c r="BN92" i="44"/>
  <c r="BS91" i="44"/>
  <c r="BN91" i="44"/>
  <c r="BS90" i="44"/>
  <c r="BN90" i="44"/>
  <c r="BT89" i="44"/>
  <c r="BS89" i="44"/>
  <c r="BO89" i="44"/>
  <c r="BN89" i="44"/>
  <c r="BS88" i="44"/>
  <c r="BN88" i="44"/>
  <c r="BS87" i="44"/>
  <c r="BN87" i="44"/>
  <c r="BT86" i="44"/>
  <c r="BS86" i="44"/>
  <c r="BO86" i="44"/>
  <c r="BN86" i="44"/>
  <c r="BS85" i="44"/>
  <c r="BN85" i="44"/>
  <c r="BS84" i="44"/>
  <c r="BN84" i="44"/>
  <c r="BT83" i="44"/>
  <c r="BS83" i="44"/>
  <c r="BO83" i="44"/>
  <c r="BN83" i="44"/>
  <c r="BW76" i="44"/>
  <c r="CC76" i="44" s="1"/>
  <c r="BS75" i="44"/>
  <c r="BN75" i="44"/>
  <c r="BS74" i="44"/>
  <c r="BN74" i="44"/>
  <c r="BT73" i="44"/>
  <c r="BS73" i="44"/>
  <c r="BO73" i="44"/>
  <c r="BN73" i="44"/>
  <c r="BS72" i="44"/>
  <c r="BN72" i="44"/>
  <c r="BS71" i="44"/>
  <c r="BN71" i="44"/>
  <c r="BT70" i="44"/>
  <c r="BS70" i="44"/>
  <c r="BO70" i="44"/>
  <c r="BN70" i="44"/>
  <c r="BS69" i="44"/>
  <c r="BN69" i="44"/>
  <c r="BS68" i="44"/>
  <c r="BN68" i="44"/>
  <c r="BT67" i="44"/>
  <c r="BS67" i="44"/>
  <c r="BO67" i="44"/>
  <c r="BN67" i="44"/>
  <c r="BS66" i="44"/>
  <c r="BN66" i="44"/>
  <c r="BS65" i="44"/>
  <c r="BN65" i="44"/>
  <c r="BT64" i="44"/>
  <c r="BS64" i="44"/>
  <c r="BO64" i="44"/>
  <c r="BN64" i="44"/>
  <c r="BW57" i="44"/>
  <c r="CC57" i="44" s="1"/>
  <c r="CC56" i="44" s="1"/>
  <c r="CC55" i="44" s="1"/>
  <c r="BQ56" i="44"/>
  <c r="BQ55" i="44"/>
  <c r="BL55" i="44"/>
  <c r="BQ54" i="44"/>
  <c r="BL54" i="44"/>
  <c r="BQ53" i="44"/>
  <c r="BL53" i="44"/>
  <c r="BQ52" i="44"/>
  <c r="BL52" i="44"/>
  <c r="BQ51" i="44"/>
  <c r="BQ50" i="44"/>
  <c r="BQ49" i="44"/>
  <c r="BQ48" i="44"/>
  <c r="BO48" i="44"/>
  <c r="BQ47" i="44"/>
  <c r="BQ46" i="44"/>
  <c r="BQ45" i="44"/>
  <c r="BO45" i="44"/>
  <c r="BW38" i="44"/>
  <c r="CC38" i="44" s="1"/>
  <c r="BS37" i="44"/>
  <c r="BN37" i="44"/>
  <c r="BS36" i="44"/>
  <c r="BN36" i="44"/>
  <c r="BT35" i="44"/>
  <c r="BS35" i="44"/>
  <c r="BO35" i="44"/>
  <c r="BN35" i="44"/>
  <c r="BS34" i="44"/>
  <c r="BN34" i="44"/>
  <c r="BS33" i="44"/>
  <c r="BN33" i="44"/>
  <c r="BT32" i="44"/>
  <c r="BS32" i="44"/>
  <c r="BO32" i="44"/>
  <c r="BN32" i="44"/>
  <c r="BS31" i="44"/>
  <c r="BN31" i="44"/>
  <c r="BS30" i="44"/>
  <c r="BN30" i="44"/>
  <c r="BT29" i="44"/>
  <c r="BS29" i="44"/>
  <c r="BO29" i="44"/>
  <c r="BN29" i="44"/>
  <c r="BS28" i="44"/>
  <c r="BN28" i="44"/>
  <c r="BS27" i="44"/>
  <c r="BN27" i="44"/>
  <c r="BT26" i="44"/>
  <c r="BS26" i="44"/>
  <c r="BO26" i="44"/>
  <c r="BN26" i="44"/>
  <c r="AA17" i="44"/>
  <c r="BK6" i="44"/>
  <c r="BK14" i="44" s="1"/>
  <c r="BL6" i="44" s="1"/>
  <c r="BL14" i="44" s="1"/>
  <c r="BM6" i="44" s="1"/>
  <c r="BM14" i="44" s="1"/>
  <c r="BN6" i="44" s="1"/>
  <c r="BN14" i="44" s="1"/>
  <c r="BO6" i="44" s="1"/>
  <c r="BO14" i="44" s="1"/>
  <c r="BP6" i="44" s="1"/>
  <c r="BP14" i="44" s="1"/>
  <c r="BQ6" i="44" s="1"/>
  <c r="BQ14" i="44" s="1"/>
  <c r="BR6" i="44" s="1"/>
  <c r="BR14" i="44" s="1"/>
  <c r="BS6" i="44" s="1"/>
  <c r="BS14" i="44" s="1"/>
  <c r="BT6" i="44" s="1"/>
  <c r="BT14" i="44" s="1"/>
  <c r="BU6" i="44" s="1"/>
  <c r="BU14" i="44" s="1"/>
  <c r="BV6" i="44" s="1"/>
  <c r="BV14" i="44" s="1"/>
  <c r="BE5" i="44"/>
  <c r="B5" i="44"/>
  <c r="BW211" i="16"/>
  <c r="CC211" i="16" s="1"/>
  <c r="BX211" i="16" s="1"/>
  <c r="BY211" i="16" s="1"/>
  <c r="BO208" i="16"/>
  <c r="BO205" i="16"/>
  <c r="BO202" i="16"/>
  <c r="BW192" i="16"/>
  <c r="CC192" i="16" s="1"/>
  <c r="CC191" i="16" s="1"/>
  <c r="BT189" i="16"/>
  <c r="BO189" i="16"/>
  <c r="BT186" i="16"/>
  <c r="BO186" i="16"/>
  <c r="BT183" i="16"/>
  <c r="BO183" i="16"/>
  <c r="BW173" i="16"/>
  <c r="CC173" i="16" s="1"/>
  <c r="BW134" i="16"/>
  <c r="CC134" i="16" s="1"/>
  <c r="CC133" i="16" s="1"/>
  <c r="CC132" i="16" s="1"/>
  <c r="BT131" i="16"/>
  <c r="BO131" i="16"/>
  <c r="BT128" i="16"/>
  <c r="BO128" i="16"/>
  <c r="BT125" i="16"/>
  <c r="BO125" i="16"/>
  <c r="BT122" i="16"/>
  <c r="BO122" i="16"/>
  <c r="BL6" i="16"/>
  <c r="BL14" i="16" s="1"/>
  <c r="BM6" i="16" s="1"/>
  <c r="BE5" i="16"/>
  <c r="K17" i="16" s="1"/>
  <c r="R18" i="27" s="1"/>
  <c r="J17" i="35" s="1"/>
  <c r="B5" i="16"/>
  <c r="BW95" i="15"/>
  <c r="CC95" i="15" s="1"/>
  <c r="BX95" i="15" s="1"/>
  <c r="BY95" i="15" s="1"/>
  <c r="BS94" i="15"/>
  <c r="BS93" i="15"/>
  <c r="BT92" i="15"/>
  <c r="BS92" i="15"/>
  <c r="BO92" i="15"/>
  <c r="BS91" i="15"/>
  <c r="BS90" i="15"/>
  <c r="BT89" i="15"/>
  <c r="BS89" i="15"/>
  <c r="BO89" i="15"/>
  <c r="BS88" i="15"/>
  <c r="BS87" i="15"/>
  <c r="BT86" i="15"/>
  <c r="BS86" i="15"/>
  <c r="BO86" i="15"/>
  <c r="BS85" i="15"/>
  <c r="BS84" i="15"/>
  <c r="BT83" i="15"/>
  <c r="BS83" i="15"/>
  <c r="BO83" i="15"/>
  <c r="BW76" i="15"/>
  <c r="CC76" i="15" s="1"/>
  <c r="BO73" i="15"/>
  <c r="BO70" i="15"/>
  <c r="BO67" i="15"/>
  <c r="BW57" i="15"/>
  <c r="CC57" i="15" s="1"/>
  <c r="BO54" i="15"/>
  <c r="BO51" i="15"/>
  <c r="BO48" i="15"/>
  <c r="BO45" i="15"/>
  <c r="BW38" i="15"/>
  <c r="CC38" i="15" s="1"/>
  <c r="BT35" i="15"/>
  <c r="BO35" i="15"/>
  <c r="BO32" i="15"/>
  <c r="BO29" i="15"/>
  <c r="BO26" i="15"/>
  <c r="BE5" i="15"/>
  <c r="BW134" i="5"/>
  <c r="CC134" i="5" s="1"/>
  <c r="CC133" i="5" s="1"/>
  <c r="CC132" i="5" s="1"/>
  <c r="CC131" i="5" s="1"/>
  <c r="BT131" i="5"/>
  <c r="BO131" i="5"/>
  <c r="BT128" i="5"/>
  <c r="BO128" i="5"/>
  <c r="BT125" i="5"/>
  <c r="BO125" i="5"/>
  <c r="BT122" i="5"/>
  <c r="BO122" i="5"/>
  <c r="CC114" i="5"/>
  <c r="CK114" i="5" s="1"/>
  <c r="BR111" i="5"/>
  <c r="BR108" i="5"/>
  <c r="BR105" i="5"/>
  <c r="BR102" i="5"/>
  <c r="BW95" i="5"/>
  <c r="CC95" i="5" s="1"/>
  <c r="BT92" i="5"/>
  <c r="BO92" i="5"/>
  <c r="BT89" i="5"/>
  <c r="BO89" i="5"/>
  <c r="BT86" i="5"/>
  <c r="BO86" i="5"/>
  <c r="BT83" i="5"/>
  <c r="BO83" i="5"/>
  <c r="BW76" i="5"/>
  <c r="CC76" i="5" s="1"/>
  <c r="BT70" i="5"/>
  <c r="BT67" i="5"/>
  <c r="BW57" i="5"/>
  <c r="CC57" i="5" s="1"/>
  <c r="BT54" i="5"/>
  <c r="BO54" i="5"/>
  <c r="BT51" i="5"/>
  <c r="BO51" i="5"/>
  <c r="BO48" i="5"/>
  <c r="BO45" i="5"/>
  <c r="CC38" i="5"/>
  <c r="CK38" i="5" s="1"/>
  <c r="AA17" i="5"/>
  <c r="BK6" i="5"/>
  <c r="BK14" i="5" s="1"/>
  <c r="BL6" i="5" s="1"/>
  <c r="BL14" i="5" s="1"/>
  <c r="BM6" i="5" s="1"/>
  <c r="BM14" i="5" s="1"/>
  <c r="BN6" i="5" s="1"/>
  <c r="BN14" i="5" s="1"/>
  <c r="BO6" i="5" s="1"/>
  <c r="BO14" i="5" s="1"/>
  <c r="BP6" i="5" s="1"/>
  <c r="BP14" i="5" s="1"/>
  <c r="BQ6" i="5" s="1"/>
  <c r="BQ14" i="5" s="1"/>
  <c r="BR6" i="5" s="1"/>
  <c r="BR14" i="5" s="1"/>
  <c r="BS6" i="5" s="1"/>
  <c r="BS14" i="5" s="1"/>
  <c r="BT6" i="5" s="1"/>
  <c r="BT14" i="5" s="1"/>
  <c r="BU6" i="5" s="1"/>
  <c r="BU14" i="5" s="1"/>
  <c r="BV6" i="5" s="1"/>
  <c r="BV14" i="5" s="1"/>
  <c r="BE5" i="5"/>
  <c r="G16" i="5" s="1"/>
  <c r="BW76" i="14"/>
  <c r="CC76" i="14" s="1"/>
  <c r="BX76" i="14" s="1"/>
  <c r="BT73" i="14"/>
  <c r="BO73" i="14"/>
  <c r="BT70" i="14"/>
  <c r="BO70" i="14"/>
  <c r="BT67" i="14"/>
  <c r="BO67" i="14"/>
  <c r="BT64" i="14"/>
  <c r="BO64" i="14"/>
  <c r="BW57" i="14"/>
  <c r="CC57" i="14" s="1"/>
  <c r="BT54" i="14"/>
  <c r="BO54" i="14"/>
  <c r="BT51" i="14"/>
  <c r="BO51" i="14"/>
  <c r="BT48" i="14"/>
  <c r="BO48" i="14"/>
  <c r="BT45" i="14"/>
  <c r="BO45" i="14"/>
  <c r="BW38" i="14"/>
  <c r="CC38" i="14" s="1"/>
  <c r="CC37" i="14" s="1"/>
  <c r="BT35" i="14"/>
  <c r="BT32" i="14"/>
  <c r="BO32" i="14"/>
  <c r="BT29" i="14"/>
  <c r="BO29" i="14"/>
  <c r="BT26" i="14"/>
  <c r="BO26" i="14"/>
  <c r="AA17" i="14"/>
  <c r="BK6" i="14"/>
  <c r="BK14" i="14" s="1"/>
  <c r="BL6" i="14" s="1"/>
  <c r="BL14" i="14" s="1"/>
  <c r="BM6" i="14" s="1"/>
  <c r="BM14" i="14" s="1"/>
  <c r="BN6" i="14" s="1"/>
  <c r="BN14" i="14" s="1"/>
  <c r="BO6" i="14" s="1"/>
  <c r="BO14" i="14" s="1"/>
  <c r="BP6" i="14" s="1"/>
  <c r="BP14" i="14" s="1"/>
  <c r="BQ6" i="14" s="1"/>
  <c r="BQ14" i="14" s="1"/>
  <c r="BR6" i="14" s="1"/>
  <c r="BR14" i="14" s="1"/>
  <c r="BS6" i="14" s="1"/>
  <c r="BS14" i="14" s="1"/>
  <c r="BT6" i="14" s="1"/>
  <c r="BT14" i="14" s="1"/>
  <c r="BU6" i="14" s="1"/>
  <c r="BU14" i="14" s="1"/>
  <c r="BV6" i="14" s="1"/>
  <c r="BV14" i="14" s="1"/>
  <c r="BE5" i="14"/>
  <c r="B5" i="14"/>
  <c r="BW77" i="8"/>
  <c r="CC77" i="8" s="1"/>
  <c r="BT74" i="8"/>
  <c r="BO74" i="8"/>
  <c r="BT71" i="8"/>
  <c r="BO71" i="8"/>
  <c r="BT68" i="8"/>
  <c r="BO68" i="8"/>
  <c r="BT65" i="8"/>
  <c r="BO65" i="8"/>
  <c r="BW58" i="8"/>
  <c r="CC58" i="8" s="1"/>
  <c r="BT55" i="8"/>
  <c r="BO55" i="8"/>
  <c r="BT52" i="8"/>
  <c r="BO52" i="8"/>
  <c r="BT49" i="8"/>
  <c r="BO49" i="8"/>
  <c r="BT46" i="8"/>
  <c r="BO46" i="8"/>
  <c r="BW38" i="8"/>
  <c r="CC38" i="8" s="1"/>
  <c r="BT35" i="8"/>
  <c r="BO35" i="8"/>
  <c r="BT32" i="8"/>
  <c r="BO32" i="8"/>
  <c r="BT29" i="8"/>
  <c r="BO29" i="8"/>
  <c r="BT26" i="8"/>
  <c r="BO26" i="8"/>
  <c r="AA17" i="8"/>
  <c r="BK6" i="8"/>
  <c r="BK14" i="8" s="1"/>
  <c r="BL6" i="8" s="1"/>
  <c r="BL14" i="8" s="1"/>
  <c r="BM6" i="8" s="1"/>
  <c r="BM14" i="8" s="1"/>
  <c r="BN6" i="8" s="1"/>
  <c r="BN14" i="8" s="1"/>
  <c r="BO6" i="8" s="1"/>
  <c r="BO14" i="8" s="1"/>
  <c r="BP6" i="8" s="1"/>
  <c r="BP14" i="8" s="1"/>
  <c r="BQ6" i="8" s="1"/>
  <c r="BQ14" i="8" s="1"/>
  <c r="BR6" i="8" s="1"/>
  <c r="BR14" i="8" s="1"/>
  <c r="BS6" i="8" s="1"/>
  <c r="BS14" i="8" s="1"/>
  <c r="BT6" i="8" s="1"/>
  <c r="BT14" i="8" s="1"/>
  <c r="BU6" i="8" s="1"/>
  <c r="BU14" i="8" s="1"/>
  <c r="BV6" i="8" s="1"/>
  <c r="BV14" i="8" s="1"/>
  <c r="BE5" i="8"/>
  <c r="B5" i="8"/>
  <c r="BW95" i="7"/>
  <c r="CC95" i="7" s="1"/>
  <c r="BW76" i="7"/>
  <c r="CC76" i="7" s="1"/>
  <c r="BX76" i="7" s="1"/>
  <c r="BZ76" i="7" s="1"/>
  <c r="BO67" i="7"/>
  <c r="BW57" i="7"/>
  <c r="CC57" i="7" s="1"/>
  <c r="BX57" i="7" s="1"/>
  <c r="BZ57" i="7" s="1"/>
  <c r="BW38" i="7"/>
  <c r="BO35" i="7"/>
  <c r="BO32" i="7"/>
  <c r="AA17" i="7"/>
  <c r="BK6" i="7"/>
  <c r="BK14" i="7" s="1"/>
  <c r="BL6" i="7" s="1"/>
  <c r="BE5" i="7"/>
  <c r="B5" i="7"/>
  <c r="BW113" i="6"/>
  <c r="CC113" i="6" s="1"/>
  <c r="BT110" i="6"/>
  <c r="BO110" i="6"/>
  <c r="BO107" i="6"/>
  <c r="BT104" i="6"/>
  <c r="BO104" i="6"/>
  <c r="BT101" i="6"/>
  <c r="BW95" i="6"/>
  <c r="CC95" i="6" s="1"/>
  <c r="CC94" i="6" s="1"/>
  <c r="BT92" i="6"/>
  <c r="BO92" i="6"/>
  <c r="BO89" i="6"/>
  <c r="BT86" i="6"/>
  <c r="BO86" i="6"/>
  <c r="BT83" i="6"/>
  <c r="BW76" i="6"/>
  <c r="CC76" i="6" s="1"/>
  <c r="CC75" i="6" s="1"/>
  <c r="BX75" i="6" s="1"/>
  <c r="CA75" i="6" s="1"/>
  <c r="BO73" i="6"/>
  <c r="BT70" i="6"/>
  <c r="BO70" i="6"/>
  <c r="BT67" i="6"/>
  <c r="BO67" i="6"/>
  <c r="BO64" i="6"/>
  <c r="BW57" i="6"/>
  <c r="CC57" i="6" s="1"/>
  <c r="BT54" i="6"/>
  <c r="BO54" i="6"/>
  <c r="BT51" i="6"/>
  <c r="BO51" i="6"/>
  <c r="BT48" i="6"/>
  <c r="BO48" i="6"/>
  <c r="BT45" i="6"/>
  <c r="BO45" i="6"/>
  <c r="B42" i="6"/>
  <c r="BW38" i="6"/>
  <c r="CC38" i="6" s="1"/>
  <c r="B41" i="6"/>
  <c r="B40" i="6"/>
  <c r="BT35" i="6"/>
  <c r="BO35" i="6"/>
  <c r="BT32" i="6"/>
  <c r="BO32" i="6"/>
  <c r="BT29" i="6"/>
  <c r="BO29" i="6"/>
  <c r="BT26" i="6"/>
  <c r="BO26" i="6"/>
  <c r="AA17" i="6"/>
  <c r="BK6" i="6"/>
  <c r="BK14" i="6" s="1"/>
  <c r="BL6" i="6" s="1"/>
  <c r="BL14" i="6" s="1"/>
  <c r="BM6" i="6" s="1"/>
  <c r="BM14" i="6" s="1"/>
  <c r="BN6" i="6" s="1"/>
  <c r="BN14" i="6" s="1"/>
  <c r="BO6" i="6" s="1"/>
  <c r="BO14" i="6" s="1"/>
  <c r="BP6" i="6" s="1"/>
  <c r="BP14" i="6" s="1"/>
  <c r="BQ6" i="6" s="1"/>
  <c r="BQ14" i="6" s="1"/>
  <c r="BR6" i="6" s="1"/>
  <c r="BR14" i="6" s="1"/>
  <c r="BS6" i="6" s="1"/>
  <c r="BS14" i="6" s="1"/>
  <c r="BT6" i="6" s="1"/>
  <c r="BT14" i="6" s="1"/>
  <c r="BU6" i="6" s="1"/>
  <c r="BU14" i="6" s="1"/>
  <c r="BV6" i="6" s="1"/>
  <c r="BV14" i="6" s="1"/>
  <c r="BE5" i="6"/>
  <c r="B5" i="6"/>
  <c r="BW95" i="2"/>
  <c r="CC95" i="2" s="1"/>
  <c r="BX95" i="2" s="1"/>
  <c r="BT92" i="2"/>
  <c r="BO92" i="2"/>
  <c r="BT89" i="2"/>
  <c r="BO89" i="2"/>
  <c r="BT86" i="2"/>
  <c r="BO86" i="2"/>
  <c r="BT83" i="2"/>
  <c r="BS83" i="2"/>
  <c r="BO83" i="2"/>
  <c r="BN83" i="2"/>
  <c r="BW57" i="2"/>
  <c r="BT54" i="2"/>
  <c r="BO54" i="2"/>
  <c r="BO51" i="2"/>
  <c r="BO48" i="2"/>
  <c r="BO45" i="2"/>
  <c r="BW38" i="2"/>
  <c r="CC38" i="2" s="1"/>
  <c r="CC37" i="2" s="1"/>
  <c r="CC36" i="2" s="1"/>
  <c r="CC35" i="2" s="1"/>
  <c r="CC34" i="2" s="1"/>
  <c r="CC33" i="2" s="1"/>
  <c r="CC32" i="2" s="1"/>
  <c r="CC31" i="2" s="1"/>
  <c r="CC30" i="2" s="1"/>
  <c r="CC29" i="2" s="1"/>
  <c r="CC28" i="2" s="1"/>
  <c r="CC27" i="2" s="1"/>
  <c r="CC26" i="2" s="1"/>
  <c r="BT35" i="2"/>
  <c r="BO35" i="2"/>
  <c r="BT32" i="2"/>
  <c r="BO32" i="2"/>
  <c r="BT29" i="2"/>
  <c r="BO29" i="2"/>
  <c r="BO26" i="2"/>
  <c r="AA17" i="2"/>
  <c r="BK14" i="2"/>
  <c r="BL6" i="2" s="1"/>
  <c r="BL14" i="2" s="1"/>
  <c r="BM6" i="2" s="1"/>
  <c r="BM14" i="2" s="1"/>
  <c r="BN6" i="2" s="1"/>
  <c r="BN14" i="2" s="1"/>
  <c r="BO6" i="2" s="1"/>
  <c r="BO14" i="2" s="1"/>
  <c r="BP6" i="2" s="1"/>
  <c r="BP14" i="2" s="1"/>
  <c r="BQ6" i="2" s="1"/>
  <c r="BQ14" i="2" s="1"/>
  <c r="BR6" i="2" s="1"/>
  <c r="BR14" i="2" s="1"/>
  <c r="BS6" i="2" s="1"/>
  <c r="BS14" i="2" s="1"/>
  <c r="BT6" i="2" s="1"/>
  <c r="BT14" i="2" s="1"/>
  <c r="BU6" i="2" s="1"/>
  <c r="BU14" i="2" s="1"/>
  <c r="BV6" i="2" s="1"/>
  <c r="BV14" i="2" s="1"/>
  <c r="BE5" i="2"/>
  <c r="AU17" i="2" s="1"/>
  <c r="B5" i="2"/>
  <c r="J5" i="28"/>
  <c r="U6" i="27"/>
  <c r="J5" i="26"/>
  <c r="U49" i="35"/>
  <c r="U48" i="35"/>
  <c r="V48" i="35" s="1"/>
  <c r="U47" i="35"/>
  <c r="V47" i="35" s="1"/>
  <c r="U46" i="35"/>
  <c r="V46" i="35" s="1"/>
  <c r="U45" i="35"/>
  <c r="V45" i="35" s="1"/>
  <c r="S16" i="34"/>
  <c r="S15" i="34"/>
  <c r="S14" i="34"/>
  <c r="M5" i="34"/>
  <c r="M36" i="18"/>
  <c r="O170" i="38"/>
  <c r="O169" i="38"/>
  <c r="O168" i="38"/>
  <c r="O167" i="38"/>
  <c r="O166" i="38"/>
  <c r="O165" i="38"/>
  <c r="O164" i="38"/>
  <c r="O163" i="38"/>
  <c r="O162" i="38"/>
  <c r="O161" i="38"/>
  <c r="O160" i="38"/>
  <c r="O159" i="38"/>
  <c r="O158" i="38"/>
  <c r="O157" i="38"/>
  <c r="O156" i="38"/>
  <c r="AP15" i="6" l="1"/>
  <c r="C11" i="18"/>
  <c r="Q40" i="8"/>
  <c r="T44" i="5"/>
  <c r="K44" i="5"/>
  <c r="W44" i="5"/>
  <c r="BH44" i="5" s="1"/>
  <c r="I30" i="26"/>
  <c r="Q19" i="15"/>
  <c r="T17" i="15"/>
  <c r="T38" i="6"/>
  <c r="BH40" i="8"/>
  <c r="Q40" i="2"/>
  <c r="BH40" i="2" s="1"/>
  <c r="Q42" i="5"/>
  <c r="BH42" i="5" s="1"/>
  <c r="Q39" i="8"/>
  <c r="BH39" i="8" s="1"/>
  <c r="K41" i="7"/>
  <c r="Q41" i="7"/>
  <c r="BH41" i="7" s="1"/>
  <c r="T38" i="7"/>
  <c r="Q42" i="7"/>
  <c r="W39" i="7"/>
  <c r="W42" i="7"/>
  <c r="K42" i="7"/>
  <c r="T42" i="7"/>
  <c r="W38" i="7"/>
  <c r="CA57" i="7"/>
  <c r="Q38" i="7"/>
  <c r="W38" i="5"/>
  <c r="BL14" i="7"/>
  <c r="BM6" i="7" s="1"/>
  <c r="N29" i="27" a="1"/>
  <c r="N29" i="27" s="1"/>
  <c r="F25" i="35" s="1"/>
  <c r="M28" i="27" a="1"/>
  <c r="M28" i="27" s="1"/>
  <c r="M30" i="27" a="1"/>
  <c r="M30" i="27" s="1"/>
  <c r="E26" i="35" s="1"/>
  <c r="N28" i="27" a="1"/>
  <c r="N28" i="27" s="1"/>
  <c r="M29" i="27" a="1"/>
  <c r="M29" i="27" s="1"/>
  <c r="E25" i="35" s="1"/>
  <c r="M34" i="27" a="1"/>
  <c r="M34" i="27" s="1"/>
  <c r="M22" i="27" a="1"/>
  <c r="M22" i="27" s="1"/>
  <c r="E21" i="35" s="1"/>
  <c r="M23" i="27" a="1"/>
  <c r="M23" i="27" s="1"/>
  <c r="E22" i="35" s="1"/>
  <c r="N23" i="27" a="1"/>
  <c r="N23" i="27" s="1"/>
  <c r="M24" i="27" a="1"/>
  <c r="M24" i="27" s="1"/>
  <c r="E23" i="35" s="1"/>
  <c r="N24" i="27" a="1"/>
  <c r="N24" i="27" s="1"/>
  <c r="F23" i="35" s="1"/>
  <c r="N30" i="27" a="1"/>
  <c r="N30" i="27" s="1"/>
  <c r="M25" i="27" a="1"/>
  <c r="M25" i="27" s="1"/>
  <c r="M26" i="27" a="1"/>
  <c r="M26" i="27" s="1"/>
  <c r="M27" i="27" a="1"/>
  <c r="M27" i="27" s="1"/>
  <c r="E24" i="35" s="1"/>
  <c r="N27" i="27" a="1"/>
  <c r="N27" i="27" s="1"/>
  <c r="N25" i="27" a="1"/>
  <c r="N25" i="27" s="1"/>
  <c r="N22" i="27" a="1"/>
  <c r="N22" i="27" s="1"/>
  <c r="N26" i="27" a="1"/>
  <c r="N26" i="27" s="1"/>
  <c r="N17" i="27" a="1"/>
  <c r="N17" i="27" s="1"/>
  <c r="F16" i="35" s="1"/>
  <c r="N14" i="27" a="1"/>
  <c r="N14" i="27" s="1"/>
  <c r="F13" i="35" s="1"/>
  <c r="N13" i="27" a="1"/>
  <c r="N13" i="27" s="1"/>
  <c r="F12" i="35" s="1"/>
  <c r="BL14" i="29"/>
  <c r="BM6" i="29" s="1"/>
  <c r="BM14" i="29" s="1"/>
  <c r="BN6" i="29" s="1"/>
  <c r="BN14" i="29" s="1"/>
  <c r="BO6" i="29" s="1"/>
  <c r="G16" i="29"/>
  <c r="B22" i="50"/>
  <c r="Q42" i="16"/>
  <c r="Q41" i="16"/>
  <c r="W40" i="16"/>
  <c r="T40" i="16"/>
  <c r="Q40" i="16"/>
  <c r="K40" i="16"/>
  <c r="Q38" i="16"/>
  <c r="BH38" i="16" s="1"/>
  <c r="Q39" i="16"/>
  <c r="T42" i="16"/>
  <c r="W42" i="16"/>
  <c r="K42" i="16"/>
  <c r="T41" i="16"/>
  <c r="W41" i="16"/>
  <c r="K41" i="16"/>
  <c r="K39" i="16"/>
  <c r="T39" i="16"/>
  <c r="K38" i="16"/>
  <c r="W38" i="16"/>
  <c r="T38" i="16"/>
  <c r="X12" i="55"/>
  <c r="O15" i="55"/>
  <c r="U12" i="55"/>
  <c r="AA14" i="55"/>
  <c r="O12" i="55"/>
  <c r="X14" i="55"/>
  <c r="X13" i="55"/>
  <c r="U14" i="55"/>
  <c r="AA11" i="55"/>
  <c r="X11" i="55"/>
  <c r="AA16" i="55"/>
  <c r="O14" i="55"/>
  <c r="U11" i="55"/>
  <c r="AA12" i="55"/>
  <c r="X16" i="55"/>
  <c r="U13" i="55"/>
  <c r="U15" i="55"/>
  <c r="U16" i="55"/>
  <c r="AA13" i="55"/>
  <c r="O11" i="55"/>
  <c r="O16" i="55"/>
  <c r="AA15" i="55"/>
  <c r="O13" i="55"/>
  <c r="X15" i="55"/>
  <c r="W39" i="2"/>
  <c r="CC57" i="2"/>
  <c r="BX57" i="2" s="1"/>
  <c r="BY57" i="2" s="1"/>
  <c r="Q38" i="5"/>
  <c r="BH38" i="5" s="1"/>
  <c r="BO92" i="11"/>
  <c r="BT54" i="44"/>
  <c r="BT83" i="11"/>
  <c r="BT170" i="16"/>
  <c r="W95" i="44"/>
  <c r="T95" i="44"/>
  <c r="Q95" i="44"/>
  <c r="K95" i="44"/>
  <c r="Q75" i="44"/>
  <c r="AT95" i="44"/>
  <c r="T75" i="44"/>
  <c r="AN95" i="44"/>
  <c r="W75" i="44"/>
  <c r="K75" i="44"/>
  <c r="AW95" i="44"/>
  <c r="AZ95" i="44"/>
  <c r="BT45" i="11"/>
  <c r="BO89" i="11"/>
  <c r="BT167" i="16"/>
  <c r="BO51" i="44"/>
  <c r="BT26" i="11"/>
  <c r="BO70" i="10"/>
  <c r="BT64" i="11"/>
  <c r="S13" i="34"/>
  <c r="S12" i="34"/>
  <c r="I92" i="26"/>
  <c r="I50" i="26"/>
  <c r="I78" i="26"/>
  <c r="I90" i="26"/>
  <c r="I36" i="26"/>
  <c r="I16" i="26"/>
  <c r="I88" i="26"/>
  <c r="I32" i="26"/>
  <c r="I20" i="26"/>
  <c r="I58" i="26"/>
  <c r="I86" i="26"/>
  <c r="I28" i="26"/>
  <c r="I76" i="26"/>
  <c r="I12" i="26"/>
  <c r="I74" i="26"/>
  <c r="Q39" i="14"/>
  <c r="BL6" i="12"/>
  <c r="BL14" i="12" s="1"/>
  <c r="BM6" i="12" s="1"/>
  <c r="BM14" i="12" s="1"/>
  <c r="BQ6" i="39"/>
  <c r="BQ14" i="39" s="1"/>
  <c r="BR6" i="39" s="1"/>
  <c r="BR14" i="39" s="1"/>
  <c r="M15" i="27" a="1"/>
  <c r="M15" i="27" s="1"/>
  <c r="BO54" i="11"/>
  <c r="BO51" i="11"/>
  <c r="BO167" i="16"/>
  <c r="W15" i="27" a="1"/>
  <c r="W15" i="27" s="1"/>
  <c r="N15" i="27" a="1"/>
  <c r="N15" i="27" s="1"/>
  <c r="BT54" i="15"/>
  <c r="BT70" i="15"/>
  <c r="BT73" i="11"/>
  <c r="BT35" i="9"/>
  <c r="BT73" i="15"/>
  <c r="BT51" i="44"/>
  <c r="BT54" i="9"/>
  <c r="BT45" i="9"/>
  <c r="BO54" i="9"/>
  <c r="W38" i="6"/>
  <c r="W43" i="11"/>
  <c r="T43" i="11"/>
  <c r="K42" i="11"/>
  <c r="W42" i="11"/>
  <c r="T42" i="11"/>
  <c r="Q43" i="11"/>
  <c r="Q42" i="11"/>
  <c r="K43" i="11"/>
  <c r="BT51" i="9"/>
  <c r="BT32" i="9"/>
  <c r="BO54" i="44"/>
  <c r="BT51" i="15"/>
  <c r="G20" i="2" a="1"/>
  <c r="G20" i="2" s="1"/>
  <c r="BB23" i="44"/>
  <c r="AU18" i="44"/>
  <c r="AU17" i="44"/>
  <c r="AU22" i="44"/>
  <c r="AN22" i="44"/>
  <c r="BB22" i="44"/>
  <c r="AU23" i="44"/>
  <c r="AN18" i="44"/>
  <c r="AN17" i="44"/>
  <c r="BB18" i="44"/>
  <c r="AN23" i="44"/>
  <c r="BB17" i="44"/>
  <c r="G16" i="2"/>
  <c r="G26" i="2" a="1"/>
  <c r="G26" i="2" s="1"/>
  <c r="N11" i="27" a="1"/>
  <c r="N11" i="27" s="1"/>
  <c r="N12" i="27" a="1"/>
  <c r="N12" i="27" s="1"/>
  <c r="N19" i="27" a="1"/>
  <c r="N19" i="27" s="1"/>
  <c r="F18" i="35" s="1"/>
  <c r="N16" i="27" a="1"/>
  <c r="N16" i="27" s="1"/>
  <c r="F15" i="35" s="1"/>
  <c r="N18" i="27" a="1"/>
  <c r="N18" i="27" s="1"/>
  <c r="F17" i="35" s="1"/>
  <c r="G26" i="6" a="1"/>
  <c r="G26" i="6" s="1"/>
  <c r="Q41" i="10"/>
  <c r="W41" i="10"/>
  <c r="K41" i="10"/>
  <c r="T41" i="10"/>
  <c r="G26" i="8" a="1"/>
  <c r="G26" i="8" s="1"/>
  <c r="CA95" i="15"/>
  <c r="BO64" i="10"/>
  <c r="BT164" i="16"/>
  <c r="BO86" i="11"/>
  <c r="BT64" i="10"/>
  <c r="BT48" i="9"/>
  <c r="BT48" i="15"/>
  <c r="BT45" i="44"/>
  <c r="BO29" i="7"/>
  <c r="BO64" i="5"/>
  <c r="BO73" i="7"/>
  <c r="BO73" i="5"/>
  <c r="BO73" i="10"/>
  <c r="BO164" i="16"/>
  <c r="G21" i="8" a="1"/>
  <c r="G21" i="8" s="1"/>
  <c r="G20" i="8" a="1"/>
  <c r="G20" i="8" s="1"/>
  <c r="G18" i="8"/>
  <c r="Y14" i="27" s="1"/>
  <c r="G16" i="8"/>
  <c r="G21" i="16" a="1"/>
  <c r="G21" i="16" s="1"/>
  <c r="G26" i="16" a="1"/>
  <c r="G26" i="16" s="1"/>
  <c r="I26" i="16" s="1"/>
  <c r="G20" i="16" a="1"/>
  <c r="G20" i="16" s="1"/>
  <c r="G18" i="16"/>
  <c r="Y18" i="27" s="1"/>
  <c r="G20" i="12" a="1"/>
  <c r="G20" i="12" s="1"/>
  <c r="G18" i="12"/>
  <c r="G21" i="12" a="1"/>
  <c r="G21" i="12" s="1"/>
  <c r="G20" i="44" a="1"/>
  <c r="G20" i="44" s="1"/>
  <c r="G21" i="44" a="1"/>
  <c r="G21" i="44" s="1"/>
  <c r="G18" i="44"/>
  <c r="G26" i="44" a="1"/>
  <c r="G26" i="44" s="1"/>
  <c r="G16" i="44"/>
  <c r="G20" i="10" a="1"/>
  <c r="G20" i="10" s="1"/>
  <c r="G16" i="10"/>
  <c r="G21" i="10" a="1"/>
  <c r="G21" i="10" s="1"/>
  <c r="G18" i="10"/>
  <c r="G26" i="10" a="1"/>
  <c r="G26" i="10" s="1"/>
  <c r="G21" i="11" a="1"/>
  <c r="G21" i="11" s="1"/>
  <c r="G20" i="11" a="1"/>
  <c r="G20" i="11" s="1"/>
  <c r="G18" i="11"/>
  <c r="G16" i="11"/>
  <c r="G20" i="29" a="1"/>
  <c r="G20" i="29" s="1"/>
  <c r="Y19" i="27"/>
  <c r="G21" i="29" a="1"/>
  <c r="G21" i="29" s="1"/>
  <c r="G26" i="29" a="1"/>
  <c r="G26" i="29" s="1"/>
  <c r="I26" i="29" s="1"/>
  <c r="G26" i="5" a="1"/>
  <c r="G26" i="5" s="1"/>
  <c r="I26" i="5" s="1"/>
  <c r="G18" i="5"/>
  <c r="G21" i="5" a="1"/>
  <c r="G21" i="5" s="1"/>
  <c r="G20" i="5" a="1"/>
  <c r="G20" i="5" s="1"/>
  <c r="G18" i="39"/>
  <c r="G26" i="39" a="1"/>
  <c r="G26" i="39" s="1"/>
  <c r="G20" i="39" a="1"/>
  <c r="G20" i="39" s="1"/>
  <c r="G21" i="39" a="1"/>
  <c r="G21" i="39" s="1"/>
  <c r="G26" i="9" a="1"/>
  <c r="G26" i="9" s="1"/>
  <c r="G18" i="9"/>
  <c r="G16" i="9"/>
  <c r="G21" i="9" a="1"/>
  <c r="G21" i="9" s="1"/>
  <c r="G20" i="9" a="1"/>
  <c r="G20" i="9" s="1"/>
  <c r="G18" i="7"/>
  <c r="Y13" i="27" s="1"/>
  <c r="G20" i="7" a="1"/>
  <c r="G20" i="7" s="1"/>
  <c r="G26" i="7" a="1"/>
  <c r="G26" i="7" s="1"/>
  <c r="G21" i="7" a="1"/>
  <c r="G21" i="7" s="1"/>
  <c r="G18" i="14"/>
  <c r="Y17" i="27" s="1"/>
  <c r="G16" i="14"/>
  <c r="G20" i="14" a="1"/>
  <c r="G20" i="14" s="1"/>
  <c r="G26" i="14" a="1"/>
  <c r="G26" i="14" s="1"/>
  <c r="G21" i="14" a="1"/>
  <c r="G21" i="14" s="1"/>
  <c r="BO14" i="29"/>
  <c r="BP6" i="29" s="1"/>
  <c r="BP14" i="29" s="1"/>
  <c r="BQ6" i="29" s="1"/>
  <c r="BQ14" i="29" s="1"/>
  <c r="BR6" i="29" s="1"/>
  <c r="BR14" i="29" s="1"/>
  <c r="BS6" i="29" s="1"/>
  <c r="BS14" i="29" s="1"/>
  <c r="BT6" i="29" s="1"/>
  <c r="BT14" i="29" s="1"/>
  <c r="BU6" i="29" s="1"/>
  <c r="BU14" i="29" s="1"/>
  <c r="BV6" i="29" s="1"/>
  <c r="BV14" i="29" s="1"/>
  <c r="G18" i="6"/>
  <c r="Y12" i="27" s="1"/>
  <c r="G21" i="6" a="1"/>
  <c r="G21" i="6" s="1"/>
  <c r="G20" i="6" a="1"/>
  <c r="G20" i="6" s="1"/>
  <c r="G16" i="6"/>
  <c r="BO45" i="11"/>
  <c r="BO48" i="11"/>
  <c r="BO45" i="9"/>
  <c r="BO29" i="9"/>
  <c r="BO51" i="9"/>
  <c r="BO48" i="9"/>
  <c r="BO35" i="9"/>
  <c r="BO32" i="9"/>
  <c r="BO26" i="9"/>
  <c r="BT26" i="9"/>
  <c r="BT29" i="9"/>
  <c r="BT67" i="10"/>
  <c r="BO67" i="10"/>
  <c r="BT48" i="44"/>
  <c r="BT161" i="16"/>
  <c r="BO170" i="16"/>
  <c r="BO161" i="16"/>
  <c r="BT45" i="15"/>
  <c r="BO67" i="5"/>
  <c r="BO70" i="5"/>
  <c r="BT64" i="5"/>
  <c r="BO64" i="7"/>
  <c r="BO70" i="7"/>
  <c r="W38" i="14"/>
  <c r="W38" i="2"/>
  <c r="U18" i="16"/>
  <c r="P17" i="39"/>
  <c r="M20" i="9"/>
  <c r="M20" i="8"/>
  <c r="U14" i="27" s="1"/>
  <c r="S6" i="34" s="1"/>
  <c r="P18" i="5"/>
  <c r="BT67" i="15"/>
  <c r="U17" i="6"/>
  <c r="G21" i="2" a="1"/>
  <c r="G21" i="2" s="1"/>
  <c r="AN17" i="9"/>
  <c r="K17" i="7"/>
  <c r="R13" i="27" s="1"/>
  <c r="J12" i="35" s="1"/>
  <c r="K39" i="7"/>
  <c r="BX5" i="48"/>
  <c r="BX5" i="44"/>
  <c r="BX5" i="15"/>
  <c r="BX5" i="14"/>
  <c r="BX5" i="7"/>
  <c r="BX5" i="47"/>
  <c r="BX5" i="16"/>
  <c r="BX5" i="12"/>
  <c r="BX5" i="10"/>
  <c r="BX5" i="8"/>
  <c r="BX5" i="6"/>
  <c r="BX5" i="39"/>
  <c r="BX5" i="5"/>
  <c r="BX5" i="9"/>
  <c r="BX5" i="11"/>
  <c r="CA211" i="16"/>
  <c r="P17" i="5"/>
  <c r="Q16" i="27" s="1"/>
  <c r="J37" i="35" s="1"/>
  <c r="K17" i="5"/>
  <c r="R16" i="27" s="1"/>
  <c r="J15" i="35" s="1"/>
  <c r="U36" i="35"/>
  <c r="V36" i="35" s="1"/>
  <c r="AN17" i="7"/>
  <c r="CC75" i="14"/>
  <c r="BX75" i="14" s="1"/>
  <c r="CC94" i="7"/>
  <c r="CC93" i="7" s="1"/>
  <c r="BX95" i="7"/>
  <c r="BB22" i="2"/>
  <c r="T41" i="6"/>
  <c r="I66" i="26"/>
  <c r="T43" i="5"/>
  <c r="I80" i="26"/>
  <c r="W39" i="6"/>
  <c r="AN17" i="6"/>
  <c r="K18" i="5"/>
  <c r="BX56" i="44"/>
  <c r="CA56" i="44" s="1"/>
  <c r="T41" i="7"/>
  <c r="K40" i="2"/>
  <c r="I34" i="26"/>
  <c r="K18" i="2"/>
  <c r="T40" i="2"/>
  <c r="AN17" i="14"/>
  <c r="BX133" i="5"/>
  <c r="BY133" i="5" s="1"/>
  <c r="I52" i="26"/>
  <c r="P18" i="2"/>
  <c r="Q41" i="2"/>
  <c r="BH41" i="2" s="1"/>
  <c r="AU23" i="7"/>
  <c r="CC94" i="15"/>
  <c r="CC93" i="15" s="1"/>
  <c r="CC210" i="16"/>
  <c r="CC209" i="16" s="1"/>
  <c r="BX209" i="16" s="1"/>
  <c r="BY209" i="16" s="1"/>
  <c r="K18" i="44"/>
  <c r="Q38" i="2"/>
  <c r="T38" i="8"/>
  <c r="AU18" i="14"/>
  <c r="W43" i="5"/>
  <c r="U18" i="5"/>
  <c r="U17" i="29"/>
  <c r="U17" i="11"/>
  <c r="CB114" i="39"/>
  <c r="BX114" i="39" s="1"/>
  <c r="Q41" i="6"/>
  <c r="U17" i="8"/>
  <c r="M20" i="14"/>
  <c r="U17" i="27" s="1"/>
  <c r="S8" i="34" s="1"/>
  <c r="AN18" i="5"/>
  <c r="CC37" i="11"/>
  <c r="BX37" i="11" s="1"/>
  <c r="BB18" i="16"/>
  <c r="AP15" i="5"/>
  <c r="M35" i="18"/>
  <c r="I54" i="26"/>
  <c r="AN23" i="6"/>
  <c r="P18" i="8"/>
  <c r="P18" i="44"/>
  <c r="M20" i="11"/>
  <c r="CB76" i="39"/>
  <c r="BX76" i="39" s="1"/>
  <c r="K42" i="5"/>
  <c r="BX5" i="2"/>
  <c r="I56" i="26"/>
  <c r="Q39" i="2"/>
  <c r="Q38" i="6"/>
  <c r="I14" i="26"/>
  <c r="T39" i="2"/>
  <c r="W42" i="6"/>
  <c r="BB22" i="8"/>
  <c r="U17" i="5"/>
  <c r="BX133" i="16"/>
  <c r="BX57" i="14"/>
  <c r="BY57" i="14" s="1"/>
  <c r="CC56" i="14"/>
  <c r="BX56" i="14" s="1"/>
  <c r="CC56" i="15"/>
  <c r="BX56" i="15" s="1"/>
  <c r="BX57" i="15"/>
  <c r="CC56" i="11"/>
  <c r="BX57" i="11"/>
  <c r="CC37" i="44"/>
  <c r="BX38" i="44"/>
  <c r="CA38" i="44" s="1"/>
  <c r="CK113" i="5"/>
  <c r="CD114" i="5"/>
  <c r="CC75" i="5"/>
  <c r="BX76" i="5"/>
  <c r="BX192" i="16"/>
  <c r="CC54" i="44"/>
  <c r="CC53" i="44" s="1"/>
  <c r="CC52" i="44" s="1"/>
  <c r="BX55" i="44"/>
  <c r="CC76" i="8"/>
  <c r="BX77" i="8"/>
  <c r="CA77" i="8" s="1"/>
  <c r="BX76" i="15"/>
  <c r="BY76" i="15" s="1"/>
  <c r="CC75" i="15"/>
  <c r="BX75" i="15" s="1"/>
  <c r="BX38" i="10"/>
  <c r="CA38" i="10" s="1"/>
  <c r="CC37" i="10"/>
  <c r="BX37" i="10" s="1"/>
  <c r="K17" i="2"/>
  <c r="R11" i="27" s="1"/>
  <c r="J10" i="35" s="1"/>
  <c r="AN18" i="2"/>
  <c r="AN18" i="7"/>
  <c r="P17" i="2"/>
  <c r="Q11" i="27" s="1"/>
  <c r="J32" i="35" s="1"/>
  <c r="M20" i="2"/>
  <c r="U11" i="27" s="1"/>
  <c r="BB18" i="6"/>
  <c r="U17" i="16"/>
  <c r="P18" i="11"/>
  <c r="CB57" i="39"/>
  <c r="BX57" i="39" s="1"/>
  <c r="BZ57" i="39" s="1"/>
  <c r="CB95" i="39"/>
  <c r="BX95" i="39" s="1"/>
  <c r="BZ95" i="39" s="1"/>
  <c r="CB133" i="39"/>
  <c r="BX133" i="39" s="1"/>
  <c r="AN18" i="6"/>
  <c r="AN23" i="8"/>
  <c r="BX134" i="5"/>
  <c r="I24" i="11"/>
  <c r="AU18" i="7"/>
  <c r="AN18" i="8"/>
  <c r="I60" i="26"/>
  <c r="I82" i="26"/>
  <c r="U17" i="2"/>
  <c r="T38" i="2"/>
  <c r="T41" i="2"/>
  <c r="W41" i="6"/>
  <c r="BX76" i="6"/>
  <c r="P17" i="7"/>
  <c r="Q13" i="27" s="1"/>
  <c r="J34" i="35" s="1"/>
  <c r="M20" i="7"/>
  <c r="U13" i="27" s="1"/>
  <c r="S5" i="34" s="1"/>
  <c r="Q39" i="7"/>
  <c r="CC75" i="7"/>
  <c r="BX75" i="7" s="1"/>
  <c r="AP15" i="8"/>
  <c r="AU18" i="8"/>
  <c r="W38" i="8"/>
  <c r="BX132" i="5"/>
  <c r="CA132" i="5" s="1"/>
  <c r="BZ211" i="16"/>
  <c r="K17" i="44"/>
  <c r="BX95" i="44"/>
  <c r="BZ95" i="44" s="1"/>
  <c r="U18" i="11"/>
  <c r="U18" i="8"/>
  <c r="P17" i="16"/>
  <c r="Q18" i="27" s="1"/>
  <c r="J41" i="35" s="1"/>
  <c r="K18" i="11"/>
  <c r="I38" i="26"/>
  <c r="I62" i="26"/>
  <c r="I84" i="26"/>
  <c r="AN22" i="2"/>
  <c r="W41" i="2"/>
  <c r="P17" i="6"/>
  <c r="Q12" i="27" s="1"/>
  <c r="J33" i="35" s="1"/>
  <c r="AN22" i="6"/>
  <c r="K40" i="6"/>
  <c r="U17" i="7"/>
  <c r="T39" i="7"/>
  <c r="K17" i="8"/>
  <c r="R14" i="27" s="1"/>
  <c r="J13" i="35" s="1"/>
  <c r="BB18" i="8"/>
  <c r="U17" i="14"/>
  <c r="Q41" i="5"/>
  <c r="P18" i="16"/>
  <c r="K17" i="11"/>
  <c r="CC74" i="11"/>
  <c r="CC73" i="11" s="1"/>
  <c r="CC72" i="11" s="1"/>
  <c r="P18" i="7"/>
  <c r="U18" i="2"/>
  <c r="BB23" i="2"/>
  <c r="AU17" i="6"/>
  <c r="AU23" i="6"/>
  <c r="U18" i="7"/>
  <c r="BB23" i="7"/>
  <c r="I40" i="26"/>
  <c r="I64" i="26"/>
  <c r="G18" i="2"/>
  <c r="Y11" i="27" s="1"/>
  <c r="AU22" i="2"/>
  <c r="CC94" i="2"/>
  <c r="BX94" i="2" s="1"/>
  <c r="CA94" i="2" s="1"/>
  <c r="AU22" i="6"/>
  <c r="Q40" i="6"/>
  <c r="BH40" i="6" s="1"/>
  <c r="AU22" i="7"/>
  <c r="P17" i="8"/>
  <c r="Q14" i="27" s="1"/>
  <c r="J35" i="35" s="1"/>
  <c r="W41" i="5"/>
  <c r="Q17" i="15"/>
  <c r="AU18" i="16"/>
  <c r="P17" i="11"/>
  <c r="CA95" i="2"/>
  <c r="BZ95" i="2"/>
  <c r="BY95" i="2"/>
  <c r="BZ75" i="6"/>
  <c r="BY75" i="6"/>
  <c r="CC56" i="6"/>
  <c r="BX57" i="6"/>
  <c r="BX37" i="2"/>
  <c r="BX113" i="6"/>
  <c r="CC112" i="6"/>
  <c r="CC38" i="7"/>
  <c r="BX95" i="6"/>
  <c r="CA95" i="6" s="1"/>
  <c r="CC74" i="6"/>
  <c r="BZ95" i="15"/>
  <c r="BX94" i="6"/>
  <c r="CC93" i="6"/>
  <c r="BY76" i="7"/>
  <c r="K18" i="6"/>
  <c r="K17" i="6"/>
  <c r="M20" i="6"/>
  <c r="U12" i="27" s="1"/>
  <c r="S4" i="34" s="1"/>
  <c r="BX38" i="6"/>
  <c r="CC37" i="6"/>
  <c r="CC36" i="14"/>
  <c r="BX37" i="14"/>
  <c r="W16" i="27" a="1"/>
  <c r="W16" i="27" s="1"/>
  <c r="W11" i="27" a="1"/>
  <c r="W11" i="27" s="1"/>
  <c r="W17" i="27" a="1"/>
  <c r="W17" i="27" s="1"/>
  <c r="W12" i="27" a="1"/>
  <c r="W12" i="27" s="1"/>
  <c r="W13" i="27" a="1"/>
  <c r="W13" i="27" s="1"/>
  <c r="W18" i="27" a="1"/>
  <c r="W18" i="27" s="1"/>
  <c r="W14" i="27" a="1"/>
  <c r="W14" i="27" s="1"/>
  <c r="W19" i="27" a="1"/>
  <c r="W19" i="27" s="1"/>
  <c r="BX38" i="2"/>
  <c r="BX95" i="5"/>
  <c r="CC94" i="5"/>
  <c r="P18" i="6"/>
  <c r="BX38" i="14"/>
  <c r="BY38" i="14" s="1"/>
  <c r="U18" i="6"/>
  <c r="CC56" i="7"/>
  <c r="K40" i="14"/>
  <c r="CC56" i="5"/>
  <c r="BX57" i="5"/>
  <c r="AN17" i="2"/>
  <c r="AU18" i="2"/>
  <c r="BB17" i="6"/>
  <c r="BB23" i="6"/>
  <c r="W40" i="6"/>
  <c r="K42" i="6"/>
  <c r="BB17" i="7"/>
  <c r="AN17" i="8"/>
  <c r="BB22" i="5"/>
  <c r="BX58" i="8"/>
  <c r="CC57" i="8"/>
  <c r="W40" i="2"/>
  <c r="K39" i="6"/>
  <c r="T40" i="6"/>
  <c r="BB18" i="2"/>
  <c r="AN23" i="2"/>
  <c r="K38" i="6"/>
  <c r="Q39" i="6"/>
  <c r="Q42" i="6"/>
  <c r="K18" i="7"/>
  <c r="K18" i="8"/>
  <c r="BB17" i="8"/>
  <c r="AN22" i="8"/>
  <c r="W39" i="8"/>
  <c r="CC37" i="8"/>
  <c r="BX38" i="8"/>
  <c r="AU23" i="14"/>
  <c r="BY76" i="14"/>
  <c r="CA76" i="14"/>
  <c r="BZ76" i="14"/>
  <c r="T40" i="48"/>
  <c r="W38" i="48"/>
  <c r="T40" i="47"/>
  <c r="AP15" i="47"/>
  <c r="T39" i="48"/>
  <c r="Q40" i="48"/>
  <c r="Q38" i="48"/>
  <c r="T38" i="48"/>
  <c r="Q40" i="47"/>
  <c r="K40" i="48"/>
  <c r="W39" i="48"/>
  <c r="K39" i="48"/>
  <c r="Q39" i="47"/>
  <c r="W40" i="48"/>
  <c r="W40" i="47"/>
  <c r="K38" i="47"/>
  <c r="W39" i="47"/>
  <c r="K39" i="47"/>
  <c r="K40" i="47"/>
  <c r="T38" i="47"/>
  <c r="K38" i="48"/>
  <c r="Q38" i="47"/>
  <c r="AP15" i="48"/>
  <c r="Q39" i="48"/>
  <c r="T39" i="47"/>
  <c r="W38" i="47"/>
  <c r="K43" i="39"/>
  <c r="T40" i="39"/>
  <c r="K39" i="9"/>
  <c r="K38" i="9"/>
  <c r="W41" i="39"/>
  <c r="Q40" i="39"/>
  <c r="BH37" i="39" s="1"/>
  <c r="K39" i="39"/>
  <c r="K38" i="39"/>
  <c r="K42" i="39"/>
  <c r="W40" i="39"/>
  <c r="Q39" i="39"/>
  <c r="BH36" i="39" s="1"/>
  <c r="Q38" i="39"/>
  <c r="BH35" i="39" s="1"/>
  <c r="T43" i="39"/>
  <c r="W39" i="39"/>
  <c r="T39" i="9"/>
  <c r="Q43" i="39"/>
  <c r="BH40" i="39" s="1"/>
  <c r="W38" i="39"/>
  <c r="Q39" i="9"/>
  <c r="W38" i="12"/>
  <c r="T41" i="39"/>
  <c r="K40" i="39"/>
  <c r="T38" i="39"/>
  <c r="T38" i="12"/>
  <c r="T41" i="11"/>
  <c r="T39" i="11"/>
  <c r="Q38" i="11"/>
  <c r="W42" i="39"/>
  <c r="Q41" i="39"/>
  <c r="BH38" i="39" s="1"/>
  <c r="Q38" i="12"/>
  <c r="Q41" i="11"/>
  <c r="Q39" i="11"/>
  <c r="W43" i="39"/>
  <c r="T39" i="39"/>
  <c r="AP15" i="39"/>
  <c r="W39" i="9"/>
  <c r="K40" i="11"/>
  <c r="W38" i="11"/>
  <c r="AW39" i="44"/>
  <c r="T39" i="44"/>
  <c r="Q42" i="39"/>
  <c r="BH39" i="39" s="1"/>
  <c r="T38" i="9"/>
  <c r="K38" i="11"/>
  <c r="W39" i="10"/>
  <c r="T38" i="10"/>
  <c r="Q38" i="9"/>
  <c r="T39" i="10"/>
  <c r="Q38" i="10"/>
  <c r="AT57" i="44"/>
  <c r="Q39" i="10"/>
  <c r="T42" i="39"/>
  <c r="W38" i="9"/>
  <c r="K38" i="12"/>
  <c r="T38" i="11"/>
  <c r="K41" i="39"/>
  <c r="W41" i="11"/>
  <c r="K40" i="10"/>
  <c r="K39" i="10"/>
  <c r="K41" i="11"/>
  <c r="AP15" i="12"/>
  <c r="K38" i="10"/>
  <c r="AW57" i="44"/>
  <c r="W57" i="44"/>
  <c r="Q39" i="44"/>
  <c r="Q20" i="15"/>
  <c r="W39" i="11"/>
  <c r="AP15" i="11"/>
  <c r="W40" i="10"/>
  <c r="AZ57" i="44"/>
  <c r="T57" i="44"/>
  <c r="Q40" i="11"/>
  <c r="W39" i="44"/>
  <c r="AP15" i="16"/>
  <c r="T20" i="15"/>
  <c r="AP15" i="9"/>
  <c r="W38" i="10"/>
  <c r="W40" i="11"/>
  <c r="T40" i="11"/>
  <c r="AP15" i="29"/>
  <c r="Q57" i="44"/>
  <c r="T18" i="15"/>
  <c r="K43" i="5"/>
  <c r="K38" i="5"/>
  <c r="W40" i="14"/>
  <c r="Q38" i="14"/>
  <c r="T19" i="15"/>
  <c r="K17" i="15"/>
  <c r="AP15" i="44"/>
  <c r="K20" i="15"/>
  <c r="T42" i="5"/>
  <c r="K41" i="5"/>
  <c r="K39" i="5"/>
  <c r="Q40" i="14"/>
  <c r="K39" i="44"/>
  <c r="T40" i="10"/>
  <c r="AZ39" i="44"/>
  <c r="Q18" i="15"/>
  <c r="K39" i="11"/>
  <c r="Q40" i="10"/>
  <c r="K40" i="5"/>
  <c r="W39" i="5"/>
  <c r="K39" i="14"/>
  <c r="AP15" i="10"/>
  <c r="AT39" i="44"/>
  <c r="Q43" i="5"/>
  <c r="T41" i="5"/>
  <c r="T38" i="14"/>
  <c r="W20" i="15"/>
  <c r="BH20" i="15" s="1"/>
  <c r="W18" i="15"/>
  <c r="Q39" i="5"/>
  <c r="K38" i="14"/>
  <c r="T39" i="8"/>
  <c r="Q38" i="8"/>
  <c r="AP15" i="14"/>
  <c r="K18" i="15"/>
  <c r="T38" i="5"/>
  <c r="W40" i="8"/>
  <c r="K39" i="8"/>
  <c r="K38" i="8"/>
  <c r="AN57" i="44"/>
  <c r="K57" i="44"/>
  <c r="T40" i="14"/>
  <c r="W39" i="14"/>
  <c r="T39" i="5"/>
  <c r="T39" i="14"/>
  <c r="T40" i="8"/>
  <c r="Q40" i="7"/>
  <c r="AN39" i="44"/>
  <c r="Q40" i="5"/>
  <c r="K40" i="8"/>
  <c r="W41" i="7"/>
  <c r="AP15" i="7"/>
  <c r="X6" i="35"/>
  <c r="I18" i="26"/>
  <c r="BB23" i="9"/>
  <c r="AU22" i="12"/>
  <c r="AN17" i="12"/>
  <c r="AU22" i="9"/>
  <c r="AN18" i="9"/>
  <c r="AN23" i="9"/>
  <c r="BB18" i="9"/>
  <c r="BB18" i="12"/>
  <c r="AU18" i="9"/>
  <c r="BB23" i="12"/>
  <c r="AU18" i="12"/>
  <c r="BB23" i="11"/>
  <c r="BB22" i="9"/>
  <c r="AU23" i="12"/>
  <c r="AN18" i="12"/>
  <c r="AU23" i="11"/>
  <c r="AU23" i="9"/>
  <c r="AN22" i="11"/>
  <c r="AN18" i="11"/>
  <c r="AN23" i="10"/>
  <c r="BB18" i="10"/>
  <c r="AU17" i="10"/>
  <c r="AU22" i="29"/>
  <c r="AU18" i="29"/>
  <c r="AN17" i="29"/>
  <c r="BB17" i="9"/>
  <c r="AN22" i="12"/>
  <c r="AN23" i="11"/>
  <c r="BB18" i="11"/>
  <c r="AN17" i="11"/>
  <c r="BB17" i="10"/>
  <c r="AN22" i="29"/>
  <c r="AU17" i="9"/>
  <c r="AU18" i="11"/>
  <c r="BB23" i="10"/>
  <c r="AN17" i="10"/>
  <c r="AN22" i="9"/>
  <c r="BB17" i="12"/>
  <c r="BB22" i="11"/>
  <c r="AU23" i="10"/>
  <c r="AU18" i="10"/>
  <c r="BB22" i="12"/>
  <c r="AN18" i="10"/>
  <c r="AU17" i="12"/>
  <c r="AU22" i="11"/>
  <c r="AU17" i="11"/>
  <c r="AN22" i="10"/>
  <c r="BB17" i="29"/>
  <c r="AU23" i="16"/>
  <c r="BB17" i="16"/>
  <c r="BB22" i="29"/>
  <c r="AU17" i="29"/>
  <c r="AU22" i="10"/>
  <c r="AN23" i="29"/>
  <c r="BB23" i="16"/>
  <c r="AN23" i="12"/>
  <c r="AU23" i="29"/>
  <c r="BB22" i="16"/>
  <c r="AU22" i="16"/>
  <c r="AN22" i="16"/>
  <c r="AU17" i="16"/>
  <c r="AU23" i="5"/>
  <c r="BB23" i="29"/>
  <c r="AN23" i="5"/>
  <c r="BB18" i="5"/>
  <c r="AN17" i="5"/>
  <c r="AN22" i="14"/>
  <c r="BB17" i="11"/>
  <c r="AN23" i="16"/>
  <c r="BB18" i="29"/>
  <c r="AN17" i="16"/>
  <c r="BB17" i="5"/>
  <c r="BB22" i="14"/>
  <c r="AN18" i="29"/>
  <c r="BB23" i="5"/>
  <c r="AU18" i="5"/>
  <c r="AU22" i="5"/>
  <c r="AN23" i="14"/>
  <c r="AN18" i="14"/>
  <c r="BB23" i="8"/>
  <c r="AN22" i="5"/>
  <c r="AU17" i="5"/>
  <c r="AU23" i="8"/>
  <c r="AU22" i="14"/>
  <c r="BB22" i="10"/>
  <c r="BB17" i="14"/>
  <c r="BB18" i="14"/>
  <c r="AN23" i="7"/>
  <c r="BB23" i="14"/>
  <c r="AU17" i="14"/>
  <c r="AU17" i="8"/>
  <c r="BB22" i="7"/>
  <c r="BB18" i="7"/>
  <c r="AU17" i="7"/>
  <c r="BB22" i="6"/>
  <c r="AU18" i="6"/>
  <c r="AP15" i="2"/>
  <c r="BB17" i="2"/>
  <c r="AU23" i="2"/>
  <c r="K38" i="2"/>
  <c r="K39" i="2"/>
  <c r="K41" i="2"/>
  <c r="T39" i="6"/>
  <c r="K41" i="6"/>
  <c r="T42" i="6"/>
  <c r="AN22" i="7"/>
  <c r="AU22" i="8"/>
  <c r="AN18" i="16"/>
  <c r="BX38" i="15"/>
  <c r="CC37" i="15"/>
  <c r="CK37" i="5"/>
  <c r="CD38" i="5"/>
  <c r="BX132" i="16"/>
  <c r="CC131" i="16"/>
  <c r="BX134" i="16"/>
  <c r="BX76" i="44"/>
  <c r="CC75" i="44"/>
  <c r="CC75" i="10"/>
  <c r="BX76" i="10"/>
  <c r="P18" i="14"/>
  <c r="P17" i="14"/>
  <c r="Q17" i="27" s="1"/>
  <c r="J38" i="35" s="1"/>
  <c r="U18" i="14"/>
  <c r="K17" i="14"/>
  <c r="K18" i="14"/>
  <c r="BX57" i="10"/>
  <c r="CC56" i="10"/>
  <c r="BX131" i="5"/>
  <c r="CC130" i="5"/>
  <c r="CC172" i="16"/>
  <c r="BX173" i="16"/>
  <c r="AU18" i="39"/>
  <c r="AN17" i="39"/>
  <c r="BB22" i="39"/>
  <c r="AN18" i="39"/>
  <c r="AN23" i="39"/>
  <c r="BB18" i="39"/>
  <c r="AU17" i="39"/>
  <c r="AU22" i="39"/>
  <c r="AU23" i="39"/>
  <c r="K18" i="39"/>
  <c r="BB17" i="39"/>
  <c r="AN22" i="39"/>
  <c r="BB23" i="39"/>
  <c r="P18" i="39"/>
  <c r="U18" i="39"/>
  <c r="U17" i="39"/>
  <c r="M20" i="39"/>
  <c r="K17" i="39"/>
  <c r="M20" i="10"/>
  <c r="K18" i="10"/>
  <c r="K17" i="10"/>
  <c r="P17" i="10"/>
  <c r="P18" i="10"/>
  <c r="U18" i="10"/>
  <c r="M20" i="5"/>
  <c r="U16" i="27" s="1"/>
  <c r="S7" i="34" s="1"/>
  <c r="U17" i="10"/>
  <c r="S9" i="34"/>
  <c r="CC56" i="9"/>
  <c r="BX57" i="9"/>
  <c r="BX94" i="44"/>
  <c r="CC93" i="44"/>
  <c r="M20" i="16"/>
  <c r="U18" i="27" s="1"/>
  <c r="S10" i="34" s="1"/>
  <c r="K18" i="16"/>
  <c r="BX57" i="44"/>
  <c r="U18" i="29"/>
  <c r="P17" i="29"/>
  <c r="Q19" i="27" s="1"/>
  <c r="J42" i="35" s="1"/>
  <c r="P18" i="29"/>
  <c r="K17" i="29"/>
  <c r="K18" i="29"/>
  <c r="M20" i="29"/>
  <c r="U19" i="27" s="1"/>
  <c r="S11" i="34" s="1"/>
  <c r="CC74" i="39"/>
  <c r="CA38" i="9"/>
  <c r="BZ38" i="9"/>
  <c r="BY38" i="9"/>
  <c r="U18" i="44"/>
  <c r="U17" i="44"/>
  <c r="P17" i="44"/>
  <c r="M20" i="44"/>
  <c r="K18" i="9"/>
  <c r="CC132" i="39"/>
  <c r="BX94" i="11"/>
  <c r="CC93" i="11"/>
  <c r="P18" i="9"/>
  <c r="P17" i="9"/>
  <c r="U17" i="9"/>
  <c r="K17" i="9"/>
  <c r="U18" i="9"/>
  <c r="BX95" i="11"/>
  <c r="BX76" i="11"/>
  <c r="CC37" i="9"/>
  <c r="BY38" i="11"/>
  <c r="CA38" i="11"/>
  <c r="BY75" i="11"/>
  <c r="CA75" i="11"/>
  <c r="CC93" i="39"/>
  <c r="CC113" i="39"/>
  <c r="CC38" i="39"/>
  <c r="CB38" i="39"/>
  <c r="CC55" i="39"/>
  <c r="I9" i="27"/>
  <c r="B10" i="34" s="1"/>
  <c r="E9" i="27"/>
  <c r="U17" i="12"/>
  <c r="U18" i="12"/>
  <c r="CC36" i="12"/>
  <c r="BX36" i="12" s="1"/>
  <c r="CA36" i="12" s="1"/>
  <c r="M20" i="12"/>
  <c r="CA37" i="12"/>
  <c r="BZ37" i="12"/>
  <c r="BY37" i="12"/>
  <c r="BX38" i="12"/>
  <c r="K17" i="12"/>
  <c r="K18" i="12"/>
  <c r="P17" i="12"/>
  <c r="P18" i="12"/>
  <c r="W17" i="15"/>
  <c r="BM14" i="16"/>
  <c r="BN6" i="16" s="1"/>
  <c r="BN14" i="16" s="1"/>
  <c r="BO6" i="16" s="1"/>
  <c r="V49" i="35"/>
  <c r="I27" i="35"/>
  <c r="X23" i="35"/>
  <c r="X22" i="35"/>
  <c r="H27" i="35"/>
  <c r="X21" i="35"/>
  <c r="X24" i="35"/>
  <c r="CF114" i="5" l="1"/>
  <c r="CG114" i="5"/>
  <c r="CE114" i="5"/>
  <c r="BH38" i="6"/>
  <c r="CE38" i="5"/>
  <c r="CG38" i="5"/>
  <c r="CI38" i="5"/>
  <c r="CF38" i="5"/>
  <c r="CH38" i="5"/>
  <c r="CI114" i="5"/>
  <c r="CH114" i="5"/>
  <c r="CA57" i="5"/>
  <c r="BZ57" i="5"/>
  <c r="BH39" i="5"/>
  <c r="U10" i="35"/>
  <c r="J43" i="35"/>
  <c r="Z38" i="6"/>
  <c r="Z44" i="5"/>
  <c r="N44" i="5"/>
  <c r="T43" i="35"/>
  <c r="T50" i="35" s="1"/>
  <c r="S43" i="35"/>
  <c r="BH38" i="7"/>
  <c r="R43" i="35"/>
  <c r="Z38" i="7"/>
  <c r="N40" i="2"/>
  <c r="BZ113" i="6"/>
  <c r="CA113" i="6"/>
  <c r="BY113" i="6"/>
  <c r="BY95" i="6"/>
  <c r="BY38" i="15"/>
  <c r="BZ38" i="15"/>
  <c r="CA38" i="15"/>
  <c r="BZ57" i="6"/>
  <c r="BY57" i="6"/>
  <c r="CA57" i="6"/>
  <c r="BY76" i="6"/>
  <c r="CA76" i="6"/>
  <c r="BZ76" i="6"/>
  <c r="Q43" i="35"/>
  <c r="Q50" i="35" s="1"/>
  <c r="BZ38" i="6"/>
  <c r="CA38" i="6"/>
  <c r="BH43" i="5"/>
  <c r="BH42" i="6"/>
  <c r="BH39" i="14"/>
  <c r="P43" i="35"/>
  <c r="P50" i="35" s="1"/>
  <c r="BH18" i="15"/>
  <c r="BH40" i="16"/>
  <c r="BH38" i="8"/>
  <c r="E29" i="34" s="1"/>
  <c r="BH38" i="14"/>
  <c r="BH42" i="7"/>
  <c r="BH17" i="15"/>
  <c r="BH41" i="6"/>
  <c r="BH41" i="5"/>
  <c r="BH41" i="16"/>
  <c r="O43" i="35"/>
  <c r="O50" i="35" s="1"/>
  <c r="BH39" i="6"/>
  <c r="BH40" i="14"/>
  <c r="BH39" i="7"/>
  <c r="N43" i="35"/>
  <c r="Z40" i="2"/>
  <c r="N42" i="7"/>
  <c r="Z42" i="7"/>
  <c r="K38" i="7"/>
  <c r="M43" i="35"/>
  <c r="M50" i="35" s="1"/>
  <c r="BY95" i="7"/>
  <c r="BZ95" i="7"/>
  <c r="CA38" i="14"/>
  <c r="BM14" i="7"/>
  <c r="BN6" i="7" s="1"/>
  <c r="BN14" i="7" s="1"/>
  <c r="BO6" i="7" s="1"/>
  <c r="BO14" i="7" s="1"/>
  <c r="BP6" i="7" s="1"/>
  <c r="BP14" i="7" s="1"/>
  <c r="BQ6" i="7" s="1"/>
  <c r="BQ14" i="7" s="1"/>
  <c r="BR6" i="7" s="1"/>
  <c r="BR14" i="7" s="1"/>
  <c r="BS6" i="7" s="1"/>
  <c r="BS14" i="7" s="1"/>
  <c r="BT6" i="7" s="1"/>
  <c r="BT14" i="7" s="1"/>
  <c r="BU6" i="7" s="1"/>
  <c r="BU14" i="7" s="1"/>
  <c r="BV6" i="7" s="1"/>
  <c r="BV14" i="7" s="1"/>
  <c r="G16" i="7"/>
  <c r="O28" i="27"/>
  <c r="F11" i="35"/>
  <c r="I28" i="27" a="1"/>
  <c r="I28" i="27" s="1"/>
  <c r="G28" i="27" a="1"/>
  <c r="G28" i="27" s="1"/>
  <c r="F28" i="27" a="1"/>
  <c r="F28" i="27" s="1"/>
  <c r="E28" i="27" a="1"/>
  <c r="E28" i="27" s="1"/>
  <c r="E29" i="27" a="1"/>
  <c r="E29" i="27" s="1"/>
  <c r="F29" i="27" a="1"/>
  <c r="F29" i="27" s="1"/>
  <c r="G29" i="27" a="1"/>
  <c r="G29" i="27" s="1"/>
  <c r="J29" i="27" a="1"/>
  <c r="J29" i="27" s="1"/>
  <c r="J28" i="27" a="1"/>
  <c r="J28" i="27" s="1"/>
  <c r="I29" i="27" a="1"/>
  <c r="I29" i="27" s="1"/>
  <c r="K29" i="27" a="1"/>
  <c r="K29" i="27" s="1"/>
  <c r="K28" i="27" a="1"/>
  <c r="K28" i="27" s="1"/>
  <c r="L43" i="35"/>
  <c r="BH42" i="16"/>
  <c r="O26" i="27"/>
  <c r="O29" i="27"/>
  <c r="O27" i="27"/>
  <c r="O24" i="27"/>
  <c r="O23" i="27"/>
  <c r="N20" i="27"/>
  <c r="N31" i="27" s="1"/>
  <c r="O22" i="27"/>
  <c r="E27" i="27" a="1"/>
  <c r="E27" i="27" s="1"/>
  <c r="E30" i="27" a="1"/>
  <c r="E30" i="27" s="1"/>
  <c r="I30" i="27" a="1"/>
  <c r="I30" i="27" s="1"/>
  <c r="K30" i="27" a="1"/>
  <c r="K30" i="27" s="1"/>
  <c r="F30" i="27" a="1"/>
  <c r="F30" i="27" s="1"/>
  <c r="G30" i="27" a="1"/>
  <c r="G30" i="27" s="1"/>
  <c r="J30" i="27" a="1"/>
  <c r="J30" i="27" s="1"/>
  <c r="O25" i="27"/>
  <c r="F26" i="35"/>
  <c r="O30" i="27"/>
  <c r="K25" i="27" a="1"/>
  <c r="K25" i="27" s="1"/>
  <c r="K26" i="27" a="1"/>
  <c r="K26" i="27" s="1"/>
  <c r="J25" i="27" a="1"/>
  <c r="J25" i="27" s="1"/>
  <c r="J26" i="27" a="1"/>
  <c r="J26" i="27" s="1"/>
  <c r="I25" i="27" a="1"/>
  <c r="I25" i="27" s="1"/>
  <c r="I26" i="27" a="1"/>
  <c r="I26" i="27" s="1"/>
  <c r="G25" i="27" a="1"/>
  <c r="G25" i="27" s="1"/>
  <c r="G26" i="27" a="1"/>
  <c r="G26" i="27" s="1"/>
  <c r="F25" i="27" a="1"/>
  <c r="F25" i="27" s="1"/>
  <c r="F26" i="27" a="1"/>
  <c r="F26" i="27" s="1"/>
  <c r="H26" i="27" a="1"/>
  <c r="H26" i="27" s="1"/>
  <c r="H25" i="27" a="1"/>
  <c r="H25" i="27" s="1"/>
  <c r="E25" i="27" a="1"/>
  <c r="E25" i="27" s="1"/>
  <c r="E26" i="27" a="1"/>
  <c r="E26" i="27" s="1"/>
  <c r="Z42" i="16"/>
  <c r="Z41" i="16"/>
  <c r="N41" i="16"/>
  <c r="N39" i="16"/>
  <c r="N40" i="16"/>
  <c r="N42" i="16"/>
  <c r="Z40" i="16"/>
  <c r="N38" i="16"/>
  <c r="Z38" i="16"/>
  <c r="BH14" i="55"/>
  <c r="U12" i="35"/>
  <c r="V12" i="35" s="1"/>
  <c r="U15" i="35"/>
  <c r="V15" i="35" s="1"/>
  <c r="U13" i="35"/>
  <c r="V13" i="35" s="1"/>
  <c r="I26" i="2"/>
  <c r="I26" i="8"/>
  <c r="I26" i="44"/>
  <c r="I26" i="6"/>
  <c r="I26" i="7"/>
  <c r="Y16" i="27"/>
  <c r="Y20" i="27" s="1"/>
  <c r="M33" i="27" s="1"/>
  <c r="BH11" i="55"/>
  <c r="CC56" i="2"/>
  <c r="BX56" i="2" s="1"/>
  <c r="BY56" i="2" s="1"/>
  <c r="BH15" i="55"/>
  <c r="BH12" i="55"/>
  <c r="R15" i="55"/>
  <c r="AD14" i="55"/>
  <c r="R12" i="55"/>
  <c r="AD11" i="55"/>
  <c r="AD12" i="55"/>
  <c r="AD16" i="55"/>
  <c r="R14" i="55"/>
  <c r="R16" i="55"/>
  <c r="AD13" i="55"/>
  <c r="R11" i="55"/>
  <c r="AD15" i="55"/>
  <c r="R13" i="55"/>
  <c r="BH16" i="55"/>
  <c r="BH13" i="55"/>
  <c r="Z39" i="2"/>
  <c r="BH39" i="2"/>
  <c r="CA192" i="16"/>
  <c r="BY133" i="16"/>
  <c r="BZ57" i="2"/>
  <c r="CA57" i="2"/>
  <c r="V20" i="16"/>
  <c r="G17" i="16" s="1"/>
  <c r="N75" i="44"/>
  <c r="N95" i="44"/>
  <c r="BC95" i="44"/>
  <c r="AQ95" i="44"/>
  <c r="Z95" i="44"/>
  <c r="Z75" i="44"/>
  <c r="I26" i="14"/>
  <c r="BH40" i="10"/>
  <c r="B22" i="51"/>
  <c r="B22" i="20"/>
  <c r="B22" i="52"/>
  <c r="K40" i="7"/>
  <c r="BH38" i="12"/>
  <c r="BH39" i="10"/>
  <c r="O15" i="27"/>
  <c r="X15" i="27"/>
  <c r="Z15" i="27" s="1"/>
  <c r="U35" i="35"/>
  <c r="V35" i="35" s="1"/>
  <c r="U37" i="35"/>
  <c r="V37" i="35" s="1"/>
  <c r="U38" i="35"/>
  <c r="V38" i="35" s="1"/>
  <c r="U34" i="35"/>
  <c r="V34" i="35" s="1"/>
  <c r="U42" i="35"/>
  <c r="V42" i="35" s="1"/>
  <c r="U33" i="35"/>
  <c r="V33" i="35" s="1"/>
  <c r="BH41" i="10"/>
  <c r="U39" i="35"/>
  <c r="V39" i="35" s="1"/>
  <c r="U40" i="35"/>
  <c r="V40" i="35" s="1"/>
  <c r="U41" i="35"/>
  <c r="V41" i="35" s="1"/>
  <c r="BS6" i="39"/>
  <c r="BS14" i="39" s="1"/>
  <c r="U32" i="35"/>
  <c r="V32" i="35" s="1"/>
  <c r="BN6" i="12"/>
  <c r="BN14" i="12" s="1"/>
  <c r="BO6" i="12" s="1"/>
  <c r="BO14" i="12" s="1"/>
  <c r="F14" i="35"/>
  <c r="E15" i="27" a="1"/>
  <c r="E15" i="27" s="1"/>
  <c r="K15" i="27" a="1"/>
  <c r="K15" i="27" s="1"/>
  <c r="F15" i="27" a="1"/>
  <c r="F15" i="27" s="1"/>
  <c r="J15" i="27" a="1"/>
  <c r="J15" i="27" s="1"/>
  <c r="G15" i="27" a="1"/>
  <c r="G15" i="27" s="1"/>
  <c r="I15" i="27" a="1"/>
  <c r="I15" i="27" s="1"/>
  <c r="BH43" i="11"/>
  <c r="N42" i="11"/>
  <c r="N43" i="11"/>
  <c r="Z42" i="11"/>
  <c r="Z43" i="11"/>
  <c r="BH42" i="11"/>
  <c r="BH40" i="44"/>
  <c r="BH38" i="44"/>
  <c r="BH39" i="44"/>
  <c r="BH38" i="9"/>
  <c r="BH39" i="9"/>
  <c r="J27" i="27" a="1"/>
  <c r="J27" i="27" s="1"/>
  <c r="K22" i="27" a="1"/>
  <c r="K22" i="27" s="1"/>
  <c r="J18" i="27" a="1"/>
  <c r="J18" i="27" s="1"/>
  <c r="K17" i="27" a="1"/>
  <c r="K17" i="27" s="1"/>
  <c r="J12" i="27" a="1"/>
  <c r="J12" i="27" s="1"/>
  <c r="I27" i="27" a="1"/>
  <c r="I27" i="27" s="1"/>
  <c r="J22" i="27" a="1"/>
  <c r="J22" i="27" s="1"/>
  <c r="I18" i="27" a="1"/>
  <c r="I18" i="27" s="1"/>
  <c r="J17" i="27" a="1"/>
  <c r="J17" i="27" s="1"/>
  <c r="K14" i="27" a="1"/>
  <c r="K14" i="27" s="1"/>
  <c r="I12" i="27" a="1"/>
  <c r="I12" i="27" s="1"/>
  <c r="I13" i="27" a="1"/>
  <c r="I13" i="27" s="1"/>
  <c r="K24" i="27" a="1"/>
  <c r="K24" i="27" s="1"/>
  <c r="I22" i="27" a="1"/>
  <c r="I22" i="27" s="1"/>
  <c r="I17" i="27" a="1"/>
  <c r="I17" i="27" s="1"/>
  <c r="J14" i="27" a="1"/>
  <c r="J14" i="27" s="1"/>
  <c r="J24" i="27" a="1"/>
  <c r="J24" i="27" s="1"/>
  <c r="K16" i="27" a="1"/>
  <c r="K16" i="27" s="1"/>
  <c r="I14" i="27" a="1"/>
  <c r="I14" i="27" s="1"/>
  <c r="J11" i="27" a="1"/>
  <c r="J11" i="27" s="1"/>
  <c r="I24" i="27" a="1"/>
  <c r="I24" i="27" s="1"/>
  <c r="K19" i="27" a="1"/>
  <c r="K19" i="27" s="1"/>
  <c r="J16" i="27" a="1"/>
  <c r="J16" i="27" s="1"/>
  <c r="K13" i="27" a="1"/>
  <c r="K13" i="27" s="1"/>
  <c r="K23" i="27" a="1"/>
  <c r="K23" i="27" s="1"/>
  <c r="J19" i="27" a="1"/>
  <c r="J19" i="27" s="1"/>
  <c r="I16" i="27" a="1"/>
  <c r="I16" i="27" s="1"/>
  <c r="J13" i="27" a="1"/>
  <c r="J13" i="27" s="1"/>
  <c r="K11" i="27" a="1"/>
  <c r="K11" i="27" s="1"/>
  <c r="J23" i="27" a="1"/>
  <c r="J23" i="27" s="1"/>
  <c r="I19" i="27" a="1"/>
  <c r="I19" i="27" s="1"/>
  <c r="I11" i="27" a="1"/>
  <c r="I11" i="27" s="1"/>
  <c r="K27" i="27" a="1"/>
  <c r="K27" i="27" s="1"/>
  <c r="I23" i="27" a="1"/>
  <c r="I23" i="27" s="1"/>
  <c r="K18" i="27" a="1"/>
  <c r="K18" i="27" s="1"/>
  <c r="K12" i="27" a="1"/>
  <c r="K12" i="27" s="1"/>
  <c r="Z38" i="12"/>
  <c r="N41" i="10"/>
  <c r="Z41" i="10"/>
  <c r="BH38" i="2"/>
  <c r="U20" i="27"/>
  <c r="U31" i="27" s="1"/>
  <c r="F10" i="35"/>
  <c r="I26" i="39"/>
  <c r="I26" i="11"/>
  <c r="CC74" i="14"/>
  <c r="CC73" i="14" s="1"/>
  <c r="I26" i="9"/>
  <c r="BH41" i="44"/>
  <c r="BH38" i="10"/>
  <c r="I26" i="10"/>
  <c r="AN24" i="39"/>
  <c r="BO14" i="16"/>
  <c r="BP6" i="16" s="1"/>
  <c r="BZ76" i="15"/>
  <c r="F8" i="26"/>
  <c r="O33" i="34"/>
  <c r="AN19" i="29"/>
  <c r="Z38" i="2"/>
  <c r="BY95" i="44"/>
  <c r="CA95" i="44"/>
  <c r="BZ133" i="16"/>
  <c r="AN24" i="5"/>
  <c r="BX210" i="16"/>
  <c r="BY210" i="16" s="1"/>
  <c r="BY192" i="16"/>
  <c r="BZ192" i="16"/>
  <c r="CB94" i="39"/>
  <c r="CB93" i="39" s="1"/>
  <c r="BX93" i="39" s="1"/>
  <c r="BY38" i="10"/>
  <c r="BZ38" i="10"/>
  <c r="CB56" i="39"/>
  <c r="BX56" i="39" s="1"/>
  <c r="BY56" i="39" s="1"/>
  <c r="Z41" i="7"/>
  <c r="N38" i="12"/>
  <c r="Z17" i="15"/>
  <c r="O38" i="34"/>
  <c r="CA133" i="16"/>
  <c r="CC74" i="15"/>
  <c r="BX74" i="15" s="1"/>
  <c r="Z39" i="47"/>
  <c r="AN24" i="6"/>
  <c r="AU19" i="7"/>
  <c r="AU19" i="14"/>
  <c r="BB24" i="6"/>
  <c r="BB24" i="2"/>
  <c r="AN19" i="6"/>
  <c r="BB19" i="16"/>
  <c r="CA95" i="7"/>
  <c r="S13" i="27"/>
  <c r="O36" i="34"/>
  <c r="O37" i="34"/>
  <c r="S16" i="27"/>
  <c r="BB24" i="8"/>
  <c r="N42" i="5"/>
  <c r="AU24" i="7"/>
  <c r="AN19" i="7"/>
  <c r="BX53" i="44"/>
  <c r="BZ53" i="44" s="1"/>
  <c r="CB75" i="39"/>
  <c r="BX75" i="39" s="1"/>
  <c r="BY75" i="39" s="1"/>
  <c r="BY56" i="44"/>
  <c r="BZ56" i="44"/>
  <c r="N39" i="39"/>
  <c r="N42" i="6"/>
  <c r="N39" i="44"/>
  <c r="N40" i="47"/>
  <c r="BX74" i="11"/>
  <c r="BY74" i="11" s="1"/>
  <c r="BX94" i="15"/>
  <c r="Z39" i="5"/>
  <c r="N38" i="7"/>
  <c r="N39" i="8"/>
  <c r="Z38" i="10"/>
  <c r="N41" i="5"/>
  <c r="Z40" i="8"/>
  <c r="Z39" i="9"/>
  <c r="N38" i="2"/>
  <c r="Z38" i="9"/>
  <c r="BX73" i="11"/>
  <c r="CA73" i="11" s="1"/>
  <c r="Z40" i="39"/>
  <c r="N40" i="6"/>
  <c r="N39" i="6"/>
  <c r="N39" i="9"/>
  <c r="V20" i="5"/>
  <c r="G17" i="5" s="1"/>
  <c r="Z39" i="39"/>
  <c r="Z41" i="39"/>
  <c r="AN19" i="14"/>
  <c r="AN19" i="5"/>
  <c r="N38" i="14"/>
  <c r="Z57" i="44"/>
  <c r="Z40" i="48"/>
  <c r="N41" i="6"/>
  <c r="CC74" i="7"/>
  <c r="CC73" i="7" s="1"/>
  <c r="BC39" i="44"/>
  <c r="Z38" i="39"/>
  <c r="N40" i="48"/>
  <c r="N38" i="6"/>
  <c r="N38" i="8"/>
  <c r="N39" i="5"/>
  <c r="N38" i="39"/>
  <c r="N38" i="48"/>
  <c r="AQ39" i="44"/>
  <c r="N43" i="39"/>
  <c r="Z39" i="48"/>
  <c r="N40" i="14"/>
  <c r="AQ57" i="44"/>
  <c r="N41" i="11"/>
  <c r="BX94" i="7"/>
  <c r="CC36" i="11"/>
  <c r="CC35" i="11" s="1"/>
  <c r="Z39" i="7"/>
  <c r="Z39" i="10"/>
  <c r="Z42" i="39"/>
  <c r="Z38" i="8"/>
  <c r="Z40" i="6"/>
  <c r="N39" i="7"/>
  <c r="N40" i="5"/>
  <c r="N39" i="10"/>
  <c r="N39" i="11"/>
  <c r="N40" i="10"/>
  <c r="N40" i="39"/>
  <c r="N39" i="48"/>
  <c r="N41" i="7"/>
  <c r="N40" i="8"/>
  <c r="Z39" i="8"/>
  <c r="Z39" i="14"/>
  <c r="N43" i="5"/>
  <c r="Z43" i="5"/>
  <c r="Z38" i="11"/>
  <c r="Z39" i="11"/>
  <c r="N41" i="39"/>
  <c r="Z40" i="47"/>
  <c r="Z41" i="2"/>
  <c r="N40" i="7"/>
  <c r="N57" i="44"/>
  <c r="N17" i="15"/>
  <c r="Z18" i="15"/>
  <c r="N40" i="11"/>
  <c r="Z41" i="11"/>
  <c r="N38" i="9"/>
  <c r="N38" i="47"/>
  <c r="AU24" i="29"/>
  <c r="CC208" i="16"/>
  <c r="BX208" i="16" s="1"/>
  <c r="BY208" i="16" s="1"/>
  <c r="CA133" i="5"/>
  <c r="BZ133" i="5"/>
  <c r="CC55" i="15"/>
  <c r="CC54" i="15" s="1"/>
  <c r="CC55" i="14"/>
  <c r="CC54" i="14" s="1"/>
  <c r="Z41" i="6"/>
  <c r="N39" i="14"/>
  <c r="Z40" i="14"/>
  <c r="N18" i="15"/>
  <c r="N38" i="5"/>
  <c r="Z41" i="5"/>
  <c r="BC57" i="44"/>
  <c r="N38" i="10"/>
  <c r="N38" i="11"/>
  <c r="N42" i="39"/>
  <c r="Z38" i="48"/>
  <c r="Z38" i="47"/>
  <c r="AU19" i="8"/>
  <c r="V20" i="7"/>
  <c r="G17" i="7" s="1"/>
  <c r="Z39" i="6"/>
  <c r="Z38" i="14"/>
  <c r="Z42" i="5"/>
  <c r="Z38" i="5"/>
  <c r="N20" i="15"/>
  <c r="Z20" i="15"/>
  <c r="Z39" i="44"/>
  <c r="Z40" i="10"/>
  <c r="Z40" i="11"/>
  <c r="Z43" i="39"/>
  <c r="N39" i="47"/>
  <c r="BB19" i="14"/>
  <c r="BB19" i="9"/>
  <c r="BY94" i="2"/>
  <c r="BZ94" i="2"/>
  <c r="V20" i="44"/>
  <c r="G17" i="44" s="1"/>
  <c r="G25" i="44" s="1"/>
  <c r="AU24" i="14"/>
  <c r="N39" i="2"/>
  <c r="Z42" i="6"/>
  <c r="N41" i="2"/>
  <c r="CC93" i="2"/>
  <c r="BX93" i="2" s="1"/>
  <c r="BB19" i="39"/>
  <c r="BB24" i="14"/>
  <c r="AN19" i="9"/>
  <c r="BB19" i="11"/>
  <c r="AU19" i="9"/>
  <c r="AU19" i="16"/>
  <c r="AN19" i="10"/>
  <c r="BB24" i="7"/>
  <c r="AN24" i="8"/>
  <c r="AU24" i="39"/>
  <c r="AN24" i="14"/>
  <c r="AU24" i="8"/>
  <c r="BB19" i="44"/>
  <c r="AN19" i="44"/>
  <c r="AU24" i="12"/>
  <c r="BB19" i="12"/>
  <c r="AU19" i="12"/>
  <c r="AU24" i="5"/>
  <c r="BB19" i="5"/>
  <c r="AU19" i="5"/>
  <c r="BB24" i="10"/>
  <c r="BB19" i="10"/>
  <c r="BB24" i="39"/>
  <c r="BB24" i="9"/>
  <c r="AU19" i="11"/>
  <c r="AN19" i="11"/>
  <c r="AU24" i="11"/>
  <c r="BB24" i="29"/>
  <c r="AN24" i="29"/>
  <c r="BB19" i="29"/>
  <c r="AU24" i="16"/>
  <c r="AN24" i="16"/>
  <c r="AN19" i="8"/>
  <c r="BB19" i="8"/>
  <c r="AU19" i="6"/>
  <c r="BB19" i="6"/>
  <c r="AN24" i="2"/>
  <c r="AN19" i="39"/>
  <c r="BY134" i="5"/>
  <c r="CA134" i="5"/>
  <c r="BZ134" i="5"/>
  <c r="BY76" i="5"/>
  <c r="BZ76" i="5"/>
  <c r="BY77" i="8"/>
  <c r="BZ77" i="8"/>
  <c r="BZ57" i="15"/>
  <c r="CA57" i="15"/>
  <c r="BY57" i="15"/>
  <c r="BB19" i="2"/>
  <c r="CC75" i="8"/>
  <c r="BX76" i="8"/>
  <c r="CA76" i="8" s="1"/>
  <c r="CK112" i="5"/>
  <c r="CD113" i="5"/>
  <c r="AU24" i="6"/>
  <c r="BX75" i="5"/>
  <c r="CC74" i="5"/>
  <c r="AU19" i="2"/>
  <c r="V20" i="8"/>
  <c r="G17" i="8" s="1"/>
  <c r="G25" i="8" s="1"/>
  <c r="AN19" i="16"/>
  <c r="V20" i="2"/>
  <c r="G17" i="2" s="1"/>
  <c r="G19" i="2" s="1"/>
  <c r="M11" i="27" s="1"/>
  <c r="BZ132" i="5"/>
  <c r="BY132" i="5"/>
  <c r="R17" i="27"/>
  <c r="J16" i="35" s="1"/>
  <c r="V20" i="14"/>
  <c r="G17" i="14" s="1"/>
  <c r="G25" i="14" s="1"/>
  <c r="AN24" i="12"/>
  <c r="CC36" i="10"/>
  <c r="CC35" i="10" s="1"/>
  <c r="BX37" i="44"/>
  <c r="CC36" i="44"/>
  <c r="CA57" i="14"/>
  <c r="BZ57" i="14"/>
  <c r="BB24" i="5"/>
  <c r="AN19" i="2"/>
  <c r="BZ55" i="44"/>
  <c r="CA55" i="44"/>
  <c r="BY55" i="44"/>
  <c r="BH39" i="11"/>
  <c r="BZ38" i="44"/>
  <c r="BX54" i="44"/>
  <c r="BY54" i="44" s="1"/>
  <c r="AU19" i="39"/>
  <c r="AN24" i="7"/>
  <c r="BB19" i="7"/>
  <c r="AU24" i="10"/>
  <c r="AN24" i="10"/>
  <c r="BB24" i="44"/>
  <c r="BB24" i="11"/>
  <c r="AU24" i="9"/>
  <c r="BH41" i="11"/>
  <c r="V20" i="11"/>
  <c r="G17" i="11" s="1"/>
  <c r="G19" i="11" s="1"/>
  <c r="CC71" i="11"/>
  <c r="BX72" i="11"/>
  <c r="CA57" i="11"/>
  <c r="BZ57" i="11"/>
  <c r="BY57" i="11"/>
  <c r="BB24" i="12"/>
  <c r="AN24" i="9"/>
  <c r="BY38" i="44"/>
  <c r="AU24" i="2"/>
  <c r="AU24" i="44"/>
  <c r="BB24" i="16"/>
  <c r="AU19" i="29"/>
  <c r="AU19" i="44"/>
  <c r="AU19" i="10"/>
  <c r="AN24" i="44"/>
  <c r="AN24" i="11"/>
  <c r="AN19" i="12"/>
  <c r="BX191" i="16"/>
  <c r="CC190" i="16"/>
  <c r="CC55" i="11"/>
  <c r="BX56" i="11"/>
  <c r="BY57" i="44"/>
  <c r="CA57" i="44"/>
  <c r="BZ57" i="44"/>
  <c r="BZ57" i="9"/>
  <c r="BY57" i="9"/>
  <c r="CA57" i="9"/>
  <c r="BY57" i="10"/>
  <c r="BZ57" i="10"/>
  <c r="CA57" i="10"/>
  <c r="CA76" i="10"/>
  <c r="BY76" i="10"/>
  <c r="BZ76" i="10"/>
  <c r="O30" i="34"/>
  <c r="BX93" i="7"/>
  <c r="BZ93" i="7" s="1"/>
  <c r="CC92" i="7"/>
  <c r="BZ95" i="5"/>
  <c r="CA95" i="5"/>
  <c r="BY95" i="5"/>
  <c r="BX36" i="14"/>
  <c r="CC35" i="14"/>
  <c r="BY95" i="39"/>
  <c r="CA95" i="39"/>
  <c r="CC37" i="39"/>
  <c r="BX38" i="39"/>
  <c r="BZ38" i="39" s="1"/>
  <c r="BY75" i="15"/>
  <c r="BZ75" i="15"/>
  <c r="CA75" i="15"/>
  <c r="BX52" i="44"/>
  <c r="CC51" i="44"/>
  <c r="BX130" i="5"/>
  <c r="CC129" i="5"/>
  <c r="BX93" i="15"/>
  <c r="BY93" i="15" s="1"/>
  <c r="CC92" i="15"/>
  <c r="CA37" i="10"/>
  <c r="BY37" i="10"/>
  <c r="BZ37" i="10"/>
  <c r="BY57" i="5"/>
  <c r="BY56" i="14"/>
  <c r="CA56" i="14"/>
  <c r="BZ56" i="14"/>
  <c r="BX56" i="6"/>
  <c r="CC55" i="6"/>
  <c r="E13" i="27" a="1"/>
  <c r="E13" i="27" s="1"/>
  <c r="E11" i="27" a="1"/>
  <c r="E11" i="27" s="1"/>
  <c r="F13" i="27" a="1"/>
  <c r="F13" i="27" s="1"/>
  <c r="E19" i="27" a="1"/>
  <c r="E19" i="27" s="1"/>
  <c r="E17" i="27" a="1"/>
  <c r="E17" i="27" s="1"/>
  <c r="E12" i="27" a="1"/>
  <c r="E12" i="27" s="1"/>
  <c r="E16" i="27" a="1"/>
  <c r="E16" i="27" s="1"/>
  <c r="F14" i="27" a="1"/>
  <c r="F14" i="27" s="1"/>
  <c r="F19" i="27" a="1"/>
  <c r="F19" i="27" s="1"/>
  <c r="G18" i="27" a="1"/>
  <c r="G18" i="27" s="1"/>
  <c r="G19" i="27" a="1"/>
  <c r="G19" i="27" s="1"/>
  <c r="E18" i="27" a="1"/>
  <c r="E18" i="27" s="1"/>
  <c r="F16" i="27" a="1"/>
  <c r="F16" i="27" s="1"/>
  <c r="F11" i="27" a="1"/>
  <c r="F11" i="27" s="1"/>
  <c r="F18" i="27" a="1"/>
  <c r="F18" i="27" s="1"/>
  <c r="E14" i="27" a="1"/>
  <c r="E14" i="27" s="1"/>
  <c r="F12" i="27" a="1"/>
  <c r="F12" i="27" s="1"/>
  <c r="F17" i="27" a="1"/>
  <c r="F17" i="27" s="1"/>
  <c r="BY76" i="39"/>
  <c r="CA76" i="39"/>
  <c r="CC112" i="39"/>
  <c r="CB113" i="39"/>
  <c r="BX113" i="39" s="1"/>
  <c r="BX93" i="44"/>
  <c r="CC92" i="44"/>
  <c r="V20" i="39"/>
  <c r="G17" i="39" s="1"/>
  <c r="BY131" i="5"/>
  <c r="CA131" i="5"/>
  <c r="BZ131" i="5"/>
  <c r="CA134" i="16"/>
  <c r="BZ134" i="16"/>
  <c r="BY134" i="16"/>
  <c r="BX37" i="15"/>
  <c r="CC36" i="15"/>
  <c r="BH40" i="11"/>
  <c r="CC55" i="5"/>
  <c r="BX56" i="5"/>
  <c r="BZ38" i="14"/>
  <c r="CC36" i="6"/>
  <c r="BX37" i="6"/>
  <c r="BY57" i="39"/>
  <c r="CA57" i="39"/>
  <c r="BY114" i="39"/>
  <c r="CA114" i="39"/>
  <c r="CC73" i="39"/>
  <c r="CA94" i="44"/>
  <c r="BZ94" i="44"/>
  <c r="BY94" i="44"/>
  <c r="BZ209" i="16"/>
  <c r="CA209" i="16"/>
  <c r="CC55" i="10"/>
  <c r="BX56" i="10"/>
  <c r="BX131" i="16"/>
  <c r="CC130" i="16"/>
  <c r="O27" i="34"/>
  <c r="BX94" i="5"/>
  <c r="CC93" i="5"/>
  <c r="CA37" i="14"/>
  <c r="BZ37" i="14"/>
  <c r="BY37" i="14"/>
  <c r="BY38" i="6"/>
  <c r="V20" i="6"/>
  <c r="G17" i="6" s="1"/>
  <c r="G19" i="6" s="1"/>
  <c r="R12" i="27"/>
  <c r="J11" i="35" s="1"/>
  <c r="CC92" i="6"/>
  <c r="BX93" i="6"/>
  <c r="CA93" i="6" s="1"/>
  <c r="O32" i="34"/>
  <c r="BY94" i="11"/>
  <c r="CA94" i="11"/>
  <c r="BZ94" i="11"/>
  <c r="BX56" i="9"/>
  <c r="CC55" i="9"/>
  <c r="BX75" i="10"/>
  <c r="CC74" i="10"/>
  <c r="O31" i="34"/>
  <c r="BZ75" i="14"/>
  <c r="CA75" i="14"/>
  <c r="BY75" i="14"/>
  <c r="BX56" i="7"/>
  <c r="BZ56" i="7" s="1"/>
  <c r="CC55" i="7"/>
  <c r="BZ114" i="39"/>
  <c r="CB132" i="39"/>
  <c r="BX132" i="39" s="1"/>
  <c r="CC131" i="39"/>
  <c r="V20" i="10"/>
  <c r="G17" i="10" s="1"/>
  <c r="G19" i="10" s="1"/>
  <c r="BZ56" i="15"/>
  <c r="CA56" i="15"/>
  <c r="BY56" i="15"/>
  <c r="CC74" i="44"/>
  <c r="BX75" i="44"/>
  <c r="CD37" i="5"/>
  <c r="CK36" i="5"/>
  <c r="O34" i="34"/>
  <c r="BX74" i="6"/>
  <c r="CC73" i="6"/>
  <c r="BX36" i="2"/>
  <c r="BX37" i="9"/>
  <c r="CC36" i="9"/>
  <c r="CC92" i="11"/>
  <c r="BX93" i="11"/>
  <c r="BY132" i="16"/>
  <c r="BZ132" i="16"/>
  <c r="CA132" i="16"/>
  <c r="BZ75" i="7"/>
  <c r="BY75" i="7"/>
  <c r="BY94" i="6"/>
  <c r="BZ94" i="6"/>
  <c r="CA94" i="6"/>
  <c r="BZ95" i="6"/>
  <c r="CC111" i="6"/>
  <c r="BX112" i="6"/>
  <c r="CC54" i="39"/>
  <c r="CC92" i="39"/>
  <c r="CA76" i="11"/>
  <c r="BZ76" i="11"/>
  <c r="BY76" i="11"/>
  <c r="BZ95" i="11"/>
  <c r="CA95" i="11"/>
  <c r="BY95" i="11"/>
  <c r="BY133" i="39"/>
  <c r="CA133" i="39"/>
  <c r="BY37" i="11"/>
  <c r="BZ37" i="11"/>
  <c r="CA37" i="11"/>
  <c r="BY173" i="16"/>
  <c r="BZ173" i="16"/>
  <c r="CA173" i="16"/>
  <c r="BY76" i="44"/>
  <c r="CA76" i="44"/>
  <c r="BZ76" i="44"/>
  <c r="O29" i="34"/>
  <c r="CA38" i="8"/>
  <c r="BZ38" i="8"/>
  <c r="BY38" i="8"/>
  <c r="CC56" i="8"/>
  <c r="BX57" i="8"/>
  <c r="BZ133" i="39"/>
  <c r="BY37" i="2"/>
  <c r="CA37" i="2"/>
  <c r="BZ37" i="2"/>
  <c r="S14" i="27"/>
  <c r="V20" i="9"/>
  <c r="G17" i="9" s="1"/>
  <c r="BZ76" i="39"/>
  <c r="V20" i="29"/>
  <c r="G17" i="29" s="1"/>
  <c r="G19" i="29" s="1"/>
  <c r="M19" i="27" s="1"/>
  <c r="R19" i="27"/>
  <c r="CC171" i="16"/>
  <c r="BX172" i="16"/>
  <c r="BH38" i="11"/>
  <c r="CC36" i="8"/>
  <c r="BX37" i="8"/>
  <c r="BY58" i="8"/>
  <c r="CA58" i="8"/>
  <c r="BZ58" i="8"/>
  <c r="O26" i="34"/>
  <c r="CA38" i="2"/>
  <c r="BZ38" i="2"/>
  <c r="BY38" i="2"/>
  <c r="CC37" i="7"/>
  <c r="BX38" i="7"/>
  <c r="G12" i="27" a="1"/>
  <c r="G12" i="27" s="1"/>
  <c r="G11" i="27" a="1"/>
  <c r="G11" i="27" s="1"/>
  <c r="B9" i="34"/>
  <c r="G14" i="27" a="1"/>
  <c r="G14" i="27" s="1"/>
  <c r="G17" i="27" a="1"/>
  <c r="G17" i="27" s="1"/>
  <c r="G16" i="27" a="1"/>
  <c r="G16" i="27" s="1"/>
  <c r="G13" i="27" a="1"/>
  <c r="G13" i="27" s="1"/>
  <c r="F24" i="35"/>
  <c r="F21" i="35"/>
  <c r="F22" i="35"/>
  <c r="E22" i="27" a="1"/>
  <c r="E22" i="27" s="1"/>
  <c r="G23" i="27" a="1"/>
  <c r="G23" i="27" s="1"/>
  <c r="F24" i="27" a="1"/>
  <c r="F24" i="27" s="1"/>
  <c r="F27" i="27" a="1"/>
  <c r="F27" i="27" s="1"/>
  <c r="E24" i="27" a="1"/>
  <c r="E24" i="27" s="1"/>
  <c r="G27" i="27" a="1"/>
  <c r="G27" i="27" s="1"/>
  <c r="E23" i="27" a="1"/>
  <c r="E23" i="27" s="1"/>
  <c r="F22" i="27" a="1"/>
  <c r="F22" i="27" s="1"/>
  <c r="F23" i="27" a="1"/>
  <c r="F23" i="27" s="1"/>
  <c r="G22" i="27" a="1"/>
  <c r="G22" i="27" s="1"/>
  <c r="G24" i="27" a="1"/>
  <c r="G24" i="27" s="1"/>
  <c r="CC35" i="12"/>
  <c r="BX35" i="12" s="1"/>
  <c r="BZ36" i="12"/>
  <c r="BY36" i="12"/>
  <c r="V20" i="12"/>
  <c r="G17" i="12" s="1"/>
  <c r="CA38" i="12"/>
  <c r="BZ38" i="12"/>
  <c r="BY38" i="12"/>
  <c r="S11" i="27"/>
  <c r="CG113" i="5" l="1"/>
  <c r="CF113" i="5"/>
  <c r="CE113" i="5"/>
  <c r="CI113" i="5"/>
  <c r="CF37" i="5"/>
  <c r="CH37" i="5"/>
  <c r="CE37" i="5"/>
  <c r="CG37" i="5"/>
  <c r="CI37" i="5"/>
  <c r="V10" i="35"/>
  <c r="X10" i="35" s="1"/>
  <c r="F55" i="26"/>
  <c r="F54" i="26"/>
  <c r="F53" i="26"/>
  <c r="F52" i="26"/>
  <c r="CA38" i="7"/>
  <c r="T19" i="35"/>
  <c r="T27" i="35" s="1"/>
  <c r="S19" i="35"/>
  <c r="F37" i="26"/>
  <c r="R19" i="35"/>
  <c r="R27" i="35" s="1"/>
  <c r="Q19" i="35"/>
  <c r="Q27" i="35" s="1"/>
  <c r="BY37" i="15"/>
  <c r="BZ37" i="15"/>
  <c r="CA37" i="15"/>
  <c r="CA37" i="6"/>
  <c r="BZ37" i="6"/>
  <c r="BZ56" i="6"/>
  <c r="BY56" i="6"/>
  <c r="BZ112" i="6"/>
  <c r="CA112" i="6"/>
  <c r="BY112" i="6"/>
  <c r="CA56" i="2"/>
  <c r="P19" i="35"/>
  <c r="P27" i="35" s="1"/>
  <c r="F31" i="26"/>
  <c r="F30" i="26"/>
  <c r="O19" i="35"/>
  <c r="O27" i="35" s="1"/>
  <c r="G26" i="34"/>
  <c r="E26" i="34"/>
  <c r="N19" i="35"/>
  <c r="CA56" i="7"/>
  <c r="M19" i="35"/>
  <c r="M27" i="35" s="1"/>
  <c r="CA94" i="7"/>
  <c r="BZ94" i="7"/>
  <c r="BZ94" i="15"/>
  <c r="BY94" i="15"/>
  <c r="L19" i="35"/>
  <c r="E20" i="27"/>
  <c r="E31" i="27" s="1"/>
  <c r="K20" i="27"/>
  <c r="K31" i="27" s="1"/>
  <c r="G25" i="5"/>
  <c r="I25" i="5" s="1"/>
  <c r="G19" i="5"/>
  <c r="M16" i="27" s="1"/>
  <c r="G20" i="27"/>
  <c r="G31" i="27" s="1"/>
  <c r="G9" i="34" s="1"/>
  <c r="J20" i="27"/>
  <c r="J31" i="27" s="1"/>
  <c r="F10" i="34" s="1"/>
  <c r="I20" i="27"/>
  <c r="I31" i="27" s="1"/>
  <c r="E10" i="34" s="1"/>
  <c r="F20" i="27"/>
  <c r="F31" i="27" s="1"/>
  <c r="F9" i="34" s="1"/>
  <c r="G25" i="7"/>
  <c r="I25" i="7" s="1"/>
  <c r="G19" i="7"/>
  <c r="M13" i="27" s="1"/>
  <c r="O13" i="27" s="1"/>
  <c r="CC55" i="2"/>
  <c r="BX55" i="2" s="1"/>
  <c r="BY55" i="2" s="1"/>
  <c r="K43" i="35"/>
  <c r="K50" i="35" s="1"/>
  <c r="BZ56" i="2"/>
  <c r="J19" i="35"/>
  <c r="J50" i="35"/>
  <c r="U17" i="35"/>
  <c r="V17" i="35" s="1"/>
  <c r="U11" i="35"/>
  <c r="V11" i="35" s="1"/>
  <c r="U18" i="35"/>
  <c r="V18" i="35" s="1"/>
  <c r="G25" i="6"/>
  <c r="I25" i="6" s="1"/>
  <c r="G25" i="2"/>
  <c r="I25" i="2" s="1"/>
  <c r="U16" i="35"/>
  <c r="V16" i="35" s="1"/>
  <c r="E35" i="34"/>
  <c r="F35" i="34"/>
  <c r="G35" i="34"/>
  <c r="H35" i="34"/>
  <c r="S50" i="35"/>
  <c r="R50" i="35"/>
  <c r="BP14" i="16"/>
  <c r="BQ6" i="16" s="1"/>
  <c r="BQ14" i="16" s="1"/>
  <c r="BR6" i="16" s="1"/>
  <c r="BR14" i="16" s="1"/>
  <c r="BS6" i="16" s="1"/>
  <c r="BS14" i="16" s="1"/>
  <c r="BT6" i="16" s="1"/>
  <c r="BT14" i="16" s="1"/>
  <c r="BU6" i="16" s="1"/>
  <c r="BU14" i="16" s="1"/>
  <c r="BV6" i="16" s="1"/>
  <c r="BV14" i="16" s="1"/>
  <c r="N50" i="35"/>
  <c r="F51" i="26"/>
  <c r="F50" i="26"/>
  <c r="BZ210" i="16"/>
  <c r="L50" i="35"/>
  <c r="BX55" i="14"/>
  <c r="CA55" i="14" s="1"/>
  <c r="BX74" i="7"/>
  <c r="CA74" i="7" s="1"/>
  <c r="BX36" i="10"/>
  <c r="CA36" i="10" s="1"/>
  <c r="E33" i="34"/>
  <c r="G33" i="34"/>
  <c r="F33" i="34"/>
  <c r="H33" i="34"/>
  <c r="CB55" i="39"/>
  <c r="BX55" i="39" s="1"/>
  <c r="CC73" i="15"/>
  <c r="BX73" i="15" s="1"/>
  <c r="O35" i="34"/>
  <c r="F99" i="26"/>
  <c r="F75" i="26"/>
  <c r="F78" i="26"/>
  <c r="F58" i="26"/>
  <c r="F36" i="26"/>
  <c r="F32" i="26"/>
  <c r="F21" i="26"/>
  <c r="F17" i="26"/>
  <c r="F90" i="26"/>
  <c r="F88" i="26"/>
  <c r="F86" i="26"/>
  <c r="F76" i="26"/>
  <c r="F79" i="26"/>
  <c r="F59" i="26"/>
  <c r="F33" i="26"/>
  <c r="F93" i="26"/>
  <c r="F20" i="26"/>
  <c r="F94" i="26"/>
  <c r="F92" i="26"/>
  <c r="F91" i="26"/>
  <c r="F96" i="26"/>
  <c r="F89" i="26"/>
  <c r="F87" i="26"/>
  <c r="F77" i="26"/>
  <c r="F98" i="26"/>
  <c r="F95" i="26"/>
  <c r="F97" i="26"/>
  <c r="F74" i="26"/>
  <c r="U43" i="35"/>
  <c r="U50" i="35" s="1"/>
  <c r="BT6" i="39"/>
  <c r="BT14" i="39" s="1"/>
  <c r="BP6" i="12"/>
  <c r="BP14" i="12" s="1"/>
  <c r="S17" i="27"/>
  <c r="G22" i="29"/>
  <c r="G25" i="11"/>
  <c r="I25" i="11" s="1"/>
  <c r="G25" i="9"/>
  <c r="I25" i="9" s="1"/>
  <c r="CC207" i="16"/>
  <c r="BX207" i="16" s="1"/>
  <c r="BY207" i="16" s="1"/>
  <c r="F63" i="26"/>
  <c r="F81" i="26"/>
  <c r="F7" i="26"/>
  <c r="F27" i="26"/>
  <c r="J27" i="26" s="1"/>
  <c r="F38" i="26"/>
  <c r="F39" i="26"/>
  <c r="F60" i="26"/>
  <c r="F66" i="26"/>
  <c r="F35" i="26"/>
  <c r="J8" i="26"/>
  <c r="F64" i="26"/>
  <c r="F41" i="26"/>
  <c r="F83" i="26"/>
  <c r="BX74" i="14"/>
  <c r="BY74" i="14" s="1"/>
  <c r="S18" i="27"/>
  <c r="F73" i="26"/>
  <c r="J73" i="26" s="1"/>
  <c r="BX36" i="11"/>
  <c r="CA36" i="11" s="1"/>
  <c r="G25" i="29"/>
  <c r="I25" i="29" s="1"/>
  <c r="F61" i="26"/>
  <c r="F65" i="26"/>
  <c r="BX94" i="39"/>
  <c r="BY94" i="39" s="1"/>
  <c r="F57" i="26"/>
  <c r="F85" i="26"/>
  <c r="F49" i="26"/>
  <c r="J49" i="26" s="1"/>
  <c r="F62" i="26"/>
  <c r="H27" i="34"/>
  <c r="G27" i="34"/>
  <c r="F27" i="34"/>
  <c r="E27" i="34"/>
  <c r="F11" i="26"/>
  <c r="J11" i="26" s="1"/>
  <c r="F84" i="26"/>
  <c r="F80" i="26"/>
  <c r="F67" i="26"/>
  <c r="F82" i="26"/>
  <c r="F56" i="26"/>
  <c r="F34" i="26"/>
  <c r="F40" i="26"/>
  <c r="F26" i="34"/>
  <c r="H26" i="34"/>
  <c r="S17" i="34"/>
  <c r="R20" i="27"/>
  <c r="Q20" i="27"/>
  <c r="BX55" i="15"/>
  <c r="BY55" i="15" s="1"/>
  <c r="G23" i="11"/>
  <c r="G22" i="11"/>
  <c r="G22" i="10"/>
  <c r="G23" i="10"/>
  <c r="G25" i="10"/>
  <c r="I25" i="10" s="1"/>
  <c r="G19" i="9"/>
  <c r="G23" i="2"/>
  <c r="BZ75" i="39"/>
  <c r="CA75" i="39"/>
  <c r="CB74" i="39"/>
  <c r="BX74" i="39" s="1"/>
  <c r="CA74" i="39" s="1"/>
  <c r="I25" i="44"/>
  <c r="G19" i="44"/>
  <c r="G19" i="14"/>
  <c r="I25" i="14"/>
  <c r="I25" i="8"/>
  <c r="G19" i="8"/>
  <c r="G22" i="6"/>
  <c r="G23" i="6"/>
  <c r="CC92" i="2"/>
  <c r="BX92" i="2" s="1"/>
  <c r="CA210" i="16"/>
  <c r="BZ74" i="11"/>
  <c r="BY73" i="11"/>
  <c r="CA74" i="11"/>
  <c r="BZ73" i="11"/>
  <c r="BZ54" i="44"/>
  <c r="CA54" i="44"/>
  <c r="CA94" i="15"/>
  <c r="BY76" i="8"/>
  <c r="BZ76" i="8"/>
  <c r="BY94" i="7"/>
  <c r="BY53" i="44"/>
  <c r="CA53" i="44"/>
  <c r="E37" i="34"/>
  <c r="G37" i="34"/>
  <c r="E38" i="34"/>
  <c r="G38" i="34"/>
  <c r="F38" i="34"/>
  <c r="G36" i="34"/>
  <c r="F36" i="34"/>
  <c r="E36" i="34"/>
  <c r="G22" i="2"/>
  <c r="F37" i="34"/>
  <c r="X14" i="35"/>
  <c r="X11" i="27"/>
  <c r="Z11" i="27" s="1"/>
  <c r="O11" i="27"/>
  <c r="E10" i="35"/>
  <c r="X13" i="35"/>
  <c r="BX55" i="11"/>
  <c r="CC54" i="11"/>
  <c r="BX74" i="5"/>
  <c r="CC73" i="5"/>
  <c r="BX190" i="16"/>
  <c r="CC189" i="16"/>
  <c r="BZ72" i="11"/>
  <c r="CA72" i="11"/>
  <c r="BY72" i="11"/>
  <c r="BY75" i="5"/>
  <c r="BZ75" i="5"/>
  <c r="CA191" i="16"/>
  <c r="BY191" i="16"/>
  <c r="BZ191" i="16"/>
  <c r="BX71" i="11"/>
  <c r="CC70" i="11"/>
  <c r="CC35" i="44"/>
  <c r="BX36" i="44"/>
  <c r="CH113" i="5"/>
  <c r="BY37" i="44"/>
  <c r="CA37" i="44"/>
  <c r="BZ37" i="44"/>
  <c r="CK111" i="5"/>
  <c r="CD112" i="5"/>
  <c r="CE112" i="5" s="1"/>
  <c r="CC34" i="12"/>
  <c r="BX34" i="12" s="1"/>
  <c r="BX75" i="8"/>
  <c r="CC74" i="8"/>
  <c r="CA56" i="11"/>
  <c r="BY56" i="11"/>
  <c r="BZ56" i="11"/>
  <c r="BZ74" i="15"/>
  <c r="CA74" i="15"/>
  <c r="BY74" i="15"/>
  <c r="CA57" i="8"/>
  <c r="BY57" i="8"/>
  <c r="BZ57" i="8"/>
  <c r="BY36" i="2"/>
  <c r="CA36" i="2"/>
  <c r="BZ36" i="2"/>
  <c r="BX36" i="6"/>
  <c r="CC35" i="6"/>
  <c r="CC35" i="15"/>
  <c r="BX36" i="15"/>
  <c r="BX92" i="44"/>
  <c r="CC91" i="44"/>
  <c r="CC55" i="8"/>
  <c r="BX56" i="8"/>
  <c r="BX35" i="2"/>
  <c r="BZ93" i="6"/>
  <c r="BY93" i="6"/>
  <c r="CC72" i="39"/>
  <c r="BX54" i="14"/>
  <c r="CC53" i="14"/>
  <c r="BY93" i="44"/>
  <c r="CA93" i="44"/>
  <c r="BZ93" i="44"/>
  <c r="CC111" i="39"/>
  <c r="CB112" i="39"/>
  <c r="BX112" i="39" s="1"/>
  <c r="BX111" i="6"/>
  <c r="CC110" i="6"/>
  <c r="BX73" i="6"/>
  <c r="CC72" i="6"/>
  <c r="CK35" i="5"/>
  <c r="CD36" i="5"/>
  <c r="CB131" i="39"/>
  <c r="CC130" i="39"/>
  <c r="X15" i="35"/>
  <c r="BX92" i="6"/>
  <c r="BY92" i="6" s="1"/>
  <c r="CC91" i="6"/>
  <c r="BY93" i="7"/>
  <c r="CA93" i="7"/>
  <c r="CC34" i="10"/>
  <c r="BX35" i="10"/>
  <c r="CB92" i="39"/>
  <c r="CC91" i="39"/>
  <c r="BY74" i="6"/>
  <c r="CA74" i="6"/>
  <c r="BZ74" i="6"/>
  <c r="BX35" i="11"/>
  <c r="CC34" i="11"/>
  <c r="BY132" i="39"/>
  <c r="CA132" i="39"/>
  <c r="BZ132" i="39"/>
  <c r="CC54" i="9"/>
  <c r="BX55" i="9"/>
  <c r="BX73" i="7"/>
  <c r="BZ73" i="7" s="1"/>
  <c r="CC72" i="7"/>
  <c r="CC54" i="6"/>
  <c r="BX55" i="6"/>
  <c r="BY55" i="6" s="1"/>
  <c r="BX92" i="15"/>
  <c r="CC91" i="15"/>
  <c r="CA38" i="39"/>
  <c r="BY38" i="39"/>
  <c r="BX73" i="14"/>
  <c r="CC72" i="14"/>
  <c r="CA37" i="8"/>
  <c r="BZ37" i="8"/>
  <c r="BY37" i="8"/>
  <c r="S19" i="27"/>
  <c r="CA93" i="39"/>
  <c r="BY93" i="39"/>
  <c r="BZ93" i="39"/>
  <c r="BZ93" i="11"/>
  <c r="CA93" i="11"/>
  <c r="BY93" i="11"/>
  <c r="BZ75" i="44"/>
  <c r="CA75" i="44"/>
  <c r="BY75" i="44"/>
  <c r="BY56" i="9"/>
  <c r="CA56" i="9"/>
  <c r="BZ56" i="9"/>
  <c r="CC129" i="16"/>
  <c r="BX130" i="16"/>
  <c r="CA56" i="5"/>
  <c r="BZ56" i="5"/>
  <c r="BY56" i="5"/>
  <c r="CA56" i="6"/>
  <c r="CA93" i="15"/>
  <c r="BZ93" i="15"/>
  <c r="BX51" i="44"/>
  <c r="CC50" i="44"/>
  <c r="CB37" i="39"/>
  <c r="BX37" i="39" s="1"/>
  <c r="CC36" i="39"/>
  <c r="BX35" i="14"/>
  <c r="CC34" i="14"/>
  <c r="BZ38" i="7"/>
  <c r="BX36" i="8"/>
  <c r="CC35" i="8"/>
  <c r="CC91" i="11"/>
  <c r="BX92" i="11"/>
  <c r="BZ56" i="39"/>
  <c r="CC73" i="44"/>
  <c r="BX74" i="44"/>
  <c r="S12" i="27"/>
  <c r="BX93" i="5"/>
  <c r="CC92" i="5"/>
  <c r="CA131" i="16"/>
  <c r="BZ131" i="16"/>
  <c r="BY131" i="16"/>
  <c r="BX55" i="5"/>
  <c r="CC54" i="5"/>
  <c r="BY52" i="44"/>
  <c r="CA52" i="44"/>
  <c r="BZ52" i="44"/>
  <c r="BY36" i="14"/>
  <c r="CA36" i="14"/>
  <c r="BZ36" i="14"/>
  <c r="BX37" i="7"/>
  <c r="CC36" i="7"/>
  <c r="CA172" i="16"/>
  <c r="BZ172" i="16"/>
  <c r="BY172" i="16"/>
  <c r="H29" i="34"/>
  <c r="G29" i="34"/>
  <c r="F29" i="34"/>
  <c r="CC53" i="39"/>
  <c r="CC35" i="9"/>
  <c r="BX36" i="9"/>
  <c r="CA56" i="39"/>
  <c r="BY93" i="2"/>
  <c r="BZ93" i="2"/>
  <c r="CA93" i="2"/>
  <c r="BX74" i="10"/>
  <c r="CC73" i="10"/>
  <c r="BY94" i="5"/>
  <c r="CA94" i="5"/>
  <c r="BZ94" i="5"/>
  <c r="CA56" i="10"/>
  <c r="BY56" i="10"/>
  <c r="BZ56" i="10"/>
  <c r="X12" i="35"/>
  <c r="CA208" i="16"/>
  <c r="BZ208" i="16"/>
  <c r="BX171" i="16"/>
  <c r="CC170" i="16"/>
  <c r="BY37" i="9"/>
  <c r="BZ37" i="9"/>
  <c r="CA37" i="9"/>
  <c r="CC54" i="7"/>
  <c r="BX55" i="7"/>
  <c r="BZ55" i="7" s="1"/>
  <c r="G31" i="34"/>
  <c r="H31" i="34"/>
  <c r="E31" i="34"/>
  <c r="F31" i="34"/>
  <c r="BY75" i="10"/>
  <c r="CA75" i="10"/>
  <c r="BZ75" i="10"/>
  <c r="CC53" i="15"/>
  <c r="BX54" i="15"/>
  <c r="CC54" i="10"/>
  <c r="BX55" i="10"/>
  <c r="BY37" i="6"/>
  <c r="BY113" i="39"/>
  <c r="BZ113" i="39"/>
  <c r="CA113" i="39"/>
  <c r="BX129" i="5"/>
  <c r="BY129" i="5" s="1"/>
  <c r="CC128" i="5"/>
  <c r="BY130" i="5"/>
  <c r="BZ130" i="5"/>
  <c r="CA130" i="5"/>
  <c r="CC91" i="7"/>
  <c r="BX92" i="7"/>
  <c r="BZ92" i="7" s="1"/>
  <c r="F19" i="35"/>
  <c r="BY35" i="12"/>
  <c r="CA35" i="12"/>
  <c r="BZ35" i="12"/>
  <c r="CG36" i="5" l="1"/>
  <c r="CH36" i="5"/>
  <c r="CF36" i="5"/>
  <c r="CE36" i="5"/>
  <c r="CG112" i="5"/>
  <c r="CF112" i="5"/>
  <c r="V19" i="35"/>
  <c r="V27" i="35" s="1"/>
  <c r="J12" i="26"/>
  <c r="J30" i="26"/>
  <c r="J28" i="26"/>
  <c r="F28" i="26"/>
  <c r="F13" i="26"/>
  <c r="F15" i="26"/>
  <c r="F14" i="26"/>
  <c r="BY73" i="6"/>
  <c r="BZ73" i="6"/>
  <c r="CA111" i="6"/>
  <c r="BY111" i="6"/>
  <c r="BY36" i="15"/>
  <c r="BZ36" i="15"/>
  <c r="CA36" i="15"/>
  <c r="J14" i="26"/>
  <c r="J16" i="26"/>
  <c r="J18" i="26"/>
  <c r="F27" i="35"/>
  <c r="CA55" i="7"/>
  <c r="J54" i="26"/>
  <c r="J50" i="26"/>
  <c r="J52" i="26"/>
  <c r="J60" i="26"/>
  <c r="CC54" i="2"/>
  <c r="BX54" i="2" s="1"/>
  <c r="BY54" i="2" s="1"/>
  <c r="BZ55" i="2"/>
  <c r="CA55" i="2"/>
  <c r="Q31" i="27"/>
  <c r="E17" i="34" s="1"/>
  <c r="R31" i="27"/>
  <c r="E18" i="34" s="1"/>
  <c r="O16" i="27"/>
  <c r="K19" i="35"/>
  <c r="K27" i="35" s="1"/>
  <c r="S27" i="35"/>
  <c r="J58" i="26"/>
  <c r="G16" i="16"/>
  <c r="N27" i="35"/>
  <c r="F18" i="26"/>
  <c r="L27" i="35"/>
  <c r="BY55" i="14"/>
  <c r="BZ55" i="14"/>
  <c r="BY74" i="7"/>
  <c r="BZ74" i="7"/>
  <c r="U19" i="35"/>
  <c r="U27" i="35" s="1"/>
  <c r="J27" i="35"/>
  <c r="BY55" i="39"/>
  <c r="CA55" i="39"/>
  <c r="BY36" i="10"/>
  <c r="BZ36" i="10"/>
  <c r="BZ55" i="39"/>
  <c r="CB54" i="39"/>
  <c r="BX54" i="39" s="1"/>
  <c r="G23" i="29"/>
  <c r="J84" i="26"/>
  <c r="CC72" i="15"/>
  <c r="CC71" i="15" s="1"/>
  <c r="J80" i="26"/>
  <c r="BY36" i="11"/>
  <c r="BZ36" i="11"/>
  <c r="CA94" i="39"/>
  <c r="J38" i="26"/>
  <c r="J26" i="26"/>
  <c r="CC206" i="16"/>
  <c r="CC205" i="16" s="1"/>
  <c r="J94" i="26"/>
  <c r="J96" i="26"/>
  <c r="J98" i="26"/>
  <c r="J20" i="26"/>
  <c r="J86" i="26"/>
  <c r="J74" i="26"/>
  <c r="J78" i="26"/>
  <c r="J36" i="26"/>
  <c r="J32" i="26"/>
  <c r="J88" i="26"/>
  <c r="J76" i="26"/>
  <c r="J92" i="26"/>
  <c r="J90" i="26"/>
  <c r="J40" i="26"/>
  <c r="J48" i="26"/>
  <c r="J56" i="26"/>
  <c r="J72" i="26"/>
  <c r="J82" i="26"/>
  <c r="J64" i="26"/>
  <c r="J66" i="26"/>
  <c r="BU6" i="39"/>
  <c r="BU14" i="39" s="1"/>
  <c r="BQ6" i="12"/>
  <c r="BZ74" i="14"/>
  <c r="CA74" i="14"/>
  <c r="J10" i="26"/>
  <c r="G10" i="34"/>
  <c r="BZ94" i="39"/>
  <c r="E9" i="34"/>
  <c r="S20" i="27"/>
  <c r="S31" i="27" s="1"/>
  <c r="BZ55" i="15"/>
  <c r="CA55" i="15"/>
  <c r="G23" i="9"/>
  <c r="G22" i="9"/>
  <c r="CB73" i="39"/>
  <c r="CB72" i="39" s="1"/>
  <c r="BX72" i="39" s="1"/>
  <c r="BZ74" i="39"/>
  <c r="BY74" i="39"/>
  <c r="G23" i="44"/>
  <c r="G22" i="44"/>
  <c r="G22" i="5"/>
  <c r="G23" i="5"/>
  <c r="G23" i="14"/>
  <c r="G22" i="14"/>
  <c r="G22" i="8"/>
  <c r="G23" i="8"/>
  <c r="M14" i="27"/>
  <c r="G23" i="7"/>
  <c r="G22" i="7"/>
  <c r="CC91" i="2"/>
  <c r="BX91" i="2" s="1"/>
  <c r="J26" i="34"/>
  <c r="P26" i="34" s="1"/>
  <c r="X16" i="27"/>
  <c r="Z16" i="27" s="1"/>
  <c r="J38" i="34"/>
  <c r="P38" i="34" s="1"/>
  <c r="CC33" i="12"/>
  <c r="CC32" i="12" s="1"/>
  <c r="J36" i="34"/>
  <c r="P36" i="34" s="1"/>
  <c r="J37" i="34"/>
  <c r="P37" i="34" s="1"/>
  <c r="E15" i="35"/>
  <c r="X13" i="27"/>
  <c r="Z13" i="27" s="1"/>
  <c r="X18" i="35"/>
  <c r="E12" i="35"/>
  <c r="X17" i="35"/>
  <c r="X16" i="35"/>
  <c r="J27" i="34"/>
  <c r="P27" i="34" s="1"/>
  <c r="X11" i="35"/>
  <c r="BX70" i="11"/>
  <c r="CC69" i="11"/>
  <c r="BX73" i="5"/>
  <c r="CC72" i="5"/>
  <c r="BY71" i="11"/>
  <c r="CA71" i="11"/>
  <c r="BZ71" i="11"/>
  <c r="BY74" i="5"/>
  <c r="CA74" i="5"/>
  <c r="BZ74" i="5"/>
  <c r="BZ36" i="44"/>
  <c r="BY36" i="44"/>
  <c r="CA36" i="44"/>
  <c r="BX35" i="44"/>
  <c r="CC34" i="44"/>
  <c r="BZ75" i="8"/>
  <c r="CA75" i="8"/>
  <c r="BY75" i="8"/>
  <c r="CI112" i="5"/>
  <c r="CH112" i="5"/>
  <c r="BX189" i="16"/>
  <c r="CC188" i="16"/>
  <c r="CC53" i="11"/>
  <c r="BX54" i="11"/>
  <c r="CC73" i="8"/>
  <c r="BX74" i="8"/>
  <c r="M17" i="27"/>
  <c r="CK110" i="5"/>
  <c r="CD111" i="5"/>
  <c r="CA190" i="16"/>
  <c r="BY190" i="16"/>
  <c r="BZ190" i="16"/>
  <c r="BZ55" i="11"/>
  <c r="CA55" i="11"/>
  <c r="BY55" i="11"/>
  <c r="CA36" i="9"/>
  <c r="BZ36" i="9"/>
  <c r="BY36" i="9"/>
  <c r="BX54" i="5"/>
  <c r="CA54" i="5" s="1"/>
  <c r="CC53" i="5"/>
  <c r="CA92" i="6"/>
  <c r="BZ92" i="6"/>
  <c r="BX91" i="44"/>
  <c r="CC90" i="44"/>
  <c r="CC90" i="15"/>
  <c r="BX91" i="15"/>
  <c r="BZ35" i="2"/>
  <c r="CA35" i="2"/>
  <c r="BY35" i="2"/>
  <c r="CA92" i="7"/>
  <c r="BY92" i="7"/>
  <c r="BX35" i="8"/>
  <c r="CC34" i="8"/>
  <c r="CA73" i="6"/>
  <c r="BX34" i="2"/>
  <c r="CA56" i="8"/>
  <c r="BZ56" i="8"/>
  <c r="BY56" i="8"/>
  <c r="BX91" i="7"/>
  <c r="BZ91" i="7" s="1"/>
  <c r="CC90" i="7"/>
  <c r="BZ129" i="5"/>
  <c r="CA129" i="5"/>
  <c r="CA54" i="15"/>
  <c r="BY54" i="15"/>
  <c r="BZ54" i="15"/>
  <c r="CC52" i="39"/>
  <c r="CC35" i="7"/>
  <c r="CC90" i="11"/>
  <c r="BX91" i="11"/>
  <c r="BZ36" i="8"/>
  <c r="BY36" i="8"/>
  <c r="CA36" i="8"/>
  <c r="CC35" i="39"/>
  <c r="CB36" i="39"/>
  <c r="CA55" i="6"/>
  <c r="BZ55" i="6"/>
  <c r="CC109" i="6"/>
  <c r="BX110" i="6"/>
  <c r="BY110" i="6" s="1"/>
  <c r="BZ112" i="39"/>
  <c r="CA112" i="39"/>
  <c r="BY112" i="39"/>
  <c r="CC54" i="8"/>
  <c r="BX55" i="8"/>
  <c r="CC34" i="15"/>
  <c r="BX35" i="15"/>
  <c r="CC91" i="5"/>
  <c r="BX92" i="5"/>
  <c r="CA74" i="10"/>
  <c r="BZ74" i="10"/>
  <c r="BY74" i="10"/>
  <c r="CC34" i="9"/>
  <c r="BX35" i="9"/>
  <c r="BX128" i="5"/>
  <c r="CC127" i="5"/>
  <c r="CA37" i="7"/>
  <c r="BZ37" i="7"/>
  <c r="CA37" i="39"/>
  <c r="BZ37" i="39"/>
  <c r="BY37" i="39"/>
  <c r="CC53" i="6"/>
  <c r="BX54" i="6"/>
  <c r="CC33" i="11"/>
  <c r="BX34" i="11"/>
  <c r="CC129" i="39"/>
  <c r="CB130" i="39"/>
  <c r="BX130" i="39" s="1"/>
  <c r="BZ111" i="6"/>
  <c r="BX53" i="14"/>
  <c r="CC52" i="14"/>
  <c r="CC34" i="6"/>
  <c r="BX35" i="6"/>
  <c r="BZ35" i="6" s="1"/>
  <c r="BX54" i="9"/>
  <c r="CC53" i="9"/>
  <c r="CA207" i="16"/>
  <c r="BZ207" i="16"/>
  <c r="J31" i="34"/>
  <c r="P31" i="34" s="1"/>
  <c r="BX170" i="16"/>
  <c r="CC169" i="16"/>
  <c r="BZ93" i="5"/>
  <c r="CA93" i="5"/>
  <c r="BY93" i="5"/>
  <c r="J35" i="34"/>
  <c r="P35" i="34" s="1"/>
  <c r="BX72" i="6"/>
  <c r="CC71" i="6"/>
  <c r="BX50" i="44"/>
  <c r="CC49" i="44"/>
  <c r="BX72" i="14"/>
  <c r="CC71" i="14"/>
  <c r="CC71" i="7"/>
  <c r="BX72" i="7"/>
  <c r="BZ72" i="7" s="1"/>
  <c r="BZ35" i="11"/>
  <c r="CA35" i="11"/>
  <c r="BY35" i="11"/>
  <c r="J33" i="34"/>
  <c r="CB111" i="39"/>
  <c r="BX111" i="39" s="1"/>
  <c r="CC110" i="39"/>
  <c r="BY54" i="14"/>
  <c r="CA54" i="14"/>
  <c r="BZ54" i="14"/>
  <c r="CA36" i="6"/>
  <c r="BZ36" i="6"/>
  <c r="BY36" i="6"/>
  <c r="CC72" i="10"/>
  <c r="BX73" i="10"/>
  <c r="BX34" i="14"/>
  <c r="CC33" i="14"/>
  <c r="CK34" i="5"/>
  <c r="CD35" i="5"/>
  <c r="CA55" i="5"/>
  <c r="BY55" i="5"/>
  <c r="BZ55" i="5"/>
  <c r="CA35" i="14"/>
  <c r="BY35" i="14"/>
  <c r="BZ35" i="14"/>
  <c r="CC33" i="10"/>
  <c r="BX34" i="10"/>
  <c r="BZ92" i="44"/>
  <c r="BY92" i="44"/>
  <c r="CA92" i="44"/>
  <c r="BY171" i="16"/>
  <c r="BZ171" i="16"/>
  <c r="CA171" i="16"/>
  <c r="BY92" i="11"/>
  <c r="BZ92" i="11"/>
  <c r="CA92" i="11"/>
  <c r="CC52" i="15"/>
  <c r="BX53" i="15"/>
  <c r="M12" i="27"/>
  <c r="O12" i="27" s="1"/>
  <c r="BZ55" i="10"/>
  <c r="CA55" i="10"/>
  <c r="BY55" i="10"/>
  <c r="J29" i="34"/>
  <c r="P29" i="34" s="1"/>
  <c r="E14" i="35"/>
  <c r="CA92" i="2"/>
  <c r="BZ92" i="2"/>
  <c r="BY92" i="2"/>
  <c r="BZ51" i="44"/>
  <c r="BY51" i="44"/>
  <c r="CA51" i="44"/>
  <c r="BZ130" i="16"/>
  <c r="BY130" i="16"/>
  <c r="CA130" i="16"/>
  <c r="CA73" i="14"/>
  <c r="BZ73" i="14"/>
  <c r="BY73" i="14"/>
  <c r="BY73" i="7"/>
  <c r="CA73" i="7"/>
  <c r="BX92" i="39"/>
  <c r="CA92" i="39" s="1"/>
  <c r="BX131" i="39"/>
  <c r="CA131" i="39" s="1"/>
  <c r="BY73" i="15"/>
  <c r="BZ73" i="15"/>
  <c r="CA73" i="15"/>
  <c r="BX73" i="44"/>
  <c r="CC72" i="44"/>
  <c r="BY35" i="10"/>
  <c r="CA35" i="10"/>
  <c r="BZ35" i="10"/>
  <c r="BY92" i="15"/>
  <c r="BZ92" i="15"/>
  <c r="CA92" i="15"/>
  <c r="CC53" i="7"/>
  <c r="BX54" i="7"/>
  <c r="BZ54" i="7" s="1"/>
  <c r="BX54" i="10"/>
  <c r="CC53" i="10"/>
  <c r="BY74" i="44"/>
  <c r="CA74" i="44"/>
  <c r="BZ74" i="44"/>
  <c r="CC128" i="16"/>
  <c r="BX129" i="16"/>
  <c r="BZ55" i="9"/>
  <c r="CA55" i="9"/>
  <c r="BY55" i="9"/>
  <c r="CB91" i="39"/>
  <c r="CC90" i="39"/>
  <c r="BX91" i="6"/>
  <c r="CA91" i="6" s="1"/>
  <c r="CC90" i="6"/>
  <c r="CI36" i="5"/>
  <c r="CC71" i="39"/>
  <c r="CA34" i="12"/>
  <c r="BZ34" i="12"/>
  <c r="BY34" i="12"/>
  <c r="CE111" i="5" l="1"/>
  <c r="CG111" i="5"/>
  <c r="CF111" i="5"/>
  <c r="CF35" i="5"/>
  <c r="CG35" i="5"/>
  <c r="CH35" i="5"/>
  <c r="CE35" i="5"/>
  <c r="CI35" i="5"/>
  <c r="CA35" i="15"/>
  <c r="BY35" i="15"/>
  <c r="BZ35" i="15"/>
  <c r="CA54" i="6"/>
  <c r="BY54" i="6"/>
  <c r="CA54" i="7"/>
  <c r="BZ54" i="2"/>
  <c r="CC53" i="2"/>
  <c r="BX53" i="2" s="1"/>
  <c r="BY53" i="2" s="1"/>
  <c r="CA54" i="2"/>
  <c r="G19" i="16"/>
  <c r="M18" i="27" s="1"/>
  <c r="E17" i="35" s="1"/>
  <c r="G25" i="16"/>
  <c r="I25" i="16" s="1"/>
  <c r="CB53" i="39"/>
  <c r="BX53" i="39" s="1"/>
  <c r="CA53" i="39" s="1"/>
  <c r="BX206" i="16"/>
  <c r="BY206" i="16" s="1"/>
  <c r="BY54" i="39"/>
  <c r="BZ54" i="39"/>
  <c r="CA54" i="39"/>
  <c r="BQ14" i="12"/>
  <c r="BX72" i="15"/>
  <c r="CA72" i="15" s="1"/>
  <c r="P33" i="34"/>
  <c r="BV6" i="39"/>
  <c r="BR6" i="12"/>
  <c r="BR14" i="12" s="1"/>
  <c r="BX73" i="39"/>
  <c r="CA73" i="39" s="1"/>
  <c r="CC90" i="2"/>
  <c r="BX90" i="2" s="1"/>
  <c r="E13" i="35"/>
  <c r="O14" i="27"/>
  <c r="X14" i="27"/>
  <c r="Z14" i="27" s="1"/>
  <c r="Z40" i="7"/>
  <c r="BX33" i="12"/>
  <c r="BZ33" i="12" s="1"/>
  <c r="V43" i="35"/>
  <c r="V50" i="35" s="1"/>
  <c r="CA75" i="7"/>
  <c r="W40" i="7"/>
  <c r="BH40" i="7" s="1"/>
  <c r="F28" i="34" s="1"/>
  <c r="CA76" i="7"/>
  <c r="T40" i="7"/>
  <c r="BZ92" i="39"/>
  <c r="CI111" i="5"/>
  <c r="CH111" i="5"/>
  <c r="BX188" i="16"/>
  <c r="CC187" i="16"/>
  <c r="CC71" i="5"/>
  <c r="BX72" i="5"/>
  <c r="BZ72" i="5" s="1"/>
  <c r="CK109" i="5"/>
  <c r="CD110" i="5"/>
  <c r="CG110" i="5" s="1"/>
  <c r="CA189" i="16"/>
  <c r="BZ189" i="16"/>
  <c r="BY189" i="16"/>
  <c r="CA73" i="5"/>
  <c r="BZ73" i="5"/>
  <c r="BY73" i="5"/>
  <c r="O17" i="27"/>
  <c r="X17" i="27"/>
  <c r="Z17" i="27" s="1"/>
  <c r="E16" i="35"/>
  <c r="BX34" i="44"/>
  <c r="CC33" i="44"/>
  <c r="BX69" i="11"/>
  <c r="CC68" i="11"/>
  <c r="BZ131" i="39"/>
  <c r="BY35" i="44"/>
  <c r="CA35" i="44"/>
  <c r="BZ35" i="44"/>
  <c r="BZ70" i="11"/>
  <c r="CA70" i="11"/>
  <c r="BY70" i="11"/>
  <c r="BZ74" i="8"/>
  <c r="BY74" i="8"/>
  <c r="CA74" i="8"/>
  <c r="CC72" i="8"/>
  <c r="BX73" i="8"/>
  <c r="BX53" i="11"/>
  <c r="CC52" i="11"/>
  <c r="BY92" i="39"/>
  <c r="BZ54" i="11"/>
  <c r="CA54" i="11"/>
  <c r="BY54" i="11"/>
  <c r="BZ91" i="6"/>
  <c r="BY91" i="6"/>
  <c r="CB90" i="39"/>
  <c r="BX90" i="39" s="1"/>
  <c r="CC89" i="39"/>
  <c r="CC52" i="10"/>
  <c r="BX53" i="10"/>
  <c r="CA54" i="9"/>
  <c r="BZ54" i="9"/>
  <c r="BY54" i="9"/>
  <c r="BX72" i="10"/>
  <c r="CC71" i="10"/>
  <c r="BY72" i="6"/>
  <c r="CA72" i="6"/>
  <c r="BZ72" i="6"/>
  <c r="CC53" i="8"/>
  <c r="BX54" i="8"/>
  <c r="CC33" i="8"/>
  <c r="BX34" i="8"/>
  <c r="BZ54" i="6"/>
  <c r="BZ92" i="5"/>
  <c r="BY92" i="5"/>
  <c r="CA92" i="5"/>
  <c r="CB35" i="39"/>
  <c r="BX35" i="39" s="1"/>
  <c r="CC34" i="39"/>
  <c r="CA35" i="8"/>
  <c r="BY35" i="8"/>
  <c r="BZ35" i="8"/>
  <c r="CC89" i="15"/>
  <c r="BX90" i="15"/>
  <c r="BY91" i="44"/>
  <c r="BZ91" i="44"/>
  <c r="CA91" i="44"/>
  <c r="CA72" i="39"/>
  <c r="BZ72" i="39"/>
  <c r="BY72" i="39"/>
  <c r="CA73" i="44"/>
  <c r="BZ73" i="44"/>
  <c r="BY73" i="44"/>
  <c r="CC109" i="39"/>
  <c r="CB110" i="39"/>
  <c r="BX110" i="39" s="1"/>
  <c r="BY50" i="44"/>
  <c r="BZ50" i="44"/>
  <c r="CA50" i="44"/>
  <c r="CB129" i="39"/>
  <c r="BX129" i="39" s="1"/>
  <c r="CC128" i="39"/>
  <c r="CC52" i="6"/>
  <c r="BX53" i="6"/>
  <c r="BX127" i="5"/>
  <c r="CA127" i="5" s="1"/>
  <c r="CC126" i="5"/>
  <c r="BX91" i="5"/>
  <c r="CC90" i="5"/>
  <c r="BX36" i="39"/>
  <c r="CA36" i="39" s="1"/>
  <c r="BX35" i="7"/>
  <c r="CC34" i="7"/>
  <c r="BX53" i="5"/>
  <c r="CA53" i="5" s="1"/>
  <c r="CC52" i="5"/>
  <c r="CA55" i="8"/>
  <c r="BZ55" i="8"/>
  <c r="BY55" i="8"/>
  <c r="BX33" i="2"/>
  <c r="BY131" i="39"/>
  <c r="BY91" i="15"/>
  <c r="BZ91" i="15"/>
  <c r="CA91" i="15"/>
  <c r="CK33" i="5"/>
  <c r="CD34" i="5"/>
  <c r="CC48" i="44"/>
  <c r="BX49" i="44"/>
  <c r="BZ111" i="39"/>
  <c r="CA111" i="39"/>
  <c r="BY111" i="39"/>
  <c r="BX205" i="16"/>
  <c r="BY205" i="16" s="1"/>
  <c r="CC204" i="16"/>
  <c r="BZ128" i="5"/>
  <c r="CA128" i="5"/>
  <c r="BY128" i="5"/>
  <c r="BX36" i="7"/>
  <c r="BZ36" i="7" s="1"/>
  <c r="BY54" i="5"/>
  <c r="BZ54" i="5"/>
  <c r="BX71" i="6"/>
  <c r="CA71" i="6" s="1"/>
  <c r="CC70" i="6"/>
  <c r="BY54" i="10"/>
  <c r="BZ54" i="10"/>
  <c r="CA54" i="10"/>
  <c r="BY72" i="14"/>
  <c r="BZ72" i="14"/>
  <c r="CA72" i="14"/>
  <c r="CB71" i="39"/>
  <c r="BX71" i="39" s="1"/>
  <c r="CC70" i="39"/>
  <c r="CC52" i="7"/>
  <c r="BX53" i="7"/>
  <c r="BZ53" i="7" s="1"/>
  <c r="BY91" i="2"/>
  <c r="CA91" i="2"/>
  <c r="BZ91" i="2"/>
  <c r="BX52" i="14"/>
  <c r="CC51" i="14"/>
  <c r="BY34" i="11"/>
  <c r="CA34" i="11"/>
  <c r="BZ34" i="11"/>
  <c r="E18" i="35"/>
  <c r="X19" i="27"/>
  <c r="Z19" i="27" s="1"/>
  <c r="O19" i="27"/>
  <c r="CA35" i="9"/>
  <c r="BZ35" i="9"/>
  <c r="BY35" i="9"/>
  <c r="BZ110" i="6"/>
  <c r="CA110" i="6"/>
  <c r="CC89" i="7"/>
  <c r="BX90" i="7"/>
  <c r="BZ90" i="7" s="1"/>
  <c r="BZ73" i="10"/>
  <c r="BY73" i="10"/>
  <c r="CA73" i="10"/>
  <c r="CC70" i="14"/>
  <c r="BX71" i="14"/>
  <c r="BX90" i="11"/>
  <c r="CC89" i="11"/>
  <c r="CC89" i="44"/>
  <c r="BX90" i="44"/>
  <c r="CC71" i="44"/>
  <c r="BX72" i="44"/>
  <c r="BY130" i="39"/>
  <c r="BZ130" i="39"/>
  <c r="CA130" i="39"/>
  <c r="CC70" i="15"/>
  <c r="BX71" i="15"/>
  <c r="BY129" i="16"/>
  <c r="CA129" i="16"/>
  <c r="BZ129" i="16"/>
  <c r="X12" i="27"/>
  <c r="Z12" i="27" s="1"/>
  <c r="E11" i="35"/>
  <c r="CC127" i="16"/>
  <c r="BX128" i="16"/>
  <c r="CA53" i="15"/>
  <c r="BZ53" i="15"/>
  <c r="BY53" i="15"/>
  <c r="CA34" i="10"/>
  <c r="BZ34" i="10"/>
  <c r="BY34" i="10"/>
  <c r="BX33" i="14"/>
  <c r="CC32" i="14"/>
  <c r="CA72" i="7"/>
  <c r="BY72" i="7"/>
  <c r="BX169" i="16"/>
  <c r="CC168" i="16"/>
  <c r="BZ53" i="14"/>
  <c r="CA53" i="14"/>
  <c r="BY53" i="14"/>
  <c r="BX33" i="11"/>
  <c r="CC32" i="11"/>
  <c r="CC33" i="9"/>
  <c r="BX34" i="9"/>
  <c r="CC108" i="6"/>
  <c r="BX109" i="6"/>
  <c r="BY109" i="6" s="1"/>
  <c r="CA91" i="7"/>
  <c r="BY91" i="7"/>
  <c r="CA35" i="6"/>
  <c r="BY35" i="6"/>
  <c r="CC33" i="6"/>
  <c r="BX34" i="6"/>
  <c r="BY34" i="6" s="1"/>
  <c r="CC89" i="6"/>
  <c r="BX90" i="6"/>
  <c r="BX91" i="39"/>
  <c r="BY91" i="39" s="1"/>
  <c r="BX52" i="15"/>
  <c r="CC51" i="15"/>
  <c r="CC32" i="10"/>
  <c r="BX33" i="10"/>
  <c r="BZ34" i="14"/>
  <c r="BY34" i="14"/>
  <c r="CA34" i="14"/>
  <c r="BX71" i="7"/>
  <c r="BZ71" i="7" s="1"/>
  <c r="CC70" i="7"/>
  <c r="CA170" i="16"/>
  <c r="BZ170" i="16"/>
  <c r="BY170" i="16"/>
  <c r="CC52" i="9"/>
  <c r="BX53" i="9"/>
  <c r="BX34" i="15"/>
  <c r="CC33" i="15"/>
  <c r="BZ91" i="11"/>
  <c r="BY91" i="11"/>
  <c r="CA91" i="11"/>
  <c r="CC51" i="39"/>
  <c r="CA34" i="2"/>
  <c r="BZ34" i="2"/>
  <c r="BY34" i="2"/>
  <c r="CC31" i="12"/>
  <c r="BX32" i="12"/>
  <c r="CF34" i="5" l="1"/>
  <c r="CH34" i="5"/>
  <c r="CE34" i="5"/>
  <c r="CG34" i="5"/>
  <c r="CF110" i="5"/>
  <c r="CE110" i="5"/>
  <c r="CH110" i="5"/>
  <c r="CB52" i="39"/>
  <c r="BX52" i="39" s="1"/>
  <c r="CA52" i="39" s="1"/>
  <c r="BZ53" i="6"/>
  <c r="BY53" i="6"/>
  <c r="CA34" i="15"/>
  <c r="BY34" i="15"/>
  <c r="BZ34" i="15"/>
  <c r="X27" i="35"/>
  <c r="X19" i="35"/>
  <c r="G28" i="34"/>
  <c r="E28" i="34"/>
  <c r="H28" i="34"/>
  <c r="CA53" i="2"/>
  <c r="O28" i="34"/>
  <c r="O39" i="34" s="1"/>
  <c r="CA53" i="7"/>
  <c r="BZ53" i="2"/>
  <c r="CC52" i="2"/>
  <c r="BX52" i="2" s="1"/>
  <c r="BY52" i="2" s="1"/>
  <c r="M20" i="27"/>
  <c r="M31" i="27" s="1"/>
  <c r="E16" i="34" s="1"/>
  <c r="O18" i="27"/>
  <c r="O20" i="27" s="1"/>
  <c r="O31" i="27" s="1"/>
  <c r="G23" i="16"/>
  <c r="X18" i="27"/>
  <c r="Z18" i="27" s="1"/>
  <c r="G22" i="16"/>
  <c r="BZ206" i="16"/>
  <c r="CA206" i="16"/>
  <c r="BY72" i="15"/>
  <c r="BZ72" i="15"/>
  <c r="BV14" i="39"/>
  <c r="G16" i="39"/>
  <c r="BY73" i="39"/>
  <c r="BZ73" i="39"/>
  <c r="BS6" i="12"/>
  <c r="BS14" i="12" s="1"/>
  <c r="CC89" i="2"/>
  <c r="CC88" i="2" s="1"/>
  <c r="BY33" i="12"/>
  <c r="CA33" i="12"/>
  <c r="BZ91" i="39"/>
  <c r="CC51" i="11"/>
  <c r="BX52" i="11"/>
  <c r="BX71" i="5"/>
  <c r="CC70" i="5"/>
  <c r="CA91" i="39"/>
  <c r="BY53" i="11"/>
  <c r="CA53" i="11"/>
  <c r="BZ53" i="11"/>
  <c r="BZ36" i="39"/>
  <c r="CC186" i="16"/>
  <c r="BX187" i="16"/>
  <c r="CC67" i="11"/>
  <c r="BX68" i="11"/>
  <c r="BY188" i="16"/>
  <c r="CA188" i="16"/>
  <c r="BZ188" i="16"/>
  <c r="CA69" i="11"/>
  <c r="BY69" i="11"/>
  <c r="BZ69" i="11"/>
  <c r="CI110" i="5"/>
  <c r="BY73" i="8"/>
  <c r="CA73" i="8"/>
  <c r="BZ73" i="8"/>
  <c r="CC32" i="44"/>
  <c r="BX33" i="44"/>
  <c r="CK108" i="5"/>
  <c r="CD109" i="5"/>
  <c r="CA36" i="7"/>
  <c r="CC71" i="8"/>
  <c r="BX72" i="8"/>
  <c r="CA34" i="44"/>
  <c r="BZ34" i="44"/>
  <c r="BY34" i="44"/>
  <c r="CA72" i="5"/>
  <c r="BY72" i="5"/>
  <c r="CC88" i="7"/>
  <c r="BX89" i="7"/>
  <c r="BZ89" i="7" s="1"/>
  <c r="CC51" i="7"/>
  <c r="BX52" i="7"/>
  <c r="BZ52" i="7" s="1"/>
  <c r="CB128" i="39"/>
  <c r="BX128" i="39" s="1"/>
  <c r="CC127" i="39"/>
  <c r="CA71" i="7"/>
  <c r="BY71" i="7"/>
  <c r="CC51" i="9"/>
  <c r="BX52" i="9"/>
  <c r="BX51" i="14"/>
  <c r="CC50" i="14"/>
  <c r="CA54" i="8"/>
  <c r="BY54" i="8"/>
  <c r="BZ54" i="8"/>
  <c r="CB89" i="39"/>
  <c r="BX89" i="39" s="1"/>
  <c r="CC88" i="39"/>
  <c r="CC50" i="39"/>
  <c r="BX168" i="16"/>
  <c r="CC167" i="16"/>
  <c r="CC69" i="14"/>
  <c r="BX70" i="14"/>
  <c r="CA52" i="14"/>
  <c r="BZ52" i="14"/>
  <c r="BY52" i="14"/>
  <c r="CI34" i="5"/>
  <c r="BY53" i="39"/>
  <c r="BX52" i="5"/>
  <c r="CC51" i="5"/>
  <c r="CA91" i="5"/>
  <c r="BY91" i="5"/>
  <c r="BZ91" i="5"/>
  <c r="CC52" i="8"/>
  <c r="BX53" i="8"/>
  <c r="BY33" i="14"/>
  <c r="BZ33" i="14"/>
  <c r="CA33" i="14"/>
  <c r="BX70" i="15"/>
  <c r="CC69" i="15"/>
  <c r="BX71" i="44"/>
  <c r="CC70" i="44"/>
  <c r="BZ34" i="9"/>
  <c r="BY34" i="9"/>
  <c r="CA34" i="9"/>
  <c r="BY169" i="16"/>
  <c r="BZ169" i="16"/>
  <c r="CA169" i="16"/>
  <c r="CA128" i="16"/>
  <c r="BZ128" i="16"/>
  <c r="BY128" i="16"/>
  <c r="CA90" i="44"/>
  <c r="BZ90" i="44"/>
  <c r="BY90" i="44"/>
  <c r="CB70" i="39"/>
  <c r="BX70" i="39" s="1"/>
  <c r="CC69" i="39"/>
  <c r="CK32" i="5"/>
  <c r="CD33" i="5"/>
  <c r="BZ53" i="39"/>
  <c r="BY53" i="5"/>
  <c r="BZ53" i="5"/>
  <c r="BX126" i="5"/>
  <c r="CC125" i="5"/>
  <c r="BY110" i="39"/>
  <c r="BZ110" i="39"/>
  <c r="CA110" i="39"/>
  <c r="CA90" i="15"/>
  <c r="BZ90" i="15"/>
  <c r="BY90" i="15"/>
  <c r="CC33" i="39"/>
  <c r="CB34" i="39"/>
  <c r="BX34" i="39" s="1"/>
  <c r="CA90" i="39"/>
  <c r="BZ90" i="39"/>
  <c r="BY90" i="39"/>
  <c r="CC88" i="6"/>
  <c r="BX89" i="6"/>
  <c r="CA89" i="6" s="1"/>
  <c r="BY49" i="44"/>
  <c r="BZ49" i="44"/>
  <c r="CA49" i="44"/>
  <c r="BY36" i="39"/>
  <c r="CC51" i="10"/>
  <c r="BX52" i="10"/>
  <c r="BX33" i="15"/>
  <c r="CC32" i="15"/>
  <c r="CC89" i="5"/>
  <c r="BX90" i="5"/>
  <c r="CC32" i="9"/>
  <c r="BX33" i="9"/>
  <c r="CC126" i="16"/>
  <c r="BX127" i="16"/>
  <c r="CC88" i="44"/>
  <c r="BX89" i="44"/>
  <c r="BY127" i="5"/>
  <c r="BZ127" i="5"/>
  <c r="CC108" i="39"/>
  <c r="CB109" i="39"/>
  <c r="BX109" i="39" s="1"/>
  <c r="BX89" i="15"/>
  <c r="CC88" i="15"/>
  <c r="CA35" i="39"/>
  <c r="BZ35" i="39"/>
  <c r="BY35" i="39"/>
  <c r="CA34" i="8"/>
  <c r="BY34" i="8"/>
  <c r="BZ34" i="8"/>
  <c r="BX70" i="7"/>
  <c r="CC69" i="7"/>
  <c r="BX33" i="6"/>
  <c r="CC32" i="6"/>
  <c r="BX108" i="6"/>
  <c r="BY108" i="6" s="1"/>
  <c r="CC107" i="6"/>
  <c r="BZ53" i="10"/>
  <c r="CA53" i="10"/>
  <c r="BY53" i="10"/>
  <c r="BX51" i="15"/>
  <c r="CC50" i="15"/>
  <c r="BY90" i="2"/>
  <c r="CA90" i="2"/>
  <c r="BZ90" i="2"/>
  <c r="BY52" i="15"/>
  <c r="BZ52" i="15"/>
  <c r="CA52" i="15"/>
  <c r="BZ71" i="14"/>
  <c r="CA71" i="14"/>
  <c r="BY71" i="14"/>
  <c r="CC47" i="44"/>
  <c r="BX48" i="44"/>
  <c r="CC31" i="11"/>
  <c r="BX32" i="11"/>
  <c r="BX89" i="11"/>
  <c r="CC88" i="11"/>
  <c r="CA71" i="39"/>
  <c r="BZ71" i="39"/>
  <c r="BY71" i="39"/>
  <c r="CC203" i="16"/>
  <c r="BX204" i="16"/>
  <c r="BY204" i="16" s="1"/>
  <c r="BX32" i="2"/>
  <c r="CC33" i="7"/>
  <c r="CA53" i="6"/>
  <c r="CC32" i="8"/>
  <c r="BX33" i="8"/>
  <c r="CC31" i="10"/>
  <c r="BX32" i="10"/>
  <c r="BZ71" i="6"/>
  <c r="BY71" i="6"/>
  <c r="CA72" i="10"/>
  <c r="BZ72" i="10"/>
  <c r="BY72" i="10"/>
  <c r="BY53" i="9"/>
  <c r="CA53" i="9"/>
  <c r="BZ53" i="9"/>
  <c r="BZ129" i="39"/>
  <c r="BY129" i="39"/>
  <c r="CA129" i="39"/>
  <c r="CA33" i="10"/>
  <c r="BY33" i="10"/>
  <c r="BZ33" i="10"/>
  <c r="BY90" i="6"/>
  <c r="BZ90" i="6"/>
  <c r="CA90" i="6"/>
  <c r="BZ34" i="6"/>
  <c r="CA34" i="6"/>
  <c r="BZ109" i="6"/>
  <c r="CA109" i="6"/>
  <c r="BY33" i="11"/>
  <c r="BZ33" i="11"/>
  <c r="CA33" i="11"/>
  <c r="BX32" i="14"/>
  <c r="CC31" i="14"/>
  <c r="CA71" i="15"/>
  <c r="BZ71" i="15"/>
  <c r="BY71" i="15"/>
  <c r="BY72" i="44"/>
  <c r="CA72" i="44"/>
  <c r="BZ72" i="44"/>
  <c r="BY90" i="11"/>
  <c r="CA90" i="11"/>
  <c r="BZ90" i="11"/>
  <c r="CA90" i="7"/>
  <c r="BY90" i="7"/>
  <c r="CC69" i="6"/>
  <c r="BX70" i="6"/>
  <c r="CA205" i="16"/>
  <c r="BZ205" i="16"/>
  <c r="CA33" i="2"/>
  <c r="BY33" i="2"/>
  <c r="BZ33" i="2"/>
  <c r="CA35" i="7"/>
  <c r="BZ35" i="7"/>
  <c r="BX52" i="6"/>
  <c r="CC51" i="6"/>
  <c r="BX71" i="10"/>
  <c r="CC70" i="10"/>
  <c r="CA32" i="12"/>
  <c r="BZ32" i="12"/>
  <c r="BY32" i="12"/>
  <c r="BX31" i="12"/>
  <c r="CC30" i="12"/>
  <c r="CE109" i="5" l="1"/>
  <c r="CF109" i="5"/>
  <c r="CG109" i="5"/>
  <c r="CF33" i="5"/>
  <c r="CH33" i="5"/>
  <c r="CE33" i="5"/>
  <c r="CG33" i="5"/>
  <c r="CB51" i="39"/>
  <c r="BY52" i="39"/>
  <c r="BZ52" i="39"/>
  <c r="BZ70" i="7"/>
  <c r="CA70" i="7"/>
  <c r="BY52" i="6"/>
  <c r="CA52" i="6"/>
  <c r="BZ52" i="6"/>
  <c r="CA33" i="6"/>
  <c r="BY33" i="6"/>
  <c r="BZ52" i="2"/>
  <c r="CA33" i="15"/>
  <c r="BY33" i="15"/>
  <c r="BZ33" i="15"/>
  <c r="J28" i="34"/>
  <c r="P28" i="34" s="1"/>
  <c r="CA52" i="7"/>
  <c r="CC51" i="2"/>
  <c r="CC50" i="2" s="1"/>
  <c r="BX50" i="2" s="1"/>
  <c r="BY50" i="2" s="1"/>
  <c r="CA52" i="2"/>
  <c r="M35" i="27"/>
  <c r="G19" i="39"/>
  <c r="G25" i="39"/>
  <c r="I25" i="39" s="1"/>
  <c r="BX89" i="2"/>
  <c r="CA89" i="2" s="1"/>
  <c r="BT6" i="12"/>
  <c r="BT14" i="12" s="1"/>
  <c r="BZ187" i="16"/>
  <c r="CA187" i="16"/>
  <c r="BY187" i="16"/>
  <c r="CC69" i="5"/>
  <c r="BX70" i="5"/>
  <c r="BZ72" i="8"/>
  <c r="BY72" i="8"/>
  <c r="CA72" i="8"/>
  <c r="CC185" i="16"/>
  <c r="BX186" i="16"/>
  <c r="CA71" i="5"/>
  <c r="BZ71" i="5"/>
  <c r="BY71" i="5"/>
  <c r="CC31" i="44"/>
  <c r="BX32" i="44"/>
  <c r="CC70" i="8"/>
  <c r="BX71" i="8"/>
  <c r="CA52" i="11"/>
  <c r="BY52" i="11"/>
  <c r="BZ52" i="11"/>
  <c r="CC50" i="11"/>
  <c r="BX51" i="11"/>
  <c r="CH109" i="5"/>
  <c r="CI109" i="5"/>
  <c r="BX67" i="11"/>
  <c r="CC66" i="11"/>
  <c r="CK107" i="5"/>
  <c r="CD108" i="5"/>
  <c r="CA33" i="44"/>
  <c r="BZ33" i="44"/>
  <c r="BY33" i="44"/>
  <c r="BY68" i="11"/>
  <c r="CA68" i="11"/>
  <c r="BZ68" i="11"/>
  <c r="BY51" i="15"/>
  <c r="BZ51" i="15"/>
  <c r="CA51" i="15"/>
  <c r="BX69" i="7"/>
  <c r="BZ69" i="7" s="1"/>
  <c r="CC68" i="7"/>
  <c r="CB108" i="39"/>
  <c r="BX108" i="39" s="1"/>
  <c r="CC107" i="39"/>
  <c r="CC69" i="44"/>
  <c r="BX70" i="44"/>
  <c r="CC51" i="8"/>
  <c r="BX52" i="8"/>
  <c r="BZ70" i="6"/>
  <c r="CA70" i="6"/>
  <c r="BY70" i="6"/>
  <c r="BX88" i="11"/>
  <c r="CC87" i="11"/>
  <c r="CI33" i="5"/>
  <c r="BX69" i="15"/>
  <c r="CC68" i="15"/>
  <c r="CB88" i="39"/>
  <c r="CC87" i="39"/>
  <c r="CC50" i="7"/>
  <c r="BX51" i="7"/>
  <c r="BZ51" i="7" s="1"/>
  <c r="CA32" i="14"/>
  <c r="BY32" i="14"/>
  <c r="BZ32" i="14"/>
  <c r="BX88" i="2"/>
  <c r="CC87" i="2"/>
  <c r="CC30" i="10"/>
  <c r="BX31" i="10"/>
  <c r="BZ204" i="16"/>
  <c r="CA204" i="16"/>
  <c r="BY89" i="11"/>
  <c r="CA89" i="11"/>
  <c r="BZ89" i="11"/>
  <c r="BX126" i="16"/>
  <c r="CC125" i="16"/>
  <c r="BY34" i="39"/>
  <c r="CA34" i="39"/>
  <c r="BZ34" i="39"/>
  <c r="CK31" i="5"/>
  <c r="CD32" i="5"/>
  <c r="BY70" i="15"/>
  <c r="BZ70" i="15"/>
  <c r="CA70" i="15"/>
  <c r="CA89" i="39"/>
  <c r="BZ89" i="39"/>
  <c r="BY89" i="39"/>
  <c r="CA89" i="7"/>
  <c r="BY89" i="7"/>
  <c r="BX51" i="6"/>
  <c r="CC50" i="6"/>
  <c r="BX32" i="15"/>
  <c r="CC31" i="15"/>
  <c r="CC202" i="16"/>
  <c r="BX203" i="16"/>
  <c r="BY203" i="16" s="1"/>
  <c r="CA32" i="11"/>
  <c r="BZ32" i="11"/>
  <c r="BY32" i="11"/>
  <c r="CA48" i="44"/>
  <c r="BZ48" i="44"/>
  <c r="BY48" i="44"/>
  <c r="BX107" i="6"/>
  <c r="CC106" i="6"/>
  <c r="CA33" i="9"/>
  <c r="BZ33" i="9"/>
  <c r="BY33" i="9"/>
  <c r="BY52" i="10"/>
  <c r="BZ52" i="10"/>
  <c r="CA52" i="10"/>
  <c r="CC124" i="5"/>
  <c r="BX125" i="5"/>
  <c r="CC50" i="5"/>
  <c r="BX51" i="5"/>
  <c r="CA51" i="5" s="1"/>
  <c r="BX50" i="14"/>
  <c r="CC49" i="14"/>
  <c r="CC87" i="7"/>
  <c r="BX88" i="7"/>
  <c r="BZ88" i="7" s="1"/>
  <c r="BX70" i="10"/>
  <c r="CC69" i="10"/>
  <c r="CC32" i="7"/>
  <c r="BX32" i="7" s="1"/>
  <c r="CC30" i="11"/>
  <c r="BX31" i="11"/>
  <c r="BX47" i="44"/>
  <c r="CC46" i="44"/>
  <c r="CA108" i="6"/>
  <c r="BZ108" i="6"/>
  <c r="BX88" i="15"/>
  <c r="CC87" i="15"/>
  <c r="CC31" i="9"/>
  <c r="BX32" i="9"/>
  <c r="BY90" i="5"/>
  <c r="CA90" i="5"/>
  <c r="BZ90" i="5"/>
  <c r="BX51" i="10"/>
  <c r="CC50" i="10"/>
  <c r="CC32" i="39"/>
  <c r="CB33" i="39"/>
  <c r="BX33" i="39" s="1"/>
  <c r="CA126" i="5"/>
  <c r="BY126" i="5"/>
  <c r="BZ126" i="5"/>
  <c r="CB69" i="39"/>
  <c r="BX69" i="39" s="1"/>
  <c r="CC68" i="39"/>
  <c r="BZ52" i="5"/>
  <c r="CA52" i="5"/>
  <c r="BY52" i="5"/>
  <c r="BY51" i="14"/>
  <c r="CA51" i="14"/>
  <c r="BZ51" i="14"/>
  <c r="BX31" i="2"/>
  <c r="CC68" i="14"/>
  <c r="BX69" i="14"/>
  <c r="CC30" i="14"/>
  <c r="BX31" i="14"/>
  <c r="BZ71" i="10"/>
  <c r="CA71" i="10"/>
  <c r="BY71" i="10"/>
  <c r="BX34" i="7"/>
  <c r="BZ34" i="7" s="1"/>
  <c r="BX32" i="6"/>
  <c r="CC31" i="6"/>
  <c r="BZ89" i="15"/>
  <c r="CA89" i="15"/>
  <c r="BY89" i="15"/>
  <c r="BX89" i="5"/>
  <c r="CC88" i="5"/>
  <c r="BZ89" i="6"/>
  <c r="BY89" i="6"/>
  <c r="CA70" i="39"/>
  <c r="BZ70" i="39"/>
  <c r="BY70" i="39"/>
  <c r="BX167" i="16"/>
  <c r="CC166" i="16"/>
  <c r="BX51" i="39"/>
  <c r="CA51" i="39" s="1"/>
  <c r="BZ52" i="9"/>
  <c r="BY52" i="9"/>
  <c r="CA52" i="9"/>
  <c r="CC126" i="39"/>
  <c r="CB127" i="39"/>
  <c r="BX127" i="39" s="1"/>
  <c r="CC31" i="8"/>
  <c r="BX32" i="8"/>
  <c r="BZ89" i="44"/>
  <c r="CA89" i="44"/>
  <c r="BY89" i="44"/>
  <c r="BZ70" i="14"/>
  <c r="CA70" i="14"/>
  <c r="BY70" i="14"/>
  <c r="BY70" i="7"/>
  <c r="BX88" i="44"/>
  <c r="CC87" i="44"/>
  <c r="BY71" i="44"/>
  <c r="BZ71" i="44"/>
  <c r="CA71" i="44"/>
  <c r="BX69" i="6"/>
  <c r="BZ69" i="6" s="1"/>
  <c r="CC68" i="6"/>
  <c r="BZ32" i="10"/>
  <c r="CA32" i="10"/>
  <c r="BY32" i="10"/>
  <c r="CA127" i="16"/>
  <c r="BY127" i="16"/>
  <c r="BZ127" i="16"/>
  <c r="BY33" i="8"/>
  <c r="CA33" i="8"/>
  <c r="BZ33" i="8"/>
  <c r="CA32" i="2"/>
  <c r="BZ32" i="2"/>
  <c r="BY32" i="2"/>
  <c r="BX50" i="15"/>
  <c r="CC49" i="15"/>
  <c r="BZ33" i="6"/>
  <c r="BY109" i="39"/>
  <c r="BZ109" i="39"/>
  <c r="CA109" i="39"/>
  <c r="CC87" i="6"/>
  <c r="BX88" i="6"/>
  <c r="BY88" i="6" s="1"/>
  <c r="CA53" i="8"/>
  <c r="BZ53" i="8"/>
  <c r="BY53" i="8"/>
  <c r="CA168" i="16"/>
  <c r="BZ168" i="16"/>
  <c r="BY168" i="16"/>
  <c r="CB50" i="39"/>
  <c r="BX50" i="39" s="1"/>
  <c r="CC49" i="39"/>
  <c r="CC50" i="9"/>
  <c r="BX51" i="9"/>
  <c r="BZ128" i="39"/>
  <c r="BY128" i="39"/>
  <c r="CA128" i="39"/>
  <c r="CA31" i="12"/>
  <c r="BZ31" i="12"/>
  <c r="BY31" i="12"/>
  <c r="BX30" i="12"/>
  <c r="CC29" i="12"/>
  <c r="CE108" i="5" l="1"/>
  <c r="CF108" i="5"/>
  <c r="CG108" i="5"/>
  <c r="CF32" i="5"/>
  <c r="CE32" i="5"/>
  <c r="CH32" i="5"/>
  <c r="CG32" i="5"/>
  <c r="CA32" i="15"/>
  <c r="BY32" i="15"/>
  <c r="BZ32" i="15"/>
  <c r="BZ107" i="6"/>
  <c r="BY107" i="6"/>
  <c r="BY51" i="6"/>
  <c r="BZ51" i="6"/>
  <c r="BZ32" i="6"/>
  <c r="BY32" i="6"/>
  <c r="CC49" i="2"/>
  <c r="CC48" i="2" s="1"/>
  <c r="CA51" i="7"/>
  <c r="BX51" i="2"/>
  <c r="BY51" i="2" s="1"/>
  <c r="BZ89" i="2"/>
  <c r="BY89" i="2"/>
  <c r="G22" i="39"/>
  <c r="G23" i="39"/>
  <c r="BU6" i="12"/>
  <c r="BU14" i="12" s="1"/>
  <c r="CA67" i="11"/>
  <c r="BZ67" i="11"/>
  <c r="BY67" i="11"/>
  <c r="BX50" i="11"/>
  <c r="CC49" i="11"/>
  <c r="BY32" i="44"/>
  <c r="BZ32" i="44"/>
  <c r="CA32" i="44"/>
  <c r="BX31" i="44"/>
  <c r="CC30" i="44"/>
  <c r="BX70" i="8"/>
  <c r="CC69" i="8"/>
  <c r="BY70" i="5"/>
  <c r="CA70" i="5"/>
  <c r="BZ70" i="5"/>
  <c r="BY51" i="11"/>
  <c r="BZ51" i="11"/>
  <c r="CA51" i="11"/>
  <c r="BX69" i="5"/>
  <c r="CC68" i="5"/>
  <c r="CH108" i="5"/>
  <c r="CI108" i="5"/>
  <c r="CK106" i="5"/>
  <c r="CD107" i="5"/>
  <c r="BZ186" i="16"/>
  <c r="CA186" i="16"/>
  <c r="BY186" i="16"/>
  <c r="CC65" i="11"/>
  <c r="BX66" i="11"/>
  <c r="BY71" i="8"/>
  <c r="BZ71" i="8"/>
  <c r="CA71" i="8"/>
  <c r="BX185" i="16"/>
  <c r="CC184" i="16"/>
  <c r="CA88" i="44"/>
  <c r="BZ88" i="44"/>
  <c r="BY88" i="44"/>
  <c r="BZ51" i="5"/>
  <c r="BY51" i="5"/>
  <c r="BZ88" i="2"/>
  <c r="BY88" i="2"/>
  <c r="CA88" i="2"/>
  <c r="CA32" i="9"/>
  <c r="BZ32" i="9"/>
  <c r="BY32" i="9"/>
  <c r="BX87" i="7"/>
  <c r="BZ87" i="7" s="1"/>
  <c r="CC86" i="7"/>
  <c r="BX50" i="5"/>
  <c r="BZ50" i="5" s="1"/>
  <c r="CC49" i="5"/>
  <c r="CC29" i="14"/>
  <c r="BX30" i="14"/>
  <c r="CC30" i="9"/>
  <c r="BX31" i="9"/>
  <c r="CC31" i="7"/>
  <c r="BX31" i="7" s="1"/>
  <c r="BZ125" i="5"/>
  <c r="CA125" i="5"/>
  <c r="BY125" i="5"/>
  <c r="CA203" i="16"/>
  <c r="BZ203" i="16"/>
  <c r="CI32" i="5"/>
  <c r="CC124" i="16"/>
  <c r="BX125" i="16"/>
  <c r="BY88" i="11"/>
  <c r="CA88" i="11"/>
  <c r="BZ88" i="11"/>
  <c r="CA50" i="39"/>
  <c r="BZ50" i="39"/>
  <c r="BY50" i="39"/>
  <c r="CA69" i="14"/>
  <c r="BZ69" i="14"/>
  <c r="BY69" i="14"/>
  <c r="CB68" i="39"/>
  <c r="BX68" i="39" s="1"/>
  <c r="CC67" i="39"/>
  <c r="CB32" i="39"/>
  <c r="BX32" i="39" s="1"/>
  <c r="CC31" i="39"/>
  <c r="BX87" i="15"/>
  <c r="CC86" i="15"/>
  <c r="CC45" i="44"/>
  <c r="BX45" i="44" s="1"/>
  <c r="BX46" i="44"/>
  <c r="BX33" i="7"/>
  <c r="BX124" i="5"/>
  <c r="CC123" i="5"/>
  <c r="CC201" i="16"/>
  <c r="BX202" i="16"/>
  <c r="BY202" i="16" s="1"/>
  <c r="BY51" i="39"/>
  <c r="CD31" i="5"/>
  <c r="CK30" i="5"/>
  <c r="CA126" i="16"/>
  <c r="BZ126" i="16"/>
  <c r="BY126" i="16"/>
  <c r="BX50" i="7"/>
  <c r="BZ50" i="7" s="1"/>
  <c r="CC49" i="7"/>
  <c r="BX68" i="7"/>
  <c r="BZ68" i="7" s="1"/>
  <c r="CC67" i="7"/>
  <c r="CC49" i="9"/>
  <c r="BX50" i="9"/>
  <c r="BX31" i="6"/>
  <c r="CC30" i="6"/>
  <c r="BY31" i="14"/>
  <c r="CA31" i="14"/>
  <c r="BZ31" i="14"/>
  <c r="CC67" i="14"/>
  <c r="BX68" i="14"/>
  <c r="BX50" i="10"/>
  <c r="CC49" i="10"/>
  <c r="BZ88" i="15"/>
  <c r="CA88" i="15"/>
  <c r="BY88" i="15"/>
  <c r="BZ47" i="44"/>
  <c r="BY47" i="44"/>
  <c r="CA47" i="44"/>
  <c r="BX69" i="10"/>
  <c r="CC68" i="10"/>
  <c r="CA34" i="7"/>
  <c r="CC30" i="15"/>
  <c r="BX31" i="15"/>
  <c r="BZ51" i="39"/>
  <c r="BX68" i="15"/>
  <c r="CC67" i="15"/>
  <c r="CA52" i="8"/>
  <c r="BZ52" i="8"/>
  <c r="BY52" i="8"/>
  <c r="CA69" i="7"/>
  <c r="BY69" i="7"/>
  <c r="CA50" i="15"/>
  <c r="BZ50" i="15"/>
  <c r="BY50" i="15"/>
  <c r="CA31" i="2"/>
  <c r="BY31" i="2"/>
  <c r="BZ31" i="2"/>
  <c r="CB107" i="39"/>
  <c r="BX107" i="39" s="1"/>
  <c r="CC106" i="39"/>
  <c r="BZ33" i="39"/>
  <c r="BY33" i="39"/>
  <c r="CA33" i="39"/>
  <c r="BY108" i="39"/>
  <c r="BZ108" i="39"/>
  <c r="CA108" i="39"/>
  <c r="CB49" i="39"/>
  <c r="BX49" i="39" s="1"/>
  <c r="CC48" i="39"/>
  <c r="CA31" i="11"/>
  <c r="BZ31" i="11"/>
  <c r="BY31" i="11"/>
  <c r="CC105" i="6"/>
  <c r="BX106" i="6"/>
  <c r="CA31" i="10"/>
  <c r="BZ31" i="10"/>
  <c r="BY31" i="10"/>
  <c r="BY69" i="15"/>
  <c r="BZ69" i="15"/>
  <c r="CA69" i="15"/>
  <c r="CC50" i="8"/>
  <c r="BX51" i="8"/>
  <c r="BX87" i="6"/>
  <c r="CC86" i="6"/>
  <c r="CA69" i="6"/>
  <c r="BY69" i="6"/>
  <c r="CA88" i="7"/>
  <c r="BY88" i="7"/>
  <c r="CA32" i="6"/>
  <c r="CC86" i="11"/>
  <c r="BX87" i="11"/>
  <c r="CC30" i="8"/>
  <c r="BX31" i="8"/>
  <c r="CA69" i="39"/>
  <c r="BZ69" i="39"/>
  <c r="BY69" i="39"/>
  <c r="BY70" i="10"/>
  <c r="CA70" i="10"/>
  <c r="BZ70" i="10"/>
  <c r="CC87" i="5"/>
  <c r="BX88" i="5"/>
  <c r="BX30" i="11"/>
  <c r="CC29" i="11"/>
  <c r="BX49" i="14"/>
  <c r="CC48" i="14"/>
  <c r="CA107" i="6"/>
  <c r="BX50" i="6"/>
  <c r="CC49" i="6"/>
  <c r="BX30" i="10"/>
  <c r="CC29" i="10"/>
  <c r="CB87" i="39"/>
  <c r="BX87" i="39" s="1"/>
  <c r="CC86" i="39"/>
  <c r="BZ70" i="44"/>
  <c r="BY70" i="44"/>
  <c r="CA70" i="44"/>
  <c r="CA50" i="2"/>
  <c r="BZ50" i="2"/>
  <c r="CA32" i="8"/>
  <c r="BZ32" i="8"/>
  <c r="BY32" i="8"/>
  <c r="CA51" i="10"/>
  <c r="BZ51" i="10"/>
  <c r="BY51" i="10"/>
  <c r="BZ127" i="39"/>
  <c r="BY127" i="39"/>
  <c r="CA127" i="39"/>
  <c r="BX166" i="16"/>
  <c r="CC165" i="16"/>
  <c r="CA51" i="9"/>
  <c r="BZ51" i="9"/>
  <c r="BY51" i="9"/>
  <c r="CA88" i="6"/>
  <c r="BZ88" i="6"/>
  <c r="CC48" i="15"/>
  <c r="BX49" i="15"/>
  <c r="CC67" i="6"/>
  <c r="BX68" i="6"/>
  <c r="BY68" i="6" s="1"/>
  <c r="CC86" i="44"/>
  <c r="BX87" i="44"/>
  <c r="CB126" i="39"/>
  <c r="BX126" i="39" s="1"/>
  <c r="CC125" i="39"/>
  <c r="BZ167" i="16"/>
  <c r="BY167" i="16"/>
  <c r="CA167" i="16"/>
  <c r="CA89" i="5"/>
  <c r="BY89" i="5"/>
  <c r="BZ89" i="5"/>
  <c r="BX30" i="2"/>
  <c r="BZ50" i="14"/>
  <c r="BY50" i="14"/>
  <c r="CA50" i="14"/>
  <c r="CA51" i="6"/>
  <c r="CC86" i="2"/>
  <c r="BX87" i="2"/>
  <c r="BX88" i="39"/>
  <c r="CA88" i="39" s="1"/>
  <c r="BX69" i="44"/>
  <c r="CC68" i="44"/>
  <c r="BZ30" i="12"/>
  <c r="BY30" i="12"/>
  <c r="CA30" i="12"/>
  <c r="BX29" i="12"/>
  <c r="CC28" i="12"/>
  <c r="CF107" i="5" l="1"/>
  <c r="CE107" i="5"/>
  <c r="CG107" i="5"/>
  <c r="CH31" i="5"/>
  <c r="CE31" i="5"/>
  <c r="CG31" i="5"/>
  <c r="CF31" i="5"/>
  <c r="BX49" i="2"/>
  <c r="BY49" i="2" s="1"/>
  <c r="CA106" i="6"/>
  <c r="BY106" i="6"/>
  <c r="CA31" i="15"/>
  <c r="BY31" i="15"/>
  <c r="BZ31" i="15"/>
  <c r="CA51" i="2"/>
  <c r="BY50" i="6"/>
  <c r="CA50" i="6"/>
  <c r="BZ31" i="6"/>
  <c r="BY31" i="6"/>
  <c r="CA50" i="7"/>
  <c r="BZ51" i="2"/>
  <c r="BV6" i="12"/>
  <c r="CD106" i="5"/>
  <c r="CG106" i="5" s="1"/>
  <c r="CK105" i="5"/>
  <c r="BX69" i="8"/>
  <c r="CC68" i="8"/>
  <c r="BY70" i="8"/>
  <c r="CA70" i="8"/>
  <c r="BZ70" i="8"/>
  <c r="CA66" i="11"/>
  <c r="BZ66" i="11"/>
  <c r="BY66" i="11"/>
  <c r="CC29" i="44"/>
  <c r="BX30" i="44"/>
  <c r="BX49" i="11"/>
  <c r="CC48" i="11"/>
  <c r="CA33" i="7"/>
  <c r="BX65" i="11"/>
  <c r="CC64" i="11"/>
  <c r="BX64" i="11" s="1"/>
  <c r="BZ31" i="44"/>
  <c r="BY31" i="44"/>
  <c r="CA31" i="44"/>
  <c r="CA50" i="11"/>
  <c r="BZ50" i="11"/>
  <c r="BY50" i="11"/>
  <c r="BX68" i="5"/>
  <c r="CC67" i="5"/>
  <c r="CH107" i="5"/>
  <c r="CI107" i="5"/>
  <c r="BX184" i="16"/>
  <c r="CC183" i="16"/>
  <c r="BY69" i="5"/>
  <c r="CA69" i="5"/>
  <c r="BZ69" i="5"/>
  <c r="BY185" i="16"/>
  <c r="CA185" i="16"/>
  <c r="BZ185" i="16"/>
  <c r="CC66" i="14"/>
  <c r="BX67" i="14"/>
  <c r="BX86" i="15"/>
  <c r="CC85" i="15"/>
  <c r="CA87" i="39"/>
  <c r="BZ87" i="39"/>
  <c r="BY87" i="39"/>
  <c r="CA49" i="39"/>
  <c r="BZ49" i="39"/>
  <c r="BY49" i="39"/>
  <c r="BX30" i="9"/>
  <c r="CC29" i="9"/>
  <c r="CC85" i="7"/>
  <c r="BX86" i="7"/>
  <c r="BZ86" i="7" s="1"/>
  <c r="BX29" i="2"/>
  <c r="CA166" i="16"/>
  <c r="BZ166" i="16"/>
  <c r="BY166" i="16"/>
  <c r="BY88" i="5"/>
  <c r="CA88" i="5"/>
  <c r="BZ88" i="5"/>
  <c r="CA51" i="8"/>
  <c r="BZ51" i="8"/>
  <c r="BY51" i="8"/>
  <c r="BX30" i="6"/>
  <c r="CC29" i="6"/>
  <c r="BY30" i="14"/>
  <c r="CA30" i="14"/>
  <c r="BZ30" i="14"/>
  <c r="CA87" i="7"/>
  <c r="BY87" i="7"/>
  <c r="BX86" i="6"/>
  <c r="CA86" i="6" s="1"/>
  <c r="CC85" i="6"/>
  <c r="CC123" i="16"/>
  <c r="BX124" i="16"/>
  <c r="CC48" i="7"/>
  <c r="BX49" i="7"/>
  <c r="CA87" i="2"/>
  <c r="BZ87" i="2"/>
  <c r="BY87" i="2"/>
  <c r="CA68" i="6"/>
  <c r="BZ68" i="6"/>
  <c r="CC28" i="10"/>
  <c r="BX29" i="10"/>
  <c r="BZ31" i="8"/>
  <c r="BY31" i="8"/>
  <c r="CA31" i="8"/>
  <c r="BY87" i="11"/>
  <c r="CA87" i="11"/>
  <c r="BZ87" i="11"/>
  <c r="BX67" i="15"/>
  <c r="CC66" i="15"/>
  <c r="CC85" i="2"/>
  <c r="BX86" i="2"/>
  <c r="CA30" i="2"/>
  <c r="BZ30" i="2"/>
  <c r="BY30" i="2"/>
  <c r="CC66" i="6"/>
  <c r="BX67" i="6"/>
  <c r="CA67" i="6" s="1"/>
  <c r="BY88" i="39"/>
  <c r="BZ30" i="10"/>
  <c r="BY30" i="10"/>
  <c r="CA30" i="10"/>
  <c r="BX48" i="14"/>
  <c r="CC47" i="14"/>
  <c r="BX87" i="5"/>
  <c r="CC86" i="5"/>
  <c r="CC29" i="8"/>
  <c r="BX30" i="8"/>
  <c r="CC85" i="11"/>
  <c r="BX86" i="11"/>
  <c r="BX50" i="8"/>
  <c r="CC49" i="8"/>
  <c r="BZ106" i="6"/>
  <c r="CB106" i="39"/>
  <c r="BX106" i="39" s="1"/>
  <c r="CC105" i="39"/>
  <c r="CA68" i="15"/>
  <c r="BZ68" i="15"/>
  <c r="BY68" i="15"/>
  <c r="CC29" i="15"/>
  <c r="BX30" i="15"/>
  <c r="CA31" i="6"/>
  <c r="BX123" i="5"/>
  <c r="CC122" i="5"/>
  <c r="BX122" i="5" s="1"/>
  <c r="CA122" i="5" s="1"/>
  <c r="CC30" i="39"/>
  <c r="CB31" i="39"/>
  <c r="BX31" i="39" s="1"/>
  <c r="CC28" i="14"/>
  <c r="BX29" i="14"/>
  <c r="BZ33" i="7"/>
  <c r="BY50" i="5"/>
  <c r="CA50" i="5"/>
  <c r="BZ88" i="39"/>
  <c r="BZ50" i="6"/>
  <c r="CA107" i="39"/>
  <c r="BZ107" i="39"/>
  <c r="BY107" i="39"/>
  <c r="CC67" i="10"/>
  <c r="BX68" i="10"/>
  <c r="CC48" i="10"/>
  <c r="BX49" i="10"/>
  <c r="CC48" i="9"/>
  <c r="BX49" i="9"/>
  <c r="CC200" i="16"/>
  <c r="BX201" i="16"/>
  <c r="BY201" i="16" s="1"/>
  <c r="CC66" i="39"/>
  <c r="CB67" i="39"/>
  <c r="BX67" i="39" s="1"/>
  <c r="CC30" i="7"/>
  <c r="CA69" i="44"/>
  <c r="BZ69" i="44"/>
  <c r="BY69" i="44"/>
  <c r="BY87" i="15"/>
  <c r="CA87" i="15"/>
  <c r="BZ87" i="15"/>
  <c r="CC48" i="6"/>
  <c r="BX49" i="6"/>
  <c r="BY49" i="6" s="1"/>
  <c r="BZ202" i="16"/>
  <c r="CA202" i="16"/>
  <c r="CC47" i="2"/>
  <c r="BX48" i="2"/>
  <c r="BY48" i="2" s="1"/>
  <c r="CB125" i="39"/>
  <c r="BX125" i="39" s="1"/>
  <c r="CC124" i="39"/>
  <c r="BY49" i="15"/>
  <c r="CA49" i="15"/>
  <c r="BZ49" i="15"/>
  <c r="CC28" i="11"/>
  <c r="BX29" i="11"/>
  <c r="BZ69" i="10"/>
  <c r="CA69" i="10"/>
  <c r="BY69" i="10"/>
  <c r="BY50" i="10"/>
  <c r="BZ50" i="10"/>
  <c r="CA50" i="10"/>
  <c r="CC66" i="7"/>
  <c r="BX67" i="7"/>
  <c r="BZ67" i="7" s="1"/>
  <c r="CD30" i="5"/>
  <c r="CK29" i="5"/>
  <c r="BZ46" i="44"/>
  <c r="BY46" i="44"/>
  <c r="CA46" i="44"/>
  <c r="BZ87" i="44"/>
  <c r="BY87" i="44"/>
  <c r="CA87" i="44"/>
  <c r="CA31" i="9"/>
  <c r="BZ31" i="9"/>
  <c r="BY31" i="9"/>
  <c r="CC85" i="44"/>
  <c r="BX86" i="44"/>
  <c r="BX165" i="16"/>
  <c r="CC164" i="16"/>
  <c r="BZ87" i="6"/>
  <c r="BY87" i="6"/>
  <c r="CA87" i="6"/>
  <c r="BZ49" i="2"/>
  <c r="CA49" i="2"/>
  <c r="CA49" i="14"/>
  <c r="BZ49" i="14"/>
  <c r="BY49" i="14"/>
  <c r="BX105" i="6"/>
  <c r="CC104" i="6"/>
  <c r="BY50" i="9"/>
  <c r="BZ50" i="9"/>
  <c r="CA50" i="9"/>
  <c r="CA124" i="5"/>
  <c r="BZ124" i="5"/>
  <c r="BY124" i="5"/>
  <c r="CA32" i="39"/>
  <c r="BZ32" i="39"/>
  <c r="BY32" i="39"/>
  <c r="CC67" i="44"/>
  <c r="BX68" i="44"/>
  <c r="CA126" i="39"/>
  <c r="BZ126" i="39"/>
  <c r="BY126" i="39"/>
  <c r="CC47" i="15"/>
  <c r="BX48" i="15"/>
  <c r="CC85" i="39"/>
  <c r="CB86" i="39"/>
  <c r="BX86" i="39" s="1"/>
  <c r="BY30" i="11"/>
  <c r="CA30" i="11"/>
  <c r="BZ30" i="11"/>
  <c r="CC47" i="39"/>
  <c r="CB48" i="39"/>
  <c r="BX48" i="39" s="1"/>
  <c r="BY68" i="14"/>
  <c r="BZ68" i="14"/>
  <c r="CA68" i="14"/>
  <c r="BY68" i="7"/>
  <c r="CA68" i="7"/>
  <c r="CI31" i="5"/>
  <c r="BZ45" i="44"/>
  <c r="CA45" i="44"/>
  <c r="BY45" i="44"/>
  <c r="CA68" i="39"/>
  <c r="BZ68" i="39"/>
  <c r="BY68" i="39"/>
  <c r="BZ125" i="16"/>
  <c r="CA125" i="16"/>
  <c r="BY125" i="16"/>
  <c r="CA32" i="7"/>
  <c r="BX49" i="5"/>
  <c r="BZ49" i="5" s="1"/>
  <c r="CC48" i="5"/>
  <c r="BZ29" i="12"/>
  <c r="BY29" i="12"/>
  <c r="CA29" i="12"/>
  <c r="BX28" i="12"/>
  <c r="CC27" i="12"/>
  <c r="CH30" i="5" l="1"/>
  <c r="CE30" i="5"/>
  <c r="CG30" i="5"/>
  <c r="CF30" i="5"/>
  <c r="CE106" i="5"/>
  <c r="CF106" i="5"/>
  <c r="CI30" i="5"/>
  <c r="CA30" i="6"/>
  <c r="BZ30" i="6"/>
  <c r="BY30" i="6"/>
  <c r="CA105" i="6"/>
  <c r="BY105" i="6"/>
  <c r="CA30" i="15"/>
  <c r="BY30" i="15"/>
  <c r="BZ30" i="15"/>
  <c r="BZ49" i="7"/>
  <c r="CA49" i="7"/>
  <c r="BV14" i="12"/>
  <c r="G16" i="12"/>
  <c r="BY184" i="16"/>
  <c r="CA184" i="16"/>
  <c r="BZ184" i="16"/>
  <c r="BX48" i="11"/>
  <c r="CC47" i="11"/>
  <c r="BY49" i="11"/>
  <c r="CA49" i="11"/>
  <c r="BZ49" i="11"/>
  <c r="CA68" i="5"/>
  <c r="BY68" i="5"/>
  <c r="BZ68" i="5"/>
  <c r="BY30" i="44"/>
  <c r="BZ30" i="44"/>
  <c r="CA30" i="44"/>
  <c r="BX68" i="8"/>
  <c r="CC67" i="8"/>
  <c r="BZ65" i="11"/>
  <c r="CA65" i="11"/>
  <c r="BY65" i="11"/>
  <c r="BX29" i="44"/>
  <c r="CC28" i="44"/>
  <c r="CA69" i="8"/>
  <c r="BY69" i="8"/>
  <c r="BZ69" i="8"/>
  <c r="CK104" i="5"/>
  <c r="CD105" i="5"/>
  <c r="CC182" i="16"/>
  <c r="BX183" i="16"/>
  <c r="BX67" i="5"/>
  <c r="CC66" i="5"/>
  <c r="BY64" i="11"/>
  <c r="BZ64" i="11"/>
  <c r="CA64" i="11"/>
  <c r="CI106" i="5"/>
  <c r="CH106" i="5"/>
  <c r="BX164" i="16"/>
  <c r="CC163" i="16"/>
  <c r="CA48" i="2"/>
  <c r="BZ48" i="2"/>
  <c r="BY123" i="5"/>
  <c r="CA123" i="5"/>
  <c r="BZ123" i="5"/>
  <c r="CA86" i="44"/>
  <c r="BY86" i="44"/>
  <c r="BZ86" i="44"/>
  <c r="CC48" i="8"/>
  <c r="BX49" i="8"/>
  <c r="BX47" i="14"/>
  <c r="CC46" i="14"/>
  <c r="BX28" i="2"/>
  <c r="BZ28" i="2" s="1"/>
  <c r="BZ30" i="9"/>
  <c r="BY30" i="9"/>
  <c r="CA30" i="9"/>
  <c r="CC84" i="15"/>
  <c r="CC83" i="15" s="1"/>
  <c r="BX85" i="15"/>
  <c r="CC47" i="5"/>
  <c r="BX48" i="5"/>
  <c r="CA48" i="5" s="1"/>
  <c r="CA48" i="15"/>
  <c r="BZ48" i="15"/>
  <c r="BY48" i="15"/>
  <c r="BX104" i="6"/>
  <c r="CC103" i="6"/>
  <c r="CC84" i="44"/>
  <c r="BX85" i="44"/>
  <c r="BY29" i="11"/>
  <c r="CA29" i="11"/>
  <c r="BZ29" i="11"/>
  <c r="CA49" i="6"/>
  <c r="BZ49" i="6"/>
  <c r="CC65" i="39"/>
  <c r="CB66" i="39"/>
  <c r="BX66" i="39" s="1"/>
  <c r="CA49" i="10"/>
  <c r="BY49" i="10"/>
  <c r="BZ49" i="10"/>
  <c r="CC27" i="14"/>
  <c r="BX28" i="14"/>
  <c r="CA106" i="39"/>
  <c r="BZ106" i="39"/>
  <c r="BY106" i="39"/>
  <c r="CA50" i="8"/>
  <c r="BZ50" i="8"/>
  <c r="BY50" i="8"/>
  <c r="BZ48" i="14"/>
  <c r="CA48" i="14"/>
  <c r="BY48" i="14"/>
  <c r="BZ67" i="6"/>
  <c r="BY67" i="6"/>
  <c r="CA124" i="16"/>
  <c r="BY124" i="16"/>
  <c r="BZ124" i="16"/>
  <c r="BZ29" i="2"/>
  <c r="BY29" i="2"/>
  <c r="CA29" i="2"/>
  <c r="BZ86" i="15"/>
  <c r="BY86" i="15"/>
  <c r="CA86" i="15"/>
  <c r="BY29" i="10"/>
  <c r="CA29" i="10"/>
  <c r="BZ29" i="10"/>
  <c r="CC104" i="39"/>
  <c r="CB105" i="39"/>
  <c r="BX105" i="39" s="1"/>
  <c r="CC27" i="10"/>
  <c r="BX28" i="10"/>
  <c r="CC28" i="9"/>
  <c r="BX29" i="9"/>
  <c r="BY29" i="14"/>
  <c r="CA29" i="14"/>
  <c r="BZ29" i="14"/>
  <c r="CC46" i="15"/>
  <c r="BX47" i="15"/>
  <c r="BZ32" i="7"/>
  <c r="CC27" i="11"/>
  <c r="BX28" i="11"/>
  <c r="CB124" i="39"/>
  <c r="BX124" i="39" s="1"/>
  <c r="CC123" i="39"/>
  <c r="BX48" i="6"/>
  <c r="BY48" i="6" s="1"/>
  <c r="CC47" i="6"/>
  <c r="CA201" i="16"/>
  <c r="BZ201" i="16"/>
  <c r="CC47" i="10"/>
  <c r="BX48" i="10"/>
  <c r="CA86" i="11"/>
  <c r="BZ86" i="11"/>
  <c r="BY86" i="11"/>
  <c r="CC65" i="6"/>
  <c r="BX66" i="6"/>
  <c r="CC47" i="7"/>
  <c r="BX48" i="7"/>
  <c r="BX123" i="16"/>
  <c r="CA123" i="16" s="1"/>
  <c r="CC122" i="16"/>
  <c r="BX122" i="16" s="1"/>
  <c r="CA122" i="16" s="1"/>
  <c r="CA67" i="14"/>
  <c r="BZ67" i="14"/>
  <c r="BY67" i="14"/>
  <c r="CA125" i="39"/>
  <c r="BZ125" i="39"/>
  <c r="BY125" i="39"/>
  <c r="CC199" i="16"/>
  <c r="BX199" i="16" s="1"/>
  <c r="BX200" i="16"/>
  <c r="BY68" i="10"/>
  <c r="BZ68" i="10"/>
  <c r="CA68" i="10"/>
  <c r="CA31" i="39"/>
  <c r="BZ31" i="39"/>
  <c r="BY31" i="39"/>
  <c r="CC28" i="15"/>
  <c r="CC27" i="15" s="1"/>
  <c r="CC26" i="15" s="1"/>
  <c r="BX26" i="15" s="1"/>
  <c r="BX29" i="15"/>
  <c r="CC84" i="11"/>
  <c r="BX85" i="11"/>
  <c r="BX85" i="6"/>
  <c r="CC84" i="6"/>
  <c r="CC65" i="14"/>
  <c r="BX66" i="14"/>
  <c r="CA86" i="2"/>
  <c r="BY86" i="2"/>
  <c r="BZ86" i="2"/>
  <c r="BY165" i="16"/>
  <c r="BZ165" i="16"/>
  <c r="CA165" i="16"/>
  <c r="CA67" i="39"/>
  <c r="BZ67" i="39"/>
  <c r="BY67" i="39"/>
  <c r="BZ31" i="7"/>
  <c r="CA31" i="7"/>
  <c r="CA49" i="9"/>
  <c r="BY49" i="9"/>
  <c r="BZ49" i="9"/>
  <c r="BX67" i="10"/>
  <c r="CC66" i="10"/>
  <c r="CC29" i="39"/>
  <c r="CB30" i="39"/>
  <c r="BX30" i="39" s="1"/>
  <c r="CA30" i="8"/>
  <c r="BY30" i="8"/>
  <c r="BZ30" i="8"/>
  <c r="CC65" i="15"/>
  <c r="BX66" i="15"/>
  <c r="BZ86" i="6"/>
  <c r="BY86" i="6"/>
  <c r="BY68" i="44"/>
  <c r="BZ68" i="44"/>
  <c r="CA68" i="44"/>
  <c r="BY67" i="7"/>
  <c r="CA67" i="7"/>
  <c r="BX86" i="5"/>
  <c r="BZ86" i="5" s="1"/>
  <c r="CC85" i="5"/>
  <c r="BX85" i="7"/>
  <c r="BZ85" i="7" s="1"/>
  <c r="CC84" i="7"/>
  <c r="CA86" i="39"/>
  <c r="BZ86" i="39"/>
  <c r="BY86" i="39"/>
  <c r="BX67" i="44"/>
  <c r="CC66" i="44"/>
  <c r="BX66" i="7"/>
  <c r="BZ66" i="7" s="1"/>
  <c r="CC65" i="7"/>
  <c r="CC46" i="2"/>
  <c r="BX47" i="2"/>
  <c r="BY47" i="2" s="1"/>
  <c r="CA87" i="5"/>
  <c r="BY87" i="5"/>
  <c r="BZ87" i="5"/>
  <c r="CC84" i="2"/>
  <c r="BX85" i="2"/>
  <c r="CC28" i="6"/>
  <c r="BX29" i="6"/>
  <c r="CC84" i="39"/>
  <c r="CB85" i="39"/>
  <c r="BX85" i="39" s="1"/>
  <c r="BY49" i="5"/>
  <c r="CA49" i="5"/>
  <c r="BZ105" i="6"/>
  <c r="CA48" i="39"/>
  <c r="BZ48" i="39"/>
  <c r="BY48" i="39"/>
  <c r="CD29" i="5"/>
  <c r="CK28" i="5"/>
  <c r="CC46" i="39"/>
  <c r="CB47" i="39"/>
  <c r="BX47" i="39" s="1"/>
  <c r="CC29" i="7"/>
  <c r="CC47" i="9"/>
  <c r="BX48" i="9"/>
  <c r="BZ122" i="5"/>
  <c r="BY122" i="5"/>
  <c r="CC28" i="8"/>
  <c r="BX29" i="8"/>
  <c r="CA67" i="15"/>
  <c r="BZ67" i="15"/>
  <c r="BY67" i="15"/>
  <c r="CA86" i="7"/>
  <c r="BY86" i="7"/>
  <c r="CC26" i="12"/>
  <c r="BX26" i="12" s="1"/>
  <c r="BX27" i="12"/>
  <c r="BY28" i="12"/>
  <c r="CA28" i="12"/>
  <c r="BZ28" i="12"/>
  <c r="CH29" i="5" l="1"/>
  <c r="CE29" i="5"/>
  <c r="CG29" i="5"/>
  <c r="CF29" i="5"/>
  <c r="CE105" i="5"/>
  <c r="CG105" i="5"/>
  <c r="CF105" i="5"/>
  <c r="CA104" i="6"/>
  <c r="BY104" i="6"/>
  <c r="BY200" i="16"/>
  <c r="CA200" i="16"/>
  <c r="BZ29" i="6"/>
  <c r="BY29" i="6"/>
  <c r="BY199" i="16"/>
  <c r="CA199" i="16"/>
  <c r="CA29" i="15"/>
  <c r="BY29" i="15"/>
  <c r="BZ29" i="15"/>
  <c r="BZ48" i="7"/>
  <c r="CA48" i="7"/>
  <c r="G19" i="12"/>
  <c r="G25" i="12"/>
  <c r="I25" i="12" s="1"/>
  <c r="BY67" i="5"/>
  <c r="BZ67" i="5"/>
  <c r="CA67" i="5"/>
  <c r="BX28" i="44"/>
  <c r="CC27" i="44"/>
  <c r="CA183" i="16"/>
  <c r="BZ183" i="16"/>
  <c r="BY183" i="16"/>
  <c r="CA29" i="44"/>
  <c r="BZ29" i="44"/>
  <c r="BY29" i="44"/>
  <c r="BX182" i="16"/>
  <c r="CC181" i="16"/>
  <c r="CC180" i="16" s="1"/>
  <c r="BX180" i="16" s="1"/>
  <c r="CA180" i="16" s="1"/>
  <c r="BX47" i="11"/>
  <c r="CC46" i="11"/>
  <c r="BX66" i="5"/>
  <c r="CC65" i="5"/>
  <c r="CH105" i="5"/>
  <c r="CI105" i="5"/>
  <c r="BY48" i="11"/>
  <c r="BZ48" i="11"/>
  <c r="CA48" i="11"/>
  <c r="CD104" i="5"/>
  <c r="CE104" i="5" s="1"/>
  <c r="CK103" i="5"/>
  <c r="CD103" i="5" s="1"/>
  <c r="CC66" i="8"/>
  <c r="BX67" i="8"/>
  <c r="BY68" i="8"/>
  <c r="BZ68" i="8"/>
  <c r="CA68" i="8"/>
  <c r="CC65" i="44"/>
  <c r="BX66" i="44"/>
  <c r="CA47" i="39"/>
  <c r="BY47" i="39"/>
  <c r="BZ47" i="39"/>
  <c r="BX28" i="6"/>
  <c r="CC27" i="6"/>
  <c r="CA66" i="15"/>
  <c r="BZ66" i="15"/>
  <c r="BY66" i="15"/>
  <c r="BX66" i="10"/>
  <c r="CC65" i="10"/>
  <c r="CC83" i="11"/>
  <c r="BX83" i="11" s="1"/>
  <c r="BX84" i="11"/>
  <c r="CC26" i="14"/>
  <c r="BX26" i="14" s="1"/>
  <c r="BX27" i="14"/>
  <c r="CC45" i="39"/>
  <c r="CB46" i="39"/>
  <c r="BX46" i="39" s="1"/>
  <c r="BX65" i="15"/>
  <c r="CC64" i="15"/>
  <c r="BX64" i="15" s="1"/>
  <c r="BZ200" i="16"/>
  <c r="CA48" i="6"/>
  <c r="BZ48" i="6"/>
  <c r="BZ48" i="5"/>
  <c r="BY48" i="5"/>
  <c r="CA28" i="2"/>
  <c r="BY28" i="2"/>
  <c r="CC83" i="2"/>
  <c r="BX83" i="2" s="1"/>
  <c r="BX84" i="2"/>
  <c r="CC64" i="7"/>
  <c r="BX64" i="7" s="1"/>
  <c r="CA64" i="7" s="1"/>
  <c r="BX65" i="7"/>
  <c r="CA66" i="14"/>
  <c r="BZ66" i="14"/>
  <c r="BY66" i="14"/>
  <c r="BX28" i="15"/>
  <c r="BZ199" i="16"/>
  <c r="CC46" i="7"/>
  <c r="BX47" i="7"/>
  <c r="CA47" i="15"/>
  <c r="BY47" i="15"/>
  <c r="BZ47" i="15"/>
  <c r="CA29" i="9"/>
  <c r="BZ29" i="9"/>
  <c r="BY29" i="9"/>
  <c r="CA105" i="39"/>
  <c r="BZ105" i="39"/>
  <c r="BY105" i="39"/>
  <c r="BX103" i="6"/>
  <c r="BZ103" i="6" s="1"/>
  <c r="CC102" i="6"/>
  <c r="BX47" i="5"/>
  <c r="CC46" i="5"/>
  <c r="BZ47" i="2"/>
  <c r="CA47" i="2"/>
  <c r="BX85" i="5"/>
  <c r="CC84" i="5"/>
  <c r="CC64" i="14"/>
  <c r="BX64" i="14" s="1"/>
  <c r="BX65" i="14"/>
  <c r="CA66" i="6"/>
  <c r="BZ66" i="6"/>
  <c r="BY66" i="6"/>
  <c r="BZ48" i="10"/>
  <c r="BY48" i="10"/>
  <c r="CA48" i="10"/>
  <c r="CC122" i="39"/>
  <c r="CB123" i="39"/>
  <c r="BX123" i="39" s="1"/>
  <c r="CC45" i="15"/>
  <c r="BX45" i="15" s="1"/>
  <c r="BX46" i="15"/>
  <c r="CC27" i="9"/>
  <c r="BX28" i="9"/>
  <c r="CC103" i="39"/>
  <c r="CB104" i="39"/>
  <c r="BX104" i="39" s="1"/>
  <c r="BZ104" i="6"/>
  <c r="BZ85" i="15"/>
  <c r="BY85" i="15"/>
  <c r="CA85" i="15"/>
  <c r="CA29" i="6"/>
  <c r="BZ28" i="14"/>
  <c r="BY28" i="14"/>
  <c r="CA28" i="14"/>
  <c r="BX84" i="44"/>
  <c r="CC83" i="44"/>
  <c r="BX83" i="44" s="1"/>
  <c r="BZ85" i="2"/>
  <c r="BY85" i="2"/>
  <c r="CA85" i="2"/>
  <c r="CC45" i="2"/>
  <c r="BX45" i="2" s="1"/>
  <c r="BY45" i="2" s="1"/>
  <c r="BX46" i="2"/>
  <c r="BY46" i="2" s="1"/>
  <c r="BX65" i="6"/>
  <c r="CC64" i="6"/>
  <c r="BX64" i="6" s="1"/>
  <c r="CC46" i="10"/>
  <c r="BX47" i="10"/>
  <c r="CA124" i="39"/>
  <c r="BZ124" i="39"/>
  <c r="BY124" i="39"/>
  <c r="BZ28" i="10"/>
  <c r="BY28" i="10"/>
  <c r="CA28" i="10"/>
  <c r="BX83" i="15"/>
  <c r="BX84" i="15"/>
  <c r="CC27" i="8"/>
  <c r="BX28" i="8"/>
  <c r="CB29" i="39"/>
  <c r="BX29" i="39" s="1"/>
  <c r="CC28" i="39"/>
  <c r="BY122" i="16"/>
  <c r="BZ122" i="16"/>
  <c r="CA49" i="8"/>
  <c r="BZ49" i="8"/>
  <c r="BY49" i="8"/>
  <c r="BZ67" i="44"/>
  <c r="BY67" i="44"/>
  <c r="CA67" i="44"/>
  <c r="BZ123" i="16"/>
  <c r="BY123" i="16"/>
  <c r="CC46" i="6"/>
  <c r="BX47" i="6"/>
  <c r="BY47" i="6" s="1"/>
  <c r="CC47" i="8"/>
  <c r="BX48" i="8"/>
  <c r="CA86" i="5"/>
  <c r="BY86" i="5"/>
  <c r="CA66" i="7"/>
  <c r="BY66" i="7"/>
  <c r="BX84" i="7"/>
  <c r="BZ84" i="7" s="1"/>
  <c r="CC83" i="7"/>
  <c r="BX83" i="7" s="1"/>
  <c r="BX30" i="7"/>
  <c r="CK27" i="5"/>
  <c r="CD28" i="5"/>
  <c r="CA85" i="39"/>
  <c r="BY85" i="39"/>
  <c r="BZ85" i="39"/>
  <c r="CA85" i="7"/>
  <c r="BY85" i="7"/>
  <c r="CC83" i="6"/>
  <c r="BX83" i="6" s="1"/>
  <c r="BX84" i="6"/>
  <c r="BZ84" i="6" s="1"/>
  <c r="BY28" i="11"/>
  <c r="CA28" i="11"/>
  <c r="BZ28" i="11"/>
  <c r="CC26" i="10"/>
  <c r="BX26" i="10" s="1"/>
  <c r="BX27" i="10"/>
  <c r="CA66" i="39"/>
  <c r="BY66" i="39"/>
  <c r="BZ66" i="39"/>
  <c r="CC45" i="14"/>
  <c r="BX45" i="14" s="1"/>
  <c r="BX46" i="14"/>
  <c r="BX163" i="16"/>
  <c r="CC162" i="16"/>
  <c r="BZ85" i="11"/>
  <c r="BY85" i="11"/>
  <c r="CA85" i="11"/>
  <c r="BX27" i="2"/>
  <c r="BZ27" i="2" s="1"/>
  <c r="BX26" i="2"/>
  <c r="BZ26" i="2" s="1"/>
  <c r="CA67" i="10"/>
  <c r="BY67" i="10"/>
  <c r="BZ67" i="10"/>
  <c r="CA48" i="9"/>
  <c r="BZ48" i="9"/>
  <c r="BY48" i="9"/>
  <c r="CC46" i="9"/>
  <c r="BX47" i="9"/>
  <c r="CA29" i="8"/>
  <c r="BZ29" i="8"/>
  <c r="BY29" i="8"/>
  <c r="BX29" i="7"/>
  <c r="CC28" i="7"/>
  <c r="BX28" i="7" s="1"/>
  <c r="CI29" i="5"/>
  <c r="CC83" i="39"/>
  <c r="CB84" i="39"/>
  <c r="BX84" i="39" s="1"/>
  <c r="BZ30" i="39"/>
  <c r="BY30" i="39"/>
  <c r="CA30" i="39"/>
  <c r="CA85" i="6"/>
  <c r="BZ85" i="6"/>
  <c r="BY85" i="6"/>
  <c r="CC26" i="11"/>
  <c r="BX26" i="11" s="1"/>
  <c r="BX27" i="11"/>
  <c r="CC64" i="39"/>
  <c r="CB65" i="39"/>
  <c r="BX65" i="39" s="1"/>
  <c r="BY85" i="44"/>
  <c r="CA85" i="44"/>
  <c r="BZ85" i="44"/>
  <c r="CA47" i="14"/>
  <c r="BZ47" i="14"/>
  <c r="BY47" i="14"/>
  <c r="BY164" i="16"/>
  <c r="CA164" i="16"/>
  <c r="BZ164" i="16"/>
  <c r="CA27" i="12"/>
  <c r="BZ27" i="12"/>
  <c r="BY27" i="12"/>
  <c r="CA26" i="12"/>
  <c r="BZ26" i="12"/>
  <c r="BY26" i="12"/>
  <c r="CF103" i="5" l="1"/>
  <c r="CE103" i="5"/>
  <c r="CH28" i="5"/>
  <c r="CE28" i="5"/>
  <c r="CF28" i="5"/>
  <c r="CG28" i="5"/>
  <c r="CF104" i="5"/>
  <c r="CG104" i="5"/>
  <c r="CA83" i="6"/>
  <c r="BZ83" i="6"/>
  <c r="BY28" i="6"/>
  <c r="BZ28" i="6"/>
  <c r="CA103" i="6"/>
  <c r="BY103" i="6"/>
  <c r="BY64" i="6"/>
  <c r="CA64" i="6"/>
  <c r="BZ64" i="6"/>
  <c r="BY28" i="15"/>
  <c r="CA28" i="15"/>
  <c r="BZ28" i="15"/>
  <c r="CA65" i="7"/>
  <c r="BZ65" i="7"/>
  <c r="BZ47" i="7"/>
  <c r="BZ83" i="7"/>
  <c r="BY83" i="7"/>
  <c r="CA47" i="7"/>
  <c r="G23" i="12"/>
  <c r="G22" i="12"/>
  <c r="BY180" i="16"/>
  <c r="BZ180" i="16"/>
  <c r="CB28" i="39"/>
  <c r="BX28" i="39" s="1"/>
  <c r="BZ47" i="11"/>
  <c r="BY47" i="11"/>
  <c r="CA47" i="11"/>
  <c r="CK102" i="5"/>
  <c r="CD102" i="5" s="1"/>
  <c r="BX181" i="16"/>
  <c r="CA181" i="16" s="1"/>
  <c r="CI104" i="5"/>
  <c r="CH104" i="5"/>
  <c r="BX65" i="5"/>
  <c r="CC64" i="5"/>
  <c r="BX64" i="5" s="1"/>
  <c r="BZ64" i="5" s="1"/>
  <c r="CA182" i="16"/>
  <c r="BZ182" i="16"/>
  <c r="BY182" i="16"/>
  <c r="CC26" i="44"/>
  <c r="BX26" i="44" s="1"/>
  <c r="BX27" i="44"/>
  <c r="CA30" i="7"/>
  <c r="BY66" i="5"/>
  <c r="BZ66" i="5"/>
  <c r="CA66" i="5"/>
  <c r="BZ28" i="44"/>
  <c r="BY28" i="44"/>
  <c r="CA28" i="44"/>
  <c r="BZ30" i="7"/>
  <c r="BX46" i="11"/>
  <c r="CC45" i="11"/>
  <c r="BX45" i="11" s="1"/>
  <c r="BX66" i="8"/>
  <c r="CC65" i="8"/>
  <c r="BX65" i="8" s="1"/>
  <c r="CA67" i="8"/>
  <c r="BY67" i="8"/>
  <c r="BZ67" i="8"/>
  <c r="CA83" i="11"/>
  <c r="BZ83" i="11"/>
  <c r="BY83" i="11"/>
  <c r="CA28" i="8"/>
  <c r="BY28" i="8"/>
  <c r="BZ28" i="8"/>
  <c r="BY46" i="15"/>
  <c r="BZ46" i="15"/>
  <c r="CA46" i="15"/>
  <c r="BY64" i="7"/>
  <c r="BZ64" i="7"/>
  <c r="BY66" i="10"/>
  <c r="CA66" i="10"/>
  <c r="BZ66" i="10"/>
  <c r="CA27" i="11"/>
  <c r="BZ27" i="11"/>
  <c r="BY27" i="11"/>
  <c r="CC27" i="7"/>
  <c r="BX27" i="7" s="1"/>
  <c r="CA47" i="9"/>
  <c r="BY47" i="9"/>
  <c r="BZ47" i="9"/>
  <c r="CC161" i="16"/>
  <c r="BX161" i="16" s="1"/>
  <c r="CA161" i="16" s="1"/>
  <c r="BX162" i="16"/>
  <c r="CA162" i="16" s="1"/>
  <c r="BY83" i="6"/>
  <c r="BZ47" i="6"/>
  <c r="CA47" i="6"/>
  <c r="CA29" i="39"/>
  <c r="BZ29" i="39"/>
  <c r="BY29" i="39"/>
  <c r="BX27" i="8"/>
  <c r="CA27" i="8" s="1"/>
  <c r="CC26" i="8"/>
  <c r="BX26" i="8" s="1"/>
  <c r="BY26" i="8" s="1"/>
  <c r="BZ45" i="15"/>
  <c r="BY45" i="15"/>
  <c r="CA45" i="15"/>
  <c r="CA84" i="2"/>
  <c r="BZ84" i="2"/>
  <c r="BY84" i="2"/>
  <c r="CA46" i="39"/>
  <c r="BY46" i="39"/>
  <c r="BZ46" i="39"/>
  <c r="CA66" i="44"/>
  <c r="BY66" i="44"/>
  <c r="BZ66" i="44"/>
  <c r="BX27" i="9"/>
  <c r="CC26" i="9"/>
  <c r="BX26" i="9" s="1"/>
  <c r="CA84" i="6"/>
  <c r="BY84" i="6"/>
  <c r="BX46" i="9"/>
  <c r="CC45" i="9"/>
  <c r="BX45" i="9" s="1"/>
  <c r="BY163" i="16"/>
  <c r="BZ163" i="16"/>
  <c r="CA163" i="16"/>
  <c r="BX46" i="6"/>
  <c r="BZ46" i="6" s="1"/>
  <c r="CC45" i="6"/>
  <c r="BX45" i="6" s="1"/>
  <c r="BZ45" i="6" s="1"/>
  <c r="CA84" i="15"/>
  <c r="BZ84" i="15"/>
  <c r="BY84" i="15"/>
  <c r="CA46" i="2"/>
  <c r="BZ46" i="2"/>
  <c r="CA83" i="44"/>
  <c r="BY83" i="44"/>
  <c r="BZ83" i="44"/>
  <c r="CA83" i="2"/>
  <c r="BZ83" i="2"/>
  <c r="BY83" i="2"/>
  <c r="CB45" i="39"/>
  <c r="BX45" i="39" s="1"/>
  <c r="CC64" i="44"/>
  <c r="BX64" i="44" s="1"/>
  <c r="BX65" i="44"/>
  <c r="BZ28" i="9"/>
  <c r="CA28" i="9"/>
  <c r="BY28" i="9"/>
  <c r="BX102" i="6"/>
  <c r="BZ102" i="6" s="1"/>
  <c r="CC101" i="6"/>
  <c r="BX101" i="6" s="1"/>
  <c r="BZ101" i="6" s="1"/>
  <c r="CC64" i="10"/>
  <c r="BX64" i="10" s="1"/>
  <c r="BX65" i="10"/>
  <c r="CA29" i="7"/>
  <c r="BZ29" i="7"/>
  <c r="CI28" i="5"/>
  <c r="BZ83" i="15"/>
  <c r="CA83" i="15"/>
  <c r="BY83" i="15"/>
  <c r="CA45" i="2"/>
  <c r="BZ45" i="2"/>
  <c r="CA84" i="44"/>
  <c r="BZ84" i="44"/>
  <c r="BY84" i="44"/>
  <c r="BZ123" i="39"/>
  <c r="CA123" i="39"/>
  <c r="BY123" i="39"/>
  <c r="CA65" i="14"/>
  <c r="BY65" i="14"/>
  <c r="BZ65" i="14"/>
  <c r="CC83" i="5"/>
  <c r="BX83" i="5" s="1"/>
  <c r="BX84" i="5"/>
  <c r="BX27" i="15"/>
  <c r="BY64" i="15"/>
  <c r="BZ64" i="15"/>
  <c r="CA27" i="14"/>
  <c r="BZ27" i="14"/>
  <c r="BY27" i="14"/>
  <c r="CA83" i="7"/>
  <c r="BX46" i="10"/>
  <c r="CC45" i="10"/>
  <c r="BX45" i="10" s="1"/>
  <c r="CC27" i="39"/>
  <c r="CA65" i="6"/>
  <c r="BZ65" i="6"/>
  <c r="BY65" i="6"/>
  <c r="CA26" i="11"/>
  <c r="BZ26" i="11"/>
  <c r="BY26" i="11"/>
  <c r="BY27" i="10"/>
  <c r="CA27" i="10"/>
  <c r="BZ27" i="10"/>
  <c r="CA65" i="39"/>
  <c r="BY65" i="39"/>
  <c r="BZ65" i="39"/>
  <c r="CA84" i="39"/>
  <c r="BZ84" i="39"/>
  <c r="BY84" i="39"/>
  <c r="BY26" i="2"/>
  <c r="CA26" i="2"/>
  <c r="CA45" i="14"/>
  <c r="BZ45" i="14"/>
  <c r="BY45" i="14"/>
  <c r="CA26" i="10"/>
  <c r="BZ26" i="10"/>
  <c r="BY26" i="10"/>
  <c r="CK26" i="5"/>
  <c r="CD26" i="5" s="1"/>
  <c r="CD27" i="5"/>
  <c r="CA48" i="8"/>
  <c r="BZ48" i="8"/>
  <c r="BY48" i="8"/>
  <c r="CA104" i="39"/>
  <c r="BZ104" i="39"/>
  <c r="BY104" i="39"/>
  <c r="CC121" i="39"/>
  <c r="CB122" i="39"/>
  <c r="BX122" i="39" s="1"/>
  <c r="BZ64" i="14"/>
  <c r="CA64" i="14"/>
  <c r="BY64" i="14"/>
  <c r="BY85" i="5"/>
  <c r="BZ85" i="5"/>
  <c r="CA85" i="5"/>
  <c r="CA65" i="15"/>
  <c r="BZ65" i="15"/>
  <c r="BY65" i="15"/>
  <c r="CA26" i="14"/>
  <c r="BZ26" i="14"/>
  <c r="BY26" i="14"/>
  <c r="CC26" i="6"/>
  <c r="BX26" i="6" s="1"/>
  <c r="BZ26" i="6" s="1"/>
  <c r="BX27" i="6"/>
  <c r="BZ47" i="5"/>
  <c r="BY47" i="5"/>
  <c r="CA47" i="5"/>
  <c r="CC45" i="7"/>
  <c r="BX45" i="7" s="1"/>
  <c r="BX46" i="7"/>
  <c r="CA84" i="7"/>
  <c r="BY84" i="7"/>
  <c r="BY65" i="7"/>
  <c r="BZ46" i="14"/>
  <c r="BY46" i="14"/>
  <c r="CA46" i="14"/>
  <c r="CB64" i="39"/>
  <c r="BX64" i="39" s="1"/>
  <c r="CB83" i="39"/>
  <c r="BX83" i="39" s="1"/>
  <c r="BY27" i="2"/>
  <c r="CA27" i="2"/>
  <c r="CC46" i="8"/>
  <c r="BX46" i="8" s="1"/>
  <c r="BX47" i="8"/>
  <c r="CA47" i="10"/>
  <c r="BY47" i="10"/>
  <c r="BZ47" i="10"/>
  <c r="CC102" i="39"/>
  <c r="CB103" i="39"/>
  <c r="CC45" i="5"/>
  <c r="BX45" i="5" s="1"/>
  <c r="BZ45" i="5" s="1"/>
  <c r="BX46" i="5"/>
  <c r="CA46" i="5" s="1"/>
  <c r="CA84" i="11"/>
  <c r="BZ84" i="11"/>
  <c r="BY84" i="11"/>
  <c r="CA28" i="6"/>
  <c r="CF102" i="5" l="1"/>
  <c r="CG102" i="5"/>
  <c r="CE102" i="5"/>
  <c r="CI102" i="5"/>
  <c r="CF26" i="5"/>
  <c r="CG26" i="5"/>
  <c r="CH26" i="5"/>
  <c r="CE26" i="5"/>
  <c r="CI26" i="5"/>
  <c r="CH27" i="5"/>
  <c r="CE27" i="5"/>
  <c r="CG27" i="5"/>
  <c r="CF27" i="5"/>
  <c r="CG103" i="5"/>
  <c r="BY27" i="6"/>
  <c r="BZ27" i="6"/>
  <c r="BY26" i="6"/>
  <c r="CA26" i="6"/>
  <c r="BY45" i="6"/>
  <c r="CA45" i="6"/>
  <c r="CA101" i="6"/>
  <c r="BY101" i="6"/>
  <c r="CA102" i="6"/>
  <c r="BY102" i="6"/>
  <c r="BY46" i="6"/>
  <c r="CA46" i="6"/>
  <c r="BY27" i="15"/>
  <c r="BZ27" i="15"/>
  <c r="CA27" i="15"/>
  <c r="BZ26" i="15"/>
  <c r="BY26" i="15"/>
  <c r="CA26" i="15"/>
  <c r="BZ46" i="7"/>
  <c r="BZ45" i="7"/>
  <c r="CA45" i="7"/>
  <c r="CA46" i="7"/>
  <c r="F16" i="34"/>
  <c r="E19" i="35"/>
  <c r="E27" i="35" s="1"/>
  <c r="CH102" i="5"/>
  <c r="BY27" i="44"/>
  <c r="BZ27" i="44"/>
  <c r="CA27" i="44"/>
  <c r="BZ65" i="5"/>
  <c r="BY65" i="5"/>
  <c r="CA65" i="5"/>
  <c r="CA45" i="11"/>
  <c r="BZ45" i="11"/>
  <c r="BY45" i="11"/>
  <c r="CA26" i="44"/>
  <c r="BY26" i="44"/>
  <c r="BZ26" i="44"/>
  <c r="BY46" i="11"/>
  <c r="BZ46" i="11"/>
  <c r="CA46" i="11"/>
  <c r="CH103" i="5"/>
  <c r="CI103" i="5"/>
  <c r="BY65" i="8"/>
  <c r="CA65" i="8"/>
  <c r="BZ65" i="8"/>
  <c r="BZ66" i="8"/>
  <c r="BY66" i="8"/>
  <c r="CA66" i="8"/>
  <c r="BY181" i="16"/>
  <c r="BZ181" i="16"/>
  <c r="BY64" i="5"/>
  <c r="CA64" i="5"/>
  <c r="CA64" i="44"/>
  <c r="BY64" i="44"/>
  <c r="BZ64" i="44"/>
  <c r="BZ45" i="9"/>
  <c r="BY45" i="9"/>
  <c r="CA45" i="9"/>
  <c r="CA83" i="39"/>
  <c r="BY83" i="39"/>
  <c r="BZ83" i="39"/>
  <c r="CA45" i="39"/>
  <c r="BY45" i="39"/>
  <c r="BZ45" i="39"/>
  <c r="CA46" i="9"/>
  <c r="BZ46" i="9"/>
  <c r="BY46" i="9"/>
  <c r="BZ161" i="16"/>
  <c r="BY161" i="16"/>
  <c r="CI27" i="5"/>
  <c r="CB27" i="39"/>
  <c r="BX27" i="39" s="1"/>
  <c r="CC26" i="39"/>
  <c r="BZ84" i="5"/>
  <c r="CA84" i="5"/>
  <c r="BY84" i="5"/>
  <c r="CA26" i="8"/>
  <c r="BZ26" i="8"/>
  <c r="CA64" i="39"/>
  <c r="BY64" i="39"/>
  <c r="BZ64" i="39"/>
  <c r="BZ26" i="9"/>
  <c r="BY26" i="9"/>
  <c r="CA26" i="9"/>
  <c r="BZ27" i="8"/>
  <c r="BY27" i="8"/>
  <c r="CB102" i="39"/>
  <c r="BX102" i="39" s="1"/>
  <c r="CA27" i="6"/>
  <c r="CB121" i="39"/>
  <c r="BX121" i="39" s="1"/>
  <c r="BZ28" i="39"/>
  <c r="BY28" i="39"/>
  <c r="CA28" i="39"/>
  <c r="BZ46" i="5"/>
  <c r="BY46" i="5"/>
  <c r="CA83" i="5"/>
  <c r="BY83" i="5"/>
  <c r="BZ83" i="5"/>
  <c r="CA46" i="8"/>
  <c r="BZ46" i="8"/>
  <c r="BY46" i="8"/>
  <c r="CA65" i="10"/>
  <c r="BZ65" i="10"/>
  <c r="BY65" i="10"/>
  <c r="CA27" i="9"/>
  <c r="BZ27" i="9"/>
  <c r="BY27" i="9"/>
  <c r="BZ46" i="10"/>
  <c r="CA46" i="10"/>
  <c r="BY46" i="10"/>
  <c r="BY65" i="44"/>
  <c r="CA65" i="44"/>
  <c r="BZ65" i="44"/>
  <c r="BZ122" i="39"/>
  <c r="BY122" i="39"/>
  <c r="CA122" i="39"/>
  <c r="CA47" i="8"/>
  <c r="BZ47" i="8"/>
  <c r="BY47" i="8"/>
  <c r="CA45" i="5"/>
  <c r="BY45" i="5"/>
  <c r="BX103" i="39"/>
  <c r="CA103" i="39" s="1"/>
  <c r="BY45" i="10"/>
  <c r="BZ45" i="10"/>
  <c r="CA45" i="10"/>
  <c r="BZ64" i="10"/>
  <c r="CA64" i="10"/>
  <c r="BY64" i="10"/>
  <c r="BY162" i="16"/>
  <c r="BZ162" i="16"/>
  <c r="CC26" i="7"/>
  <c r="BX26" i="7" s="1"/>
  <c r="CA26" i="7" l="1"/>
  <c r="CA28" i="7"/>
  <c r="BZ28" i="7"/>
  <c r="CA102" i="39"/>
  <c r="BY102" i="39"/>
  <c r="BZ102" i="39"/>
  <c r="BY103" i="39"/>
  <c r="BY121" i="39"/>
  <c r="BZ121" i="39"/>
  <c r="CA121" i="39"/>
  <c r="BZ103" i="39"/>
  <c r="CA27" i="7"/>
  <c r="BZ27" i="7"/>
  <c r="BX26" i="39"/>
  <c r="BY27" i="39"/>
  <c r="CA27" i="39"/>
  <c r="BZ27" i="39"/>
  <c r="BZ26" i="39" l="1"/>
  <c r="BY26" i="39"/>
  <c r="CA26" i="39"/>
  <c r="BZ26" i="7"/>
  <c r="W19" i="15"/>
  <c r="BH19" i="15" s="1"/>
  <c r="BT64" i="15"/>
  <c r="CA76" i="15"/>
  <c r="H32" i="34" l="1"/>
  <c r="G32" i="34"/>
  <c r="F32" i="34"/>
  <c r="E32" i="34"/>
  <c r="Z19" i="15"/>
  <c r="J62" i="26"/>
  <c r="J32" i="34" l="1"/>
  <c r="P32" i="34" l="1"/>
  <c r="BO64" i="15"/>
  <c r="N19" i="15" s="1"/>
  <c r="CA64" i="15"/>
  <c r="K19" i="15"/>
  <c r="CA51" i="16" l="1"/>
  <c r="BS45" i="16"/>
  <c r="Z39" i="16"/>
  <c r="CA48" i="16" l="1"/>
  <c r="CA57" i="16"/>
  <c r="W39" i="16"/>
  <c r="BH39" i="16" s="1"/>
  <c r="BT73" i="5"/>
  <c r="J34" i="26" s="1"/>
  <c r="CA76" i="5"/>
  <c r="BS74" i="5"/>
  <c r="W40" i="5"/>
  <c r="BH40" i="5" s="1"/>
  <c r="H34" i="34" l="1"/>
  <c r="F34" i="34"/>
  <c r="E34" i="34"/>
  <c r="G34" i="34"/>
  <c r="T40" i="5"/>
  <c r="CA75" i="5"/>
  <c r="Z40" i="5"/>
  <c r="H30" i="34"/>
  <c r="E30" i="34"/>
  <c r="F30" i="34"/>
  <c r="G30" i="34"/>
  <c r="H39" i="34" l="1"/>
  <c r="F39" i="34"/>
  <c r="J34" i="34"/>
  <c r="P34" i="34" s="1"/>
  <c r="G39" i="34"/>
  <c r="J30" i="34"/>
  <c r="E39" i="34"/>
  <c r="P30" i="34" l="1"/>
  <c r="P39" i="34" s="1"/>
  <c r="J39" i="3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11" authorId="0" shapeId="0" xr:uid="{00000000-0006-0000-0300-000001000000}">
      <text>
        <r>
          <rPr>
            <b/>
            <sz val="9"/>
            <color indexed="81"/>
            <rFont val="Tahoma"/>
            <family val="2"/>
          </rPr>
          <t>Scott, Justin:</t>
        </r>
        <r>
          <rPr>
            <sz val="9"/>
            <color indexed="81"/>
            <rFont val="Tahoma"/>
            <family val="2"/>
          </rPr>
          <t xml:space="preserve">
This number comes from GBS Controller.</t>
        </r>
      </text>
    </comment>
    <comment ref="B16" authorId="0" shapeId="0" xr:uid="{00000000-0006-0000-0300-000002000000}">
      <text>
        <r>
          <rPr>
            <b/>
            <sz val="9"/>
            <color indexed="81"/>
            <rFont val="Tahoma"/>
            <family val="2"/>
          </rPr>
          <t>Scott, Justin:</t>
        </r>
        <r>
          <rPr>
            <sz val="9"/>
            <color indexed="81"/>
            <rFont val="Tahoma"/>
            <family val="2"/>
          </rPr>
          <t xml:space="preserve">
This number comes from GBS Controller.</t>
        </r>
      </text>
    </comment>
    <comment ref="B21" authorId="0" shapeId="0" xr:uid="{00000000-0006-0000-0300-000003000000}">
      <text>
        <r>
          <rPr>
            <b/>
            <sz val="9"/>
            <color indexed="81"/>
            <rFont val="Tahoma"/>
            <family val="2"/>
          </rPr>
          <t>Scott, Justin:</t>
        </r>
        <r>
          <rPr>
            <sz val="9"/>
            <color indexed="81"/>
            <rFont val="Tahoma"/>
            <family val="2"/>
          </rPr>
          <t xml:space="preserve">
This number comes from GBS Controller.</t>
        </r>
      </text>
    </comment>
    <comment ref="B26" authorId="0" shapeId="0" xr:uid="{00000000-0006-0000-0300-000004000000}">
      <text>
        <r>
          <rPr>
            <b/>
            <sz val="9"/>
            <color indexed="81"/>
            <rFont val="Tahoma"/>
            <family val="2"/>
          </rPr>
          <t>Scott, Justin:</t>
        </r>
        <r>
          <rPr>
            <sz val="9"/>
            <color indexed="81"/>
            <rFont val="Tahoma"/>
            <family val="2"/>
          </rPr>
          <t xml:space="preserve">
This number comes from GBS Controller.</t>
        </r>
      </text>
    </comment>
    <comment ref="B31" authorId="0" shapeId="0" xr:uid="{00000000-0006-0000-0300-000005000000}">
      <text>
        <r>
          <rPr>
            <b/>
            <sz val="9"/>
            <color indexed="81"/>
            <rFont val="Tahoma"/>
            <family val="2"/>
          </rPr>
          <t>Scott, Justin:</t>
        </r>
        <r>
          <rPr>
            <sz val="9"/>
            <color indexed="81"/>
            <rFont val="Tahoma"/>
            <family val="2"/>
          </rPr>
          <t xml:space="preserve">
This number comes from GBS Controller.</t>
        </r>
      </text>
    </comment>
    <comment ref="B36" authorId="0" shapeId="0" xr:uid="{00000000-0006-0000-0300-000006000000}">
      <text>
        <r>
          <rPr>
            <b/>
            <sz val="9"/>
            <color indexed="81"/>
            <rFont val="Tahoma"/>
            <family val="2"/>
          </rPr>
          <t>Scott, Justin:</t>
        </r>
        <r>
          <rPr>
            <sz val="9"/>
            <color indexed="81"/>
            <rFont val="Tahoma"/>
            <family val="2"/>
          </rPr>
          <t xml:space="preserve">
This number comes from GBS Controller.</t>
        </r>
      </text>
    </comment>
    <comment ref="B41" authorId="0" shapeId="0" xr:uid="{00000000-0006-0000-0300-000008000000}">
      <text>
        <r>
          <rPr>
            <b/>
            <sz val="9"/>
            <color indexed="81"/>
            <rFont val="Tahoma"/>
            <family val="2"/>
          </rPr>
          <t>Scott, Justin:</t>
        </r>
        <r>
          <rPr>
            <sz val="9"/>
            <color indexed="81"/>
            <rFont val="Tahoma"/>
            <family val="2"/>
          </rPr>
          <t xml:space="preserve">
This number comes from GBS Controller.</t>
        </r>
      </text>
    </comment>
    <comment ref="B46" authorId="0" shapeId="0" xr:uid="{00000000-0006-0000-0300-000009000000}">
      <text>
        <r>
          <rPr>
            <b/>
            <sz val="9"/>
            <color indexed="81"/>
            <rFont val="Tahoma"/>
            <family val="2"/>
          </rPr>
          <t>Scott, Justin:</t>
        </r>
        <r>
          <rPr>
            <sz val="9"/>
            <color indexed="81"/>
            <rFont val="Tahoma"/>
            <family val="2"/>
          </rPr>
          <t xml:space="preserve">
This number comes from GBS Controller.</t>
        </r>
      </text>
    </comment>
    <comment ref="B51" authorId="0" shapeId="0" xr:uid="{00000000-0006-0000-0300-000012000000}">
      <text>
        <r>
          <rPr>
            <b/>
            <sz val="9"/>
            <color indexed="81"/>
            <rFont val="Tahoma"/>
            <family val="2"/>
          </rPr>
          <t>Scott, Justin:</t>
        </r>
        <r>
          <rPr>
            <sz val="9"/>
            <color indexed="81"/>
            <rFont val="Tahoma"/>
            <family val="2"/>
          </rPr>
          <t xml:space="preserve">
This number comes from GBS Controller.</t>
        </r>
      </text>
    </comment>
    <comment ref="B56" authorId="0" shapeId="0" xr:uid="{00000000-0006-0000-0300-000013000000}">
      <text>
        <r>
          <rPr>
            <b/>
            <sz val="9"/>
            <color indexed="81"/>
            <rFont val="Tahoma"/>
            <family val="2"/>
          </rPr>
          <t>Scott, Justin:</t>
        </r>
        <r>
          <rPr>
            <sz val="9"/>
            <color indexed="81"/>
            <rFont val="Tahoma"/>
            <family val="2"/>
          </rPr>
          <t xml:space="preserve">
This number comes from GBS Controller.</t>
        </r>
      </text>
    </comment>
    <comment ref="B61" authorId="0" shapeId="0" xr:uid="{00000000-0006-0000-0300-000014000000}">
      <text>
        <r>
          <rPr>
            <b/>
            <sz val="9"/>
            <color indexed="81"/>
            <rFont val="Tahoma"/>
            <family val="2"/>
          </rPr>
          <t>Scott, Justin:</t>
        </r>
        <r>
          <rPr>
            <sz val="9"/>
            <color indexed="81"/>
            <rFont val="Tahoma"/>
            <family val="2"/>
          </rPr>
          <t xml:space="preserve">
This number comes from GBS Controller.</t>
        </r>
      </text>
    </comment>
    <comment ref="B66" authorId="0" shapeId="0" xr:uid="{00000000-0006-0000-0300-000016000000}">
      <text>
        <r>
          <rPr>
            <b/>
            <sz val="9"/>
            <color indexed="81"/>
            <rFont val="Tahoma"/>
            <family val="2"/>
          </rPr>
          <t>Scott, Justin:</t>
        </r>
        <r>
          <rPr>
            <sz val="9"/>
            <color indexed="81"/>
            <rFont val="Tahoma"/>
            <family val="2"/>
          </rPr>
          <t xml:space="preserve">
This number comes from GBS Controller.</t>
        </r>
      </text>
    </comment>
    <comment ref="B71" authorId="0" shapeId="0" xr:uid="{00000000-0006-0000-0300-000018000000}">
      <text>
        <r>
          <rPr>
            <b/>
            <sz val="9"/>
            <color indexed="81"/>
            <rFont val="Tahoma"/>
            <family val="2"/>
          </rPr>
          <t>Scott, Justin:</t>
        </r>
        <r>
          <rPr>
            <sz val="9"/>
            <color indexed="81"/>
            <rFont val="Tahoma"/>
            <family val="2"/>
          </rPr>
          <t xml:space="preserve">
This number comes from GBS Controller.</t>
        </r>
      </text>
    </comment>
    <comment ref="B76" authorId="0" shapeId="0" xr:uid="{9F144FA8-488F-4974-A1E4-AAFA19740248}">
      <text>
        <r>
          <rPr>
            <b/>
            <sz val="9"/>
            <color indexed="81"/>
            <rFont val="Tahoma"/>
            <family val="2"/>
          </rPr>
          <t>Scott, Justin:</t>
        </r>
        <r>
          <rPr>
            <sz val="9"/>
            <color indexed="81"/>
            <rFont val="Tahoma"/>
            <family val="2"/>
          </rPr>
          <t xml:space="preserve">
This number comes from GBS Controller.</t>
        </r>
      </text>
    </comment>
    <comment ref="B81" authorId="0" shapeId="0" xr:uid="{EB0BBC9E-1D8D-4C1B-B678-4EC025361E6E}">
      <text>
        <r>
          <rPr>
            <b/>
            <sz val="9"/>
            <color indexed="81"/>
            <rFont val="Tahoma"/>
            <family val="2"/>
          </rPr>
          <t>Scott, Justin:</t>
        </r>
        <r>
          <rPr>
            <sz val="9"/>
            <color indexed="81"/>
            <rFont val="Tahoma"/>
            <family val="2"/>
          </rPr>
          <t xml:space="preserve">
This number comes from GBS Controller.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Giretti, Joseph</author>
    <author>Scott, Justin</author>
  </authors>
  <commentList>
    <comment ref="B6" authorId="0" shapeId="0" xr:uid="{00000000-0006-0000-0400-000001000000}">
      <text>
        <r>
          <rPr>
            <b/>
            <sz val="9"/>
            <color indexed="81"/>
            <rFont val="Tahoma"/>
            <family val="2"/>
          </rPr>
          <t>Giretti, Joseph:</t>
        </r>
        <r>
          <rPr>
            <sz val="9"/>
            <color indexed="81"/>
            <rFont val="Tahoma"/>
            <family val="2"/>
          </rPr>
          <t xml:space="preserve">
GL 7976</t>
        </r>
      </text>
    </comment>
    <comment ref="B12" authorId="1" shapeId="0" xr:uid="{00000000-0006-0000-0400-000002000000}">
      <text>
        <r>
          <rPr>
            <b/>
            <sz val="9"/>
            <color indexed="81"/>
            <rFont val="Tahoma"/>
            <family val="2"/>
          </rPr>
          <t>Scott, Justin:</t>
        </r>
        <r>
          <rPr>
            <sz val="9"/>
            <color indexed="81"/>
            <rFont val="Tahoma"/>
            <family val="2"/>
          </rPr>
          <t xml:space="preserve">
This value comes from the Total Direct Labor line on the Income Statement.</t>
        </r>
      </text>
    </comment>
    <comment ref="B13" authorId="1" shapeId="0" xr:uid="{00000000-0006-0000-0400-000003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4" authorId="1" shapeId="0" xr:uid="{00000000-0006-0000-0400-000004000000}">
      <text>
        <r>
          <rPr>
            <b/>
            <sz val="9"/>
            <color indexed="81"/>
            <rFont val="Tahoma"/>
            <family val="2"/>
          </rPr>
          <t>Scott, Justin:</t>
        </r>
        <r>
          <rPr>
            <sz val="9"/>
            <color indexed="81"/>
            <rFont val="Tahoma"/>
            <family val="2"/>
          </rPr>
          <t xml:space="preserve">
This value comes from the EBIT line on the Income Statement.</t>
        </r>
      </text>
    </comment>
    <comment ref="B16" authorId="1" shapeId="0" xr:uid="{00000000-0006-0000-0400-000005000000}">
      <text>
        <r>
          <rPr>
            <b/>
            <sz val="9"/>
            <color indexed="81"/>
            <rFont val="Tahoma"/>
            <family val="2"/>
          </rPr>
          <t>Scott, Justin:</t>
        </r>
        <r>
          <rPr>
            <sz val="9"/>
            <color indexed="81"/>
            <rFont val="Tahoma"/>
            <family val="2"/>
          </rPr>
          <t xml:space="preserve">
This value comes from the Total Direct Labor line on the Income Statement.</t>
        </r>
      </text>
    </comment>
    <comment ref="B17" authorId="1" shapeId="0" xr:uid="{00000000-0006-0000-0400-000006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8" authorId="1" shapeId="0" xr:uid="{00000000-0006-0000-0400-000007000000}">
      <text>
        <r>
          <rPr>
            <b/>
            <sz val="9"/>
            <color indexed="81"/>
            <rFont val="Tahoma"/>
            <family val="2"/>
          </rPr>
          <t>Scott, Justin:</t>
        </r>
        <r>
          <rPr>
            <sz val="9"/>
            <color indexed="81"/>
            <rFont val="Tahoma"/>
            <family val="2"/>
          </rPr>
          <t xml:space="preserve">
This value comes from the EBIT line on the Income Statement.</t>
        </r>
      </text>
    </comment>
    <comment ref="B20" authorId="1" shapeId="0" xr:uid="{00000000-0006-0000-0400-000008000000}">
      <text>
        <r>
          <rPr>
            <b/>
            <sz val="9"/>
            <color indexed="81"/>
            <rFont val="Tahoma"/>
            <family val="2"/>
          </rPr>
          <t>Scott, Justin:</t>
        </r>
        <r>
          <rPr>
            <sz val="9"/>
            <color indexed="81"/>
            <rFont val="Tahoma"/>
            <family val="2"/>
          </rPr>
          <t xml:space="preserve">
This value comes from the Total Direct Labor line on the Income Statement.</t>
        </r>
      </text>
    </comment>
    <comment ref="B21" authorId="1" shapeId="0" xr:uid="{00000000-0006-0000-0400-000009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2" authorId="1" shapeId="0" xr:uid="{00000000-0006-0000-0400-00000A000000}">
      <text>
        <r>
          <rPr>
            <b/>
            <sz val="9"/>
            <color indexed="81"/>
            <rFont val="Tahoma"/>
            <family val="2"/>
          </rPr>
          <t>Scott, Justin:</t>
        </r>
        <r>
          <rPr>
            <sz val="9"/>
            <color indexed="81"/>
            <rFont val="Tahoma"/>
            <family val="2"/>
          </rPr>
          <t xml:space="preserve">
This value comes from the EBIT line on the Income Statement.</t>
        </r>
      </text>
    </comment>
    <comment ref="B25" authorId="1" shapeId="0" xr:uid="{00000000-0006-0000-0400-00000B000000}">
      <text>
        <r>
          <rPr>
            <b/>
            <sz val="9"/>
            <color indexed="81"/>
            <rFont val="Tahoma"/>
            <family val="2"/>
          </rPr>
          <t>Scott, Justin:</t>
        </r>
        <r>
          <rPr>
            <sz val="9"/>
            <color indexed="81"/>
            <rFont val="Tahoma"/>
            <family val="2"/>
          </rPr>
          <t xml:space="preserve">
This value comes from the Total Direct Labor line on the Income Statement.</t>
        </r>
      </text>
    </comment>
    <comment ref="B26" authorId="1" shapeId="0" xr:uid="{00000000-0006-0000-0400-00000C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7" authorId="1" shapeId="0" xr:uid="{00000000-0006-0000-0400-00000D000000}">
      <text>
        <r>
          <rPr>
            <b/>
            <sz val="9"/>
            <color indexed="81"/>
            <rFont val="Tahoma"/>
            <family val="2"/>
          </rPr>
          <t>Scott, Justin:</t>
        </r>
        <r>
          <rPr>
            <sz val="9"/>
            <color indexed="81"/>
            <rFont val="Tahoma"/>
            <family val="2"/>
          </rPr>
          <t xml:space="preserve">
This value comes from the EBIT line on the Income Statement.</t>
        </r>
      </text>
    </comment>
    <comment ref="B29" authorId="1" shapeId="0" xr:uid="{00000000-0006-0000-0400-00000E000000}">
      <text>
        <r>
          <rPr>
            <b/>
            <sz val="9"/>
            <color indexed="81"/>
            <rFont val="Tahoma"/>
            <family val="2"/>
          </rPr>
          <t>Scott, Justin:</t>
        </r>
        <r>
          <rPr>
            <sz val="9"/>
            <color indexed="81"/>
            <rFont val="Tahoma"/>
            <family val="2"/>
          </rPr>
          <t xml:space="preserve">
This value comes from the Total Direct Labor line on the Income Statement.</t>
        </r>
      </text>
    </comment>
    <comment ref="B30" authorId="1" shapeId="0" xr:uid="{00000000-0006-0000-0400-00000F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1" authorId="1" shapeId="0" xr:uid="{00000000-0006-0000-0400-000010000000}">
      <text>
        <r>
          <rPr>
            <b/>
            <sz val="9"/>
            <color indexed="81"/>
            <rFont val="Tahoma"/>
            <family val="2"/>
          </rPr>
          <t>Scott, Justin:</t>
        </r>
        <r>
          <rPr>
            <sz val="9"/>
            <color indexed="81"/>
            <rFont val="Tahoma"/>
            <family val="2"/>
          </rPr>
          <t xml:space="preserve">
This value comes from the EBIT line on the Income Statement.</t>
        </r>
      </text>
    </comment>
    <comment ref="B33" authorId="1" shapeId="0" xr:uid="{00000000-0006-0000-0400-000011000000}">
      <text>
        <r>
          <rPr>
            <b/>
            <sz val="9"/>
            <color indexed="81"/>
            <rFont val="Tahoma"/>
            <family val="2"/>
          </rPr>
          <t>Scott, Justin:</t>
        </r>
        <r>
          <rPr>
            <sz val="9"/>
            <color indexed="81"/>
            <rFont val="Tahoma"/>
            <family val="2"/>
          </rPr>
          <t xml:space="preserve">
This value comes from the Total Direct Labor line on the Income Statement.</t>
        </r>
      </text>
    </comment>
    <comment ref="B34" authorId="1" shapeId="0" xr:uid="{00000000-0006-0000-0400-000012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5" authorId="1" shapeId="0" xr:uid="{00000000-0006-0000-0400-000013000000}">
      <text>
        <r>
          <rPr>
            <b/>
            <sz val="9"/>
            <color indexed="81"/>
            <rFont val="Tahoma"/>
            <family val="2"/>
          </rPr>
          <t>Scott, Justin:</t>
        </r>
        <r>
          <rPr>
            <sz val="9"/>
            <color indexed="81"/>
            <rFont val="Tahoma"/>
            <family val="2"/>
          </rPr>
          <t xml:space="preserve">
This value comes from the EBIT line on the Income Statement.</t>
        </r>
      </text>
    </comment>
    <comment ref="B37" authorId="0" shapeId="0" xr:uid="{00000000-0006-0000-0400-000014000000}">
      <text>
        <r>
          <rPr>
            <b/>
            <sz val="9"/>
            <color indexed="81"/>
            <rFont val="Tahoma"/>
            <family val="2"/>
          </rPr>
          <t>Giretti, Joseph:</t>
        </r>
        <r>
          <rPr>
            <sz val="9"/>
            <color indexed="81"/>
            <rFont val="Tahoma"/>
            <family val="2"/>
          </rPr>
          <t xml:space="preserve">
GL 7974</t>
        </r>
      </text>
    </comment>
    <comment ref="B43" authorId="1" shapeId="0" xr:uid="{00000000-0006-0000-0400-000015000000}">
      <text>
        <r>
          <rPr>
            <b/>
            <sz val="9"/>
            <color indexed="81"/>
            <rFont val="Tahoma"/>
            <family val="2"/>
          </rPr>
          <t>Scott, Justin:</t>
        </r>
        <r>
          <rPr>
            <sz val="9"/>
            <color indexed="81"/>
            <rFont val="Tahoma"/>
            <family val="2"/>
          </rPr>
          <t xml:space="preserve">
This value comes from the Total Direct Labor line on the Income Statement.</t>
        </r>
      </text>
    </comment>
    <comment ref="B44" authorId="1" shapeId="0" xr:uid="{00000000-0006-0000-0400-000016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5" authorId="1" shapeId="0" xr:uid="{00000000-0006-0000-0400-000017000000}">
      <text>
        <r>
          <rPr>
            <b/>
            <sz val="9"/>
            <color indexed="81"/>
            <rFont val="Tahoma"/>
            <family val="2"/>
          </rPr>
          <t>Scott, Justin:</t>
        </r>
        <r>
          <rPr>
            <sz val="9"/>
            <color indexed="81"/>
            <rFont val="Tahoma"/>
            <family val="2"/>
          </rPr>
          <t xml:space="preserve">
This value comes from the EBIT line on the Income Statement.</t>
        </r>
      </text>
    </comment>
    <comment ref="B47" authorId="1" shapeId="0" xr:uid="{00000000-0006-0000-0400-000018000000}">
      <text>
        <r>
          <rPr>
            <b/>
            <sz val="9"/>
            <color indexed="81"/>
            <rFont val="Tahoma"/>
            <family val="2"/>
          </rPr>
          <t>Scott, Justin:</t>
        </r>
        <r>
          <rPr>
            <sz val="9"/>
            <color indexed="81"/>
            <rFont val="Tahoma"/>
            <family val="2"/>
          </rPr>
          <t xml:space="preserve">
This value comes from the Total Direct Labor line on the Income Statement.</t>
        </r>
      </text>
    </comment>
    <comment ref="B48" authorId="1" shapeId="0" xr:uid="{00000000-0006-0000-0400-000019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9" authorId="1" shapeId="0" xr:uid="{00000000-0006-0000-0400-00001A000000}">
      <text>
        <r>
          <rPr>
            <b/>
            <sz val="9"/>
            <color indexed="81"/>
            <rFont val="Tahoma"/>
            <family val="2"/>
          </rPr>
          <t>Scott, Justin:</t>
        </r>
        <r>
          <rPr>
            <sz val="9"/>
            <color indexed="81"/>
            <rFont val="Tahoma"/>
            <family val="2"/>
          </rPr>
          <t xml:space="preserve">
This value comes from the EBIT line on the Income Statement.</t>
        </r>
      </text>
    </comment>
    <comment ref="B51" authorId="1" shapeId="0" xr:uid="{00000000-0006-0000-0400-00001B000000}">
      <text>
        <r>
          <rPr>
            <b/>
            <sz val="9"/>
            <color indexed="81"/>
            <rFont val="Tahoma"/>
            <family val="2"/>
          </rPr>
          <t>Scott, Justin:</t>
        </r>
        <r>
          <rPr>
            <sz val="9"/>
            <color indexed="81"/>
            <rFont val="Tahoma"/>
            <family val="2"/>
          </rPr>
          <t xml:space="preserve">
This value comes from the Total Direct Labor line on the Income Statement.</t>
        </r>
      </text>
    </comment>
    <comment ref="B52" authorId="1" shapeId="0" xr:uid="{00000000-0006-0000-0400-00001C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3" authorId="1" shapeId="0" xr:uid="{00000000-0006-0000-0400-00001D000000}">
      <text>
        <r>
          <rPr>
            <b/>
            <sz val="9"/>
            <color indexed="81"/>
            <rFont val="Tahoma"/>
            <family val="2"/>
          </rPr>
          <t>Scott, Justin:</t>
        </r>
        <r>
          <rPr>
            <sz val="9"/>
            <color indexed="81"/>
            <rFont val="Tahoma"/>
            <family val="2"/>
          </rPr>
          <t xml:space="preserve">
This value comes from the EBIT line on the Income Statement.</t>
        </r>
      </text>
    </comment>
    <comment ref="B56" authorId="1" shapeId="0" xr:uid="{00000000-0006-0000-0400-00001E000000}">
      <text>
        <r>
          <rPr>
            <b/>
            <sz val="9"/>
            <color indexed="81"/>
            <rFont val="Tahoma"/>
            <family val="2"/>
          </rPr>
          <t>Scott, Justin:</t>
        </r>
        <r>
          <rPr>
            <sz val="9"/>
            <color indexed="81"/>
            <rFont val="Tahoma"/>
            <family val="2"/>
          </rPr>
          <t xml:space="preserve">
This value comes from the Total Direct Labor line on the Income Statement.</t>
        </r>
      </text>
    </comment>
    <comment ref="B57" authorId="1" shapeId="0" xr:uid="{00000000-0006-0000-0400-00001F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8" authorId="1" shapeId="0" xr:uid="{00000000-0006-0000-0400-000020000000}">
      <text>
        <r>
          <rPr>
            <b/>
            <sz val="9"/>
            <color indexed="81"/>
            <rFont val="Tahoma"/>
            <family val="2"/>
          </rPr>
          <t>Scott, Justin:</t>
        </r>
        <r>
          <rPr>
            <sz val="9"/>
            <color indexed="81"/>
            <rFont val="Tahoma"/>
            <family val="2"/>
          </rPr>
          <t xml:space="preserve">
This value comes from the EBIT line on the Income Statement.</t>
        </r>
      </text>
    </comment>
    <comment ref="B60" authorId="1" shapeId="0" xr:uid="{00000000-0006-0000-0400-000021000000}">
      <text>
        <r>
          <rPr>
            <b/>
            <sz val="9"/>
            <color indexed="81"/>
            <rFont val="Tahoma"/>
            <family val="2"/>
          </rPr>
          <t>Scott, Justin:</t>
        </r>
        <r>
          <rPr>
            <sz val="9"/>
            <color indexed="81"/>
            <rFont val="Tahoma"/>
            <family val="2"/>
          </rPr>
          <t xml:space="preserve">
This value comes from the Total Direct Labor line on the Income Statement.</t>
        </r>
      </text>
    </comment>
    <comment ref="B61" authorId="1" shapeId="0" xr:uid="{00000000-0006-0000-0400-000022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2" authorId="1" shapeId="0" xr:uid="{00000000-0006-0000-0400-000023000000}">
      <text>
        <r>
          <rPr>
            <b/>
            <sz val="9"/>
            <color indexed="81"/>
            <rFont val="Tahoma"/>
            <family val="2"/>
          </rPr>
          <t>Scott, Justin:</t>
        </r>
        <r>
          <rPr>
            <sz val="9"/>
            <color indexed="81"/>
            <rFont val="Tahoma"/>
            <family val="2"/>
          </rPr>
          <t xml:space="preserve">
This value comes from the EBIT line on the Income Statement.</t>
        </r>
      </text>
    </comment>
    <comment ref="B64" authorId="1" shapeId="0" xr:uid="{00000000-0006-0000-0400-000024000000}">
      <text>
        <r>
          <rPr>
            <b/>
            <sz val="9"/>
            <color indexed="81"/>
            <rFont val="Tahoma"/>
            <family val="2"/>
          </rPr>
          <t>Scott, Justin:</t>
        </r>
        <r>
          <rPr>
            <sz val="9"/>
            <color indexed="81"/>
            <rFont val="Tahoma"/>
            <family val="2"/>
          </rPr>
          <t xml:space="preserve">
This value comes from the Total Direct Labor line on the Income Statement.</t>
        </r>
      </text>
    </comment>
    <comment ref="B65" authorId="1" shapeId="0" xr:uid="{00000000-0006-0000-0400-000025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6" authorId="1" shapeId="0" xr:uid="{00000000-0006-0000-0400-000026000000}">
      <text>
        <r>
          <rPr>
            <b/>
            <sz val="9"/>
            <color indexed="81"/>
            <rFont val="Tahoma"/>
            <family val="2"/>
          </rPr>
          <t>Scott, Justin:</t>
        </r>
        <r>
          <rPr>
            <sz val="9"/>
            <color indexed="81"/>
            <rFont val="Tahoma"/>
            <family val="2"/>
          </rPr>
          <t xml:space="preserve">
This value comes from the EBIT line on the Income Statement.</t>
        </r>
      </text>
    </comment>
    <comment ref="B68" authorId="0" shapeId="0" xr:uid="{00000000-0006-0000-0400-000027000000}">
      <text>
        <r>
          <rPr>
            <b/>
            <sz val="9"/>
            <color indexed="81"/>
            <rFont val="Tahoma"/>
            <family val="2"/>
          </rPr>
          <t>Giretti, Joseph:</t>
        </r>
        <r>
          <rPr>
            <sz val="9"/>
            <color indexed="81"/>
            <rFont val="Tahoma"/>
            <family val="2"/>
          </rPr>
          <t xml:space="preserve">
GL 7972</t>
        </r>
      </text>
    </comment>
    <comment ref="B74" authorId="1" shapeId="0" xr:uid="{00000000-0006-0000-0400-000028000000}">
      <text>
        <r>
          <rPr>
            <b/>
            <sz val="9"/>
            <color indexed="81"/>
            <rFont val="Tahoma"/>
            <family val="2"/>
          </rPr>
          <t>Scott, Justin:</t>
        </r>
        <r>
          <rPr>
            <sz val="9"/>
            <color indexed="81"/>
            <rFont val="Tahoma"/>
            <family val="2"/>
          </rPr>
          <t xml:space="preserve">
This value comes from the Total Direct Labor line on the Income Statement.</t>
        </r>
      </text>
    </comment>
    <comment ref="B75" authorId="1" shapeId="0" xr:uid="{00000000-0006-0000-0400-000029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76" authorId="1" shapeId="0" xr:uid="{00000000-0006-0000-0400-00002A000000}">
      <text>
        <r>
          <rPr>
            <b/>
            <sz val="9"/>
            <color indexed="81"/>
            <rFont val="Tahoma"/>
            <family val="2"/>
          </rPr>
          <t>Scott, Justin:</t>
        </r>
        <r>
          <rPr>
            <sz val="9"/>
            <color indexed="81"/>
            <rFont val="Tahoma"/>
            <family val="2"/>
          </rPr>
          <t xml:space="preserve">
This value comes from the EBIT line on the Income Statement.</t>
        </r>
      </text>
    </comment>
    <comment ref="B78" authorId="1" shapeId="0" xr:uid="{00000000-0006-0000-0400-00002B000000}">
      <text>
        <r>
          <rPr>
            <b/>
            <sz val="9"/>
            <color indexed="81"/>
            <rFont val="Tahoma"/>
            <family val="2"/>
          </rPr>
          <t>Scott, Justin:</t>
        </r>
        <r>
          <rPr>
            <sz val="9"/>
            <color indexed="81"/>
            <rFont val="Tahoma"/>
            <family val="2"/>
          </rPr>
          <t xml:space="preserve">
This value comes from the Total Direct Labor line on the Income Statement.</t>
        </r>
      </text>
    </comment>
    <comment ref="B79" authorId="1" shapeId="0" xr:uid="{00000000-0006-0000-0400-00002C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80" authorId="1" shapeId="0" xr:uid="{00000000-0006-0000-0400-00002D000000}">
      <text>
        <r>
          <rPr>
            <b/>
            <sz val="9"/>
            <color indexed="81"/>
            <rFont val="Tahoma"/>
            <family val="2"/>
          </rPr>
          <t>Scott, Justin:</t>
        </r>
        <r>
          <rPr>
            <sz val="9"/>
            <color indexed="81"/>
            <rFont val="Tahoma"/>
            <family val="2"/>
          </rPr>
          <t xml:space="preserve">
This value comes from the EBIT line on the Income Statement.</t>
        </r>
      </text>
    </comment>
    <comment ref="B82" authorId="1" shapeId="0" xr:uid="{00000000-0006-0000-0400-00002E000000}">
      <text>
        <r>
          <rPr>
            <b/>
            <sz val="9"/>
            <color indexed="81"/>
            <rFont val="Tahoma"/>
            <family val="2"/>
          </rPr>
          <t>Scott, Justin:</t>
        </r>
        <r>
          <rPr>
            <sz val="9"/>
            <color indexed="81"/>
            <rFont val="Tahoma"/>
            <family val="2"/>
          </rPr>
          <t xml:space="preserve">
This value comes from the Total Direct Labor line on the Income Statement.</t>
        </r>
      </text>
    </comment>
    <comment ref="B83" authorId="1" shapeId="0" xr:uid="{00000000-0006-0000-0400-00002F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84" authorId="1" shapeId="0" xr:uid="{00000000-0006-0000-0400-000030000000}">
      <text>
        <r>
          <rPr>
            <b/>
            <sz val="9"/>
            <color indexed="81"/>
            <rFont val="Tahoma"/>
            <family val="2"/>
          </rPr>
          <t>Scott, Justin:</t>
        </r>
        <r>
          <rPr>
            <sz val="9"/>
            <color indexed="81"/>
            <rFont val="Tahoma"/>
            <family val="2"/>
          </rPr>
          <t xml:space="preserve">
This value comes from the EBIT line on the Income Statement.</t>
        </r>
      </text>
    </comment>
    <comment ref="B87" authorId="1" shapeId="0" xr:uid="{00000000-0006-0000-0400-000031000000}">
      <text>
        <r>
          <rPr>
            <b/>
            <sz val="9"/>
            <color indexed="81"/>
            <rFont val="Tahoma"/>
            <family val="2"/>
          </rPr>
          <t>Scott, Justin:</t>
        </r>
        <r>
          <rPr>
            <sz val="9"/>
            <color indexed="81"/>
            <rFont val="Tahoma"/>
            <family val="2"/>
          </rPr>
          <t xml:space="preserve">
This value comes from the Total Direct Labor line on the Income Statement.</t>
        </r>
      </text>
    </comment>
    <comment ref="B88" authorId="1" shapeId="0" xr:uid="{00000000-0006-0000-0400-000032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89" authorId="1" shapeId="0" xr:uid="{00000000-0006-0000-0400-000033000000}">
      <text>
        <r>
          <rPr>
            <b/>
            <sz val="9"/>
            <color indexed="81"/>
            <rFont val="Tahoma"/>
            <family val="2"/>
          </rPr>
          <t>Scott, Justin:</t>
        </r>
        <r>
          <rPr>
            <sz val="9"/>
            <color indexed="81"/>
            <rFont val="Tahoma"/>
            <family val="2"/>
          </rPr>
          <t xml:space="preserve">
This value comes from the EBIT line on the Income Statement.</t>
        </r>
      </text>
    </comment>
    <comment ref="B91" authorId="1" shapeId="0" xr:uid="{00000000-0006-0000-0400-000034000000}">
      <text>
        <r>
          <rPr>
            <b/>
            <sz val="9"/>
            <color indexed="81"/>
            <rFont val="Tahoma"/>
            <family val="2"/>
          </rPr>
          <t>Scott, Justin:</t>
        </r>
        <r>
          <rPr>
            <sz val="9"/>
            <color indexed="81"/>
            <rFont val="Tahoma"/>
            <family val="2"/>
          </rPr>
          <t xml:space="preserve">
This value comes from the Total Direct Labor line on the Income Statement.</t>
        </r>
      </text>
    </comment>
    <comment ref="B92" authorId="1" shapeId="0" xr:uid="{00000000-0006-0000-0400-000035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93" authorId="1" shapeId="0" xr:uid="{00000000-0006-0000-0400-000036000000}">
      <text>
        <r>
          <rPr>
            <b/>
            <sz val="9"/>
            <color indexed="81"/>
            <rFont val="Tahoma"/>
            <family val="2"/>
          </rPr>
          <t>Scott, Justin:</t>
        </r>
        <r>
          <rPr>
            <sz val="9"/>
            <color indexed="81"/>
            <rFont val="Tahoma"/>
            <family val="2"/>
          </rPr>
          <t xml:space="preserve">
This value comes from the EBIT line on the Income Statement.</t>
        </r>
      </text>
    </comment>
    <comment ref="B95" authorId="1" shapeId="0" xr:uid="{00000000-0006-0000-0400-000037000000}">
      <text>
        <r>
          <rPr>
            <b/>
            <sz val="9"/>
            <color indexed="81"/>
            <rFont val="Tahoma"/>
            <family val="2"/>
          </rPr>
          <t>Scott, Justin:</t>
        </r>
        <r>
          <rPr>
            <sz val="9"/>
            <color indexed="81"/>
            <rFont val="Tahoma"/>
            <family val="2"/>
          </rPr>
          <t xml:space="preserve">
This value comes from the Total Direct Labor line on the Income Statement.</t>
        </r>
      </text>
    </comment>
    <comment ref="B96" authorId="1" shapeId="0" xr:uid="{00000000-0006-0000-0400-000038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97" authorId="1" shapeId="0" xr:uid="{00000000-0006-0000-0400-000039000000}">
      <text>
        <r>
          <rPr>
            <b/>
            <sz val="9"/>
            <color indexed="81"/>
            <rFont val="Tahoma"/>
            <family val="2"/>
          </rPr>
          <t>Scott, Justin:</t>
        </r>
        <r>
          <rPr>
            <sz val="9"/>
            <color indexed="81"/>
            <rFont val="Tahoma"/>
            <family val="2"/>
          </rPr>
          <t xml:space="preserve">
This value comes from the EBIT line on the Income Statement.</t>
        </r>
      </text>
    </comment>
    <comment ref="B99" authorId="0" shapeId="0" xr:uid="{00000000-0006-0000-0400-00003A000000}">
      <text>
        <r>
          <rPr>
            <b/>
            <sz val="9"/>
            <color indexed="81"/>
            <rFont val="Tahoma"/>
            <family val="2"/>
          </rPr>
          <t>Giretti, Joseph:</t>
        </r>
        <r>
          <rPr>
            <sz val="9"/>
            <color indexed="81"/>
            <rFont val="Tahoma"/>
            <family val="2"/>
          </rPr>
          <t xml:space="preserve">
GL 7973</t>
        </r>
      </text>
    </comment>
    <comment ref="B105" authorId="1" shapeId="0" xr:uid="{00000000-0006-0000-0400-00003B000000}">
      <text>
        <r>
          <rPr>
            <b/>
            <sz val="9"/>
            <color indexed="81"/>
            <rFont val="Tahoma"/>
            <family val="2"/>
          </rPr>
          <t>Scott, Justin:</t>
        </r>
        <r>
          <rPr>
            <sz val="9"/>
            <color indexed="81"/>
            <rFont val="Tahoma"/>
            <family val="2"/>
          </rPr>
          <t xml:space="preserve">
This value comes from the Total Direct Labor line on the Income Statement.</t>
        </r>
      </text>
    </comment>
    <comment ref="B106" authorId="1" shapeId="0" xr:uid="{00000000-0006-0000-0400-00003C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07" authorId="1" shapeId="0" xr:uid="{00000000-0006-0000-0400-00003D000000}">
      <text>
        <r>
          <rPr>
            <b/>
            <sz val="9"/>
            <color indexed="81"/>
            <rFont val="Tahoma"/>
            <family val="2"/>
          </rPr>
          <t>Scott, Justin:</t>
        </r>
        <r>
          <rPr>
            <sz val="9"/>
            <color indexed="81"/>
            <rFont val="Tahoma"/>
            <family val="2"/>
          </rPr>
          <t xml:space="preserve">
This value comes from the EBIT line on the Income Statement.</t>
        </r>
      </text>
    </comment>
    <comment ref="B109" authorId="1" shapeId="0" xr:uid="{00000000-0006-0000-0400-00003E000000}">
      <text>
        <r>
          <rPr>
            <b/>
            <sz val="9"/>
            <color indexed="81"/>
            <rFont val="Tahoma"/>
            <family val="2"/>
          </rPr>
          <t>Scott, Justin:</t>
        </r>
        <r>
          <rPr>
            <sz val="9"/>
            <color indexed="81"/>
            <rFont val="Tahoma"/>
            <family val="2"/>
          </rPr>
          <t xml:space="preserve">
This value comes from the Total Direct Labor line on the Income Statement.</t>
        </r>
      </text>
    </comment>
    <comment ref="B110" authorId="1" shapeId="0" xr:uid="{00000000-0006-0000-0400-00003F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11" authorId="1" shapeId="0" xr:uid="{00000000-0006-0000-0400-000040000000}">
      <text>
        <r>
          <rPr>
            <b/>
            <sz val="9"/>
            <color indexed="81"/>
            <rFont val="Tahoma"/>
            <family val="2"/>
          </rPr>
          <t>Scott, Justin:</t>
        </r>
        <r>
          <rPr>
            <sz val="9"/>
            <color indexed="81"/>
            <rFont val="Tahoma"/>
            <family val="2"/>
          </rPr>
          <t xml:space="preserve">
This value comes from the EBIT line on the Income Statement.</t>
        </r>
      </text>
    </comment>
    <comment ref="B113" authorId="1" shapeId="0" xr:uid="{00000000-0006-0000-0400-000041000000}">
      <text>
        <r>
          <rPr>
            <b/>
            <sz val="9"/>
            <color indexed="81"/>
            <rFont val="Tahoma"/>
            <family val="2"/>
          </rPr>
          <t>Scott, Justin:</t>
        </r>
        <r>
          <rPr>
            <sz val="9"/>
            <color indexed="81"/>
            <rFont val="Tahoma"/>
            <family val="2"/>
          </rPr>
          <t xml:space="preserve">
This value comes from the Total Direct Labor line on the Income Statement.</t>
        </r>
      </text>
    </comment>
    <comment ref="B114" authorId="1" shapeId="0" xr:uid="{00000000-0006-0000-0400-000042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15" authorId="1" shapeId="0" xr:uid="{00000000-0006-0000-0400-000043000000}">
      <text>
        <r>
          <rPr>
            <b/>
            <sz val="9"/>
            <color indexed="81"/>
            <rFont val="Tahoma"/>
            <family val="2"/>
          </rPr>
          <t>Scott, Justin:</t>
        </r>
        <r>
          <rPr>
            <sz val="9"/>
            <color indexed="81"/>
            <rFont val="Tahoma"/>
            <family val="2"/>
          </rPr>
          <t xml:space="preserve">
This value comes from the EBIT line on the Income Statement.</t>
        </r>
      </text>
    </comment>
    <comment ref="B118" authorId="1" shapeId="0" xr:uid="{00000000-0006-0000-0400-000044000000}">
      <text>
        <r>
          <rPr>
            <b/>
            <sz val="9"/>
            <color indexed="81"/>
            <rFont val="Tahoma"/>
            <family val="2"/>
          </rPr>
          <t>Scott, Justin:</t>
        </r>
        <r>
          <rPr>
            <sz val="9"/>
            <color indexed="81"/>
            <rFont val="Tahoma"/>
            <family val="2"/>
          </rPr>
          <t xml:space="preserve">
This value comes from the Total Direct Labor line on the Income Statement.</t>
        </r>
      </text>
    </comment>
    <comment ref="B119" authorId="1" shapeId="0" xr:uid="{00000000-0006-0000-0400-000045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20" authorId="1" shapeId="0" xr:uid="{00000000-0006-0000-0400-000046000000}">
      <text>
        <r>
          <rPr>
            <b/>
            <sz val="9"/>
            <color indexed="81"/>
            <rFont val="Tahoma"/>
            <family val="2"/>
          </rPr>
          <t>Scott, Justin:</t>
        </r>
        <r>
          <rPr>
            <sz val="9"/>
            <color indexed="81"/>
            <rFont val="Tahoma"/>
            <family val="2"/>
          </rPr>
          <t xml:space="preserve">
This value comes from the EBIT line on the Income Statement.</t>
        </r>
      </text>
    </comment>
    <comment ref="B122" authorId="1" shapeId="0" xr:uid="{00000000-0006-0000-0400-000047000000}">
      <text>
        <r>
          <rPr>
            <b/>
            <sz val="9"/>
            <color indexed="81"/>
            <rFont val="Tahoma"/>
            <family val="2"/>
          </rPr>
          <t>Scott, Justin:</t>
        </r>
        <r>
          <rPr>
            <sz val="9"/>
            <color indexed="81"/>
            <rFont val="Tahoma"/>
            <family val="2"/>
          </rPr>
          <t xml:space="preserve">
This value comes from the Total Direct Labor line on the Income Statement.</t>
        </r>
      </text>
    </comment>
    <comment ref="B123" authorId="1" shapeId="0" xr:uid="{00000000-0006-0000-0400-000048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24" authorId="1" shapeId="0" xr:uid="{00000000-0006-0000-0400-000049000000}">
      <text>
        <r>
          <rPr>
            <b/>
            <sz val="9"/>
            <color indexed="81"/>
            <rFont val="Tahoma"/>
            <family val="2"/>
          </rPr>
          <t>Scott, Justin:</t>
        </r>
        <r>
          <rPr>
            <sz val="9"/>
            <color indexed="81"/>
            <rFont val="Tahoma"/>
            <family val="2"/>
          </rPr>
          <t xml:space="preserve">
This value comes from the EBIT line on the Income Statement.</t>
        </r>
      </text>
    </comment>
    <comment ref="B126" authorId="1" shapeId="0" xr:uid="{00000000-0006-0000-0400-00004A000000}">
      <text>
        <r>
          <rPr>
            <b/>
            <sz val="9"/>
            <color indexed="81"/>
            <rFont val="Tahoma"/>
            <family val="2"/>
          </rPr>
          <t>Scott, Justin:</t>
        </r>
        <r>
          <rPr>
            <sz val="9"/>
            <color indexed="81"/>
            <rFont val="Tahoma"/>
            <family val="2"/>
          </rPr>
          <t xml:space="preserve">
This value comes from the Total Direct Labor line on the Income Statement.</t>
        </r>
      </text>
    </comment>
    <comment ref="B127" authorId="1" shapeId="0" xr:uid="{00000000-0006-0000-0400-00004B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28" authorId="1" shapeId="0" xr:uid="{00000000-0006-0000-0400-00004C000000}">
      <text>
        <r>
          <rPr>
            <b/>
            <sz val="9"/>
            <color indexed="81"/>
            <rFont val="Tahoma"/>
            <family val="2"/>
          </rPr>
          <t>Scott, Justin:</t>
        </r>
        <r>
          <rPr>
            <sz val="9"/>
            <color indexed="81"/>
            <rFont val="Tahoma"/>
            <family val="2"/>
          </rPr>
          <t xml:space="preserve">
This value comes from the EBIT line on the Income Statement.</t>
        </r>
      </text>
    </comment>
    <comment ref="B130" authorId="0" shapeId="0" xr:uid="{00000000-0006-0000-0400-00004D000000}">
      <text>
        <r>
          <rPr>
            <b/>
            <sz val="9"/>
            <color indexed="81"/>
            <rFont val="Tahoma"/>
            <family val="2"/>
          </rPr>
          <t>Giretti, Joseph:</t>
        </r>
        <r>
          <rPr>
            <sz val="9"/>
            <color indexed="81"/>
            <rFont val="Tahoma"/>
            <family val="2"/>
          </rPr>
          <t xml:space="preserve">
GL 7977, 7980, 7981</t>
        </r>
      </text>
    </comment>
    <comment ref="B136" authorId="1" shapeId="0" xr:uid="{00000000-0006-0000-0400-00004E000000}">
      <text>
        <r>
          <rPr>
            <b/>
            <sz val="9"/>
            <color indexed="81"/>
            <rFont val="Tahoma"/>
            <family val="2"/>
          </rPr>
          <t>Scott, Justin:</t>
        </r>
        <r>
          <rPr>
            <sz val="9"/>
            <color indexed="81"/>
            <rFont val="Tahoma"/>
            <family val="2"/>
          </rPr>
          <t xml:space="preserve">
This value comes from the Total Direct Labor line on the Income Statement.</t>
        </r>
      </text>
    </comment>
    <comment ref="B137" authorId="1" shapeId="0" xr:uid="{00000000-0006-0000-0400-00004F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38" authorId="1" shapeId="0" xr:uid="{00000000-0006-0000-0400-000050000000}">
      <text>
        <r>
          <rPr>
            <b/>
            <sz val="9"/>
            <color indexed="81"/>
            <rFont val="Tahoma"/>
            <family val="2"/>
          </rPr>
          <t>Scott, Justin:</t>
        </r>
        <r>
          <rPr>
            <sz val="9"/>
            <color indexed="81"/>
            <rFont val="Tahoma"/>
            <family val="2"/>
          </rPr>
          <t xml:space="preserve">
This value comes from the EBIT line on the Income Statement.</t>
        </r>
      </text>
    </comment>
    <comment ref="B140" authorId="1" shapeId="0" xr:uid="{00000000-0006-0000-0400-000051000000}">
      <text>
        <r>
          <rPr>
            <b/>
            <sz val="9"/>
            <color indexed="81"/>
            <rFont val="Tahoma"/>
            <family val="2"/>
          </rPr>
          <t>Scott, Justin:</t>
        </r>
        <r>
          <rPr>
            <sz val="9"/>
            <color indexed="81"/>
            <rFont val="Tahoma"/>
            <family val="2"/>
          </rPr>
          <t xml:space="preserve">
This value comes from the Total Direct Labor line on the Income Statement.</t>
        </r>
      </text>
    </comment>
    <comment ref="B141" authorId="1" shapeId="0" xr:uid="{00000000-0006-0000-0400-000052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42" authorId="1" shapeId="0" xr:uid="{00000000-0006-0000-0400-000053000000}">
      <text>
        <r>
          <rPr>
            <b/>
            <sz val="9"/>
            <color indexed="81"/>
            <rFont val="Tahoma"/>
            <family val="2"/>
          </rPr>
          <t>Scott, Justin:</t>
        </r>
        <r>
          <rPr>
            <sz val="9"/>
            <color indexed="81"/>
            <rFont val="Tahoma"/>
            <family val="2"/>
          </rPr>
          <t xml:space="preserve">
This value comes from the EBIT line on the Income Statement.</t>
        </r>
      </text>
    </comment>
    <comment ref="B144" authorId="1" shapeId="0" xr:uid="{00000000-0006-0000-0400-000054000000}">
      <text>
        <r>
          <rPr>
            <b/>
            <sz val="9"/>
            <color indexed="81"/>
            <rFont val="Tahoma"/>
            <family val="2"/>
          </rPr>
          <t>Scott, Justin:</t>
        </r>
        <r>
          <rPr>
            <sz val="9"/>
            <color indexed="81"/>
            <rFont val="Tahoma"/>
            <family val="2"/>
          </rPr>
          <t xml:space="preserve">
This value comes from the Total Direct Labor line on the Income Statement.</t>
        </r>
      </text>
    </comment>
    <comment ref="B145" authorId="1" shapeId="0" xr:uid="{00000000-0006-0000-0400-000055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46" authorId="1" shapeId="0" xr:uid="{00000000-0006-0000-0400-000056000000}">
      <text>
        <r>
          <rPr>
            <b/>
            <sz val="9"/>
            <color indexed="81"/>
            <rFont val="Tahoma"/>
            <family val="2"/>
          </rPr>
          <t>Scott, Justin:</t>
        </r>
        <r>
          <rPr>
            <sz val="9"/>
            <color indexed="81"/>
            <rFont val="Tahoma"/>
            <family val="2"/>
          </rPr>
          <t xml:space="preserve">
This value comes from the EBIT line on the Income Statement.</t>
        </r>
      </text>
    </comment>
    <comment ref="B149" authorId="1" shapeId="0" xr:uid="{00000000-0006-0000-0400-000057000000}">
      <text>
        <r>
          <rPr>
            <b/>
            <sz val="9"/>
            <color indexed="81"/>
            <rFont val="Tahoma"/>
            <family val="2"/>
          </rPr>
          <t>Scott, Justin:</t>
        </r>
        <r>
          <rPr>
            <sz val="9"/>
            <color indexed="81"/>
            <rFont val="Tahoma"/>
            <family val="2"/>
          </rPr>
          <t xml:space="preserve">
This value comes from the Total Direct Labor line on the Income Statement.</t>
        </r>
      </text>
    </comment>
    <comment ref="B150" authorId="1" shapeId="0" xr:uid="{00000000-0006-0000-0400-000058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51" authorId="1" shapeId="0" xr:uid="{00000000-0006-0000-0400-000059000000}">
      <text>
        <r>
          <rPr>
            <b/>
            <sz val="9"/>
            <color indexed="81"/>
            <rFont val="Tahoma"/>
            <family val="2"/>
          </rPr>
          <t>Scott, Justin:</t>
        </r>
        <r>
          <rPr>
            <sz val="9"/>
            <color indexed="81"/>
            <rFont val="Tahoma"/>
            <family val="2"/>
          </rPr>
          <t xml:space="preserve">
This value comes from the EBIT line on the Income Statement.</t>
        </r>
      </text>
    </comment>
    <comment ref="B153" authorId="1" shapeId="0" xr:uid="{00000000-0006-0000-0400-00005A000000}">
      <text>
        <r>
          <rPr>
            <b/>
            <sz val="9"/>
            <color indexed="81"/>
            <rFont val="Tahoma"/>
            <family val="2"/>
          </rPr>
          <t>Scott, Justin:</t>
        </r>
        <r>
          <rPr>
            <sz val="9"/>
            <color indexed="81"/>
            <rFont val="Tahoma"/>
            <family val="2"/>
          </rPr>
          <t xml:space="preserve">
This value comes from the Total Direct Labor line on the Income Statement.</t>
        </r>
      </text>
    </comment>
    <comment ref="B154" authorId="1" shapeId="0" xr:uid="{00000000-0006-0000-0400-00005B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55" authorId="1" shapeId="0" xr:uid="{00000000-0006-0000-0400-00005C000000}">
      <text>
        <r>
          <rPr>
            <b/>
            <sz val="9"/>
            <color indexed="81"/>
            <rFont val="Tahoma"/>
            <family val="2"/>
          </rPr>
          <t>Scott, Justin:</t>
        </r>
        <r>
          <rPr>
            <sz val="9"/>
            <color indexed="81"/>
            <rFont val="Tahoma"/>
            <family val="2"/>
          </rPr>
          <t xml:space="preserve">
This value comes from the EBIT line on the Income Statement.</t>
        </r>
      </text>
    </comment>
    <comment ref="B157" authorId="1" shapeId="0" xr:uid="{00000000-0006-0000-0400-00005D000000}">
      <text>
        <r>
          <rPr>
            <b/>
            <sz val="9"/>
            <color indexed="81"/>
            <rFont val="Tahoma"/>
            <family val="2"/>
          </rPr>
          <t>Scott, Justin:</t>
        </r>
        <r>
          <rPr>
            <sz val="9"/>
            <color indexed="81"/>
            <rFont val="Tahoma"/>
            <family val="2"/>
          </rPr>
          <t xml:space="preserve">
This value comes from the Total Direct Labor line on the Income Statement.</t>
        </r>
      </text>
    </comment>
    <comment ref="B158" authorId="1" shapeId="0" xr:uid="{00000000-0006-0000-0400-00005E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59" authorId="1" shapeId="0" xr:uid="{00000000-0006-0000-0400-00005F000000}">
      <text>
        <r>
          <rPr>
            <b/>
            <sz val="9"/>
            <color indexed="81"/>
            <rFont val="Tahoma"/>
            <family val="2"/>
          </rPr>
          <t>Scott, Justin:</t>
        </r>
        <r>
          <rPr>
            <sz val="9"/>
            <color indexed="81"/>
            <rFont val="Tahoma"/>
            <family val="2"/>
          </rPr>
          <t xml:space="preserve">
This value comes from the EBIT line on the Income Statement.</t>
        </r>
      </text>
    </comment>
    <comment ref="B161" authorId="0" shapeId="0" xr:uid="{00000000-0006-0000-0400-000060000000}">
      <text>
        <r>
          <rPr>
            <b/>
            <sz val="9"/>
            <color indexed="81"/>
            <rFont val="Tahoma"/>
            <family val="2"/>
          </rPr>
          <t>Giretti, Joseph:</t>
        </r>
        <r>
          <rPr>
            <sz val="9"/>
            <color indexed="81"/>
            <rFont val="Tahoma"/>
            <family val="2"/>
          </rPr>
          <t xml:space="preserve">
GL 7979</t>
        </r>
      </text>
    </comment>
    <comment ref="B167" authorId="1" shapeId="0" xr:uid="{00000000-0006-0000-0400-000061000000}">
      <text>
        <r>
          <rPr>
            <b/>
            <sz val="9"/>
            <color indexed="81"/>
            <rFont val="Tahoma"/>
            <family val="2"/>
          </rPr>
          <t>Scott, Justin:</t>
        </r>
        <r>
          <rPr>
            <sz val="9"/>
            <color indexed="81"/>
            <rFont val="Tahoma"/>
            <family val="2"/>
          </rPr>
          <t xml:space="preserve">
This value comes from the Total Direct Labor line on the Income Statement.</t>
        </r>
      </text>
    </comment>
    <comment ref="B168" authorId="1" shapeId="0" xr:uid="{00000000-0006-0000-0400-000062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69" authorId="1" shapeId="0" xr:uid="{00000000-0006-0000-0400-000063000000}">
      <text>
        <r>
          <rPr>
            <b/>
            <sz val="9"/>
            <color indexed="81"/>
            <rFont val="Tahoma"/>
            <family val="2"/>
          </rPr>
          <t>Scott, Justin:</t>
        </r>
        <r>
          <rPr>
            <sz val="9"/>
            <color indexed="81"/>
            <rFont val="Tahoma"/>
            <family val="2"/>
          </rPr>
          <t xml:space="preserve">
This value comes from the EBIT line on the Income Statement.</t>
        </r>
      </text>
    </comment>
    <comment ref="B171" authorId="1" shapeId="0" xr:uid="{00000000-0006-0000-0400-000064000000}">
      <text>
        <r>
          <rPr>
            <b/>
            <sz val="9"/>
            <color indexed="81"/>
            <rFont val="Tahoma"/>
            <family val="2"/>
          </rPr>
          <t>Scott, Justin:</t>
        </r>
        <r>
          <rPr>
            <sz val="9"/>
            <color indexed="81"/>
            <rFont val="Tahoma"/>
            <family val="2"/>
          </rPr>
          <t xml:space="preserve">
This value comes from the Total Direct Labor line on the Income Statement.</t>
        </r>
      </text>
    </comment>
    <comment ref="B172" authorId="1" shapeId="0" xr:uid="{00000000-0006-0000-0400-000065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73" authorId="1" shapeId="0" xr:uid="{00000000-0006-0000-0400-000066000000}">
      <text>
        <r>
          <rPr>
            <b/>
            <sz val="9"/>
            <color indexed="81"/>
            <rFont val="Tahoma"/>
            <family val="2"/>
          </rPr>
          <t>Scott, Justin:</t>
        </r>
        <r>
          <rPr>
            <sz val="9"/>
            <color indexed="81"/>
            <rFont val="Tahoma"/>
            <family val="2"/>
          </rPr>
          <t xml:space="preserve">
This value comes from the EBIT line on the Income Statement.</t>
        </r>
      </text>
    </comment>
    <comment ref="B175" authorId="1" shapeId="0" xr:uid="{00000000-0006-0000-0400-000067000000}">
      <text>
        <r>
          <rPr>
            <b/>
            <sz val="9"/>
            <color indexed="81"/>
            <rFont val="Tahoma"/>
            <family val="2"/>
          </rPr>
          <t>Scott, Justin:</t>
        </r>
        <r>
          <rPr>
            <sz val="9"/>
            <color indexed="81"/>
            <rFont val="Tahoma"/>
            <family val="2"/>
          </rPr>
          <t xml:space="preserve">
This value comes from the Total Direct Labor line on the Income Statement.</t>
        </r>
      </text>
    </comment>
    <comment ref="B176" authorId="1" shapeId="0" xr:uid="{00000000-0006-0000-0400-000068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77" authorId="1" shapeId="0" xr:uid="{00000000-0006-0000-0400-000069000000}">
      <text>
        <r>
          <rPr>
            <b/>
            <sz val="9"/>
            <color indexed="81"/>
            <rFont val="Tahoma"/>
            <family val="2"/>
          </rPr>
          <t>Scott, Justin:</t>
        </r>
        <r>
          <rPr>
            <sz val="9"/>
            <color indexed="81"/>
            <rFont val="Tahoma"/>
            <family val="2"/>
          </rPr>
          <t xml:space="preserve">
This value comes from the EBIT line on the Income Statement.</t>
        </r>
      </text>
    </comment>
    <comment ref="B180" authorId="1" shapeId="0" xr:uid="{00000000-0006-0000-0400-00006A000000}">
      <text>
        <r>
          <rPr>
            <b/>
            <sz val="9"/>
            <color indexed="81"/>
            <rFont val="Tahoma"/>
            <family val="2"/>
          </rPr>
          <t>Scott, Justin:</t>
        </r>
        <r>
          <rPr>
            <sz val="9"/>
            <color indexed="81"/>
            <rFont val="Tahoma"/>
            <family val="2"/>
          </rPr>
          <t xml:space="preserve">
This value comes from the Total Direct Labor line on the Income Statement.</t>
        </r>
      </text>
    </comment>
    <comment ref="B181" authorId="1" shapeId="0" xr:uid="{00000000-0006-0000-0400-00006B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82" authorId="1" shapeId="0" xr:uid="{00000000-0006-0000-0400-00006C000000}">
      <text>
        <r>
          <rPr>
            <b/>
            <sz val="9"/>
            <color indexed="81"/>
            <rFont val="Tahoma"/>
            <family val="2"/>
          </rPr>
          <t>Scott, Justin:</t>
        </r>
        <r>
          <rPr>
            <sz val="9"/>
            <color indexed="81"/>
            <rFont val="Tahoma"/>
            <family val="2"/>
          </rPr>
          <t xml:space="preserve">
This value comes from the EBIT line on the Income Statement.</t>
        </r>
      </text>
    </comment>
    <comment ref="B184" authorId="1" shapeId="0" xr:uid="{00000000-0006-0000-0400-00006D000000}">
      <text>
        <r>
          <rPr>
            <b/>
            <sz val="9"/>
            <color indexed="81"/>
            <rFont val="Tahoma"/>
            <family val="2"/>
          </rPr>
          <t>Scott, Justin:</t>
        </r>
        <r>
          <rPr>
            <sz val="9"/>
            <color indexed="81"/>
            <rFont val="Tahoma"/>
            <family val="2"/>
          </rPr>
          <t xml:space="preserve">
This value comes from the Total Direct Labor line on the Income Statement.</t>
        </r>
      </text>
    </comment>
    <comment ref="B185" authorId="1" shapeId="0" xr:uid="{00000000-0006-0000-0400-00006E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86" authorId="1" shapeId="0" xr:uid="{00000000-0006-0000-0400-00006F000000}">
      <text>
        <r>
          <rPr>
            <b/>
            <sz val="9"/>
            <color indexed="81"/>
            <rFont val="Tahoma"/>
            <family val="2"/>
          </rPr>
          <t>Scott, Justin:</t>
        </r>
        <r>
          <rPr>
            <sz val="9"/>
            <color indexed="81"/>
            <rFont val="Tahoma"/>
            <family val="2"/>
          </rPr>
          <t xml:space="preserve">
This value comes from the EBIT line on the Income Statement.</t>
        </r>
      </text>
    </comment>
    <comment ref="B188" authorId="1" shapeId="0" xr:uid="{00000000-0006-0000-0400-000070000000}">
      <text>
        <r>
          <rPr>
            <b/>
            <sz val="9"/>
            <color indexed="81"/>
            <rFont val="Tahoma"/>
            <family val="2"/>
          </rPr>
          <t>Scott, Justin:</t>
        </r>
        <r>
          <rPr>
            <sz val="9"/>
            <color indexed="81"/>
            <rFont val="Tahoma"/>
            <family val="2"/>
          </rPr>
          <t xml:space="preserve">
This value comes from the Total Direct Labor line on the Income Statement.</t>
        </r>
      </text>
    </comment>
    <comment ref="B189" authorId="1" shapeId="0" xr:uid="{00000000-0006-0000-0400-000071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90" authorId="1" shapeId="0" xr:uid="{00000000-0006-0000-0400-000072000000}">
      <text>
        <r>
          <rPr>
            <b/>
            <sz val="9"/>
            <color indexed="81"/>
            <rFont val="Tahoma"/>
            <family val="2"/>
          </rPr>
          <t>Scott, Justin:</t>
        </r>
        <r>
          <rPr>
            <sz val="9"/>
            <color indexed="81"/>
            <rFont val="Tahoma"/>
            <family val="2"/>
          </rPr>
          <t xml:space="preserve">
This value comes from the EBIT line on the Income Statement.</t>
        </r>
      </text>
    </comment>
    <comment ref="B192" authorId="0" shapeId="0" xr:uid="{00000000-0006-0000-0400-000073000000}">
      <text>
        <r>
          <rPr>
            <b/>
            <sz val="9"/>
            <color indexed="81"/>
            <rFont val="Tahoma"/>
            <family val="2"/>
          </rPr>
          <t>Giretti, Joseph:</t>
        </r>
        <r>
          <rPr>
            <sz val="9"/>
            <color indexed="81"/>
            <rFont val="Tahoma"/>
            <family val="2"/>
          </rPr>
          <t xml:space="preserve">
GL 7984</t>
        </r>
      </text>
    </comment>
    <comment ref="B198" authorId="1" shapeId="0" xr:uid="{00000000-0006-0000-0400-000074000000}">
      <text>
        <r>
          <rPr>
            <b/>
            <sz val="9"/>
            <color indexed="81"/>
            <rFont val="Tahoma"/>
            <family val="2"/>
          </rPr>
          <t>Scott, Justin:</t>
        </r>
        <r>
          <rPr>
            <sz val="9"/>
            <color indexed="81"/>
            <rFont val="Tahoma"/>
            <family val="2"/>
          </rPr>
          <t xml:space="preserve">
This value comes from the Total Direct Labor line on the Income Statement.</t>
        </r>
      </text>
    </comment>
    <comment ref="B199" authorId="1" shapeId="0" xr:uid="{00000000-0006-0000-0400-000075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00" authorId="1" shapeId="0" xr:uid="{00000000-0006-0000-0400-000076000000}">
      <text>
        <r>
          <rPr>
            <b/>
            <sz val="9"/>
            <color indexed="81"/>
            <rFont val="Tahoma"/>
            <family val="2"/>
          </rPr>
          <t>Scott, Justin:</t>
        </r>
        <r>
          <rPr>
            <sz val="9"/>
            <color indexed="81"/>
            <rFont val="Tahoma"/>
            <family val="2"/>
          </rPr>
          <t xml:space="preserve">
This value comes from the EBIT line on the Income Statement.</t>
        </r>
      </text>
    </comment>
    <comment ref="B202" authorId="1" shapeId="0" xr:uid="{00000000-0006-0000-0400-000077000000}">
      <text>
        <r>
          <rPr>
            <b/>
            <sz val="9"/>
            <color indexed="81"/>
            <rFont val="Tahoma"/>
            <family val="2"/>
          </rPr>
          <t>Scott, Justin:</t>
        </r>
        <r>
          <rPr>
            <sz val="9"/>
            <color indexed="81"/>
            <rFont val="Tahoma"/>
            <family val="2"/>
          </rPr>
          <t xml:space="preserve">
This value comes from the Total Direct Labor line on the Income Statement.</t>
        </r>
      </text>
    </comment>
    <comment ref="B203" authorId="1" shapeId="0" xr:uid="{00000000-0006-0000-0400-000078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04" authorId="1" shapeId="0" xr:uid="{00000000-0006-0000-0400-000079000000}">
      <text>
        <r>
          <rPr>
            <b/>
            <sz val="9"/>
            <color indexed="81"/>
            <rFont val="Tahoma"/>
            <family val="2"/>
          </rPr>
          <t>Scott, Justin:</t>
        </r>
        <r>
          <rPr>
            <sz val="9"/>
            <color indexed="81"/>
            <rFont val="Tahoma"/>
            <family val="2"/>
          </rPr>
          <t xml:space="preserve">
This value comes from the EBIT line on the Income Statement.</t>
        </r>
      </text>
    </comment>
    <comment ref="B206" authorId="1" shapeId="0" xr:uid="{00000000-0006-0000-0400-00007A000000}">
      <text>
        <r>
          <rPr>
            <b/>
            <sz val="9"/>
            <color indexed="81"/>
            <rFont val="Tahoma"/>
            <family val="2"/>
          </rPr>
          <t>Scott, Justin:</t>
        </r>
        <r>
          <rPr>
            <sz val="9"/>
            <color indexed="81"/>
            <rFont val="Tahoma"/>
            <family val="2"/>
          </rPr>
          <t xml:space="preserve">
This value comes from the Total Direct Labor line on the Income Statement.</t>
        </r>
      </text>
    </comment>
    <comment ref="B207" authorId="1" shapeId="0" xr:uid="{00000000-0006-0000-0400-00007B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08" authorId="1" shapeId="0" xr:uid="{00000000-0006-0000-0400-00007C000000}">
      <text>
        <r>
          <rPr>
            <b/>
            <sz val="9"/>
            <color indexed="81"/>
            <rFont val="Tahoma"/>
            <family val="2"/>
          </rPr>
          <t>Scott, Justin:</t>
        </r>
        <r>
          <rPr>
            <sz val="9"/>
            <color indexed="81"/>
            <rFont val="Tahoma"/>
            <family val="2"/>
          </rPr>
          <t xml:space="preserve">
This value comes from the EBIT line on the Income Statement.</t>
        </r>
      </text>
    </comment>
    <comment ref="B211" authorId="1" shapeId="0" xr:uid="{00000000-0006-0000-0400-00007D000000}">
      <text>
        <r>
          <rPr>
            <b/>
            <sz val="9"/>
            <color indexed="81"/>
            <rFont val="Tahoma"/>
            <family val="2"/>
          </rPr>
          <t>Scott, Justin:</t>
        </r>
        <r>
          <rPr>
            <sz val="9"/>
            <color indexed="81"/>
            <rFont val="Tahoma"/>
            <family val="2"/>
          </rPr>
          <t xml:space="preserve">
This value comes from the Total Direct Labor line on the Income Statement.</t>
        </r>
      </text>
    </comment>
    <comment ref="B212" authorId="1" shapeId="0" xr:uid="{00000000-0006-0000-0400-00007E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13" authorId="1" shapeId="0" xr:uid="{00000000-0006-0000-0400-00007F000000}">
      <text>
        <r>
          <rPr>
            <b/>
            <sz val="9"/>
            <color indexed="81"/>
            <rFont val="Tahoma"/>
            <family val="2"/>
          </rPr>
          <t>Scott, Justin:</t>
        </r>
        <r>
          <rPr>
            <sz val="9"/>
            <color indexed="81"/>
            <rFont val="Tahoma"/>
            <family val="2"/>
          </rPr>
          <t xml:space="preserve">
This value comes from the EBIT line on the Income Statement.</t>
        </r>
      </text>
    </comment>
    <comment ref="B215" authorId="1" shapeId="0" xr:uid="{00000000-0006-0000-0400-000080000000}">
      <text>
        <r>
          <rPr>
            <b/>
            <sz val="9"/>
            <color indexed="81"/>
            <rFont val="Tahoma"/>
            <family val="2"/>
          </rPr>
          <t>Scott, Justin:</t>
        </r>
        <r>
          <rPr>
            <sz val="9"/>
            <color indexed="81"/>
            <rFont val="Tahoma"/>
            <family val="2"/>
          </rPr>
          <t xml:space="preserve">
This value comes from the Total Direct Labor line on the Income Statement.</t>
        </r>
      </text>
    </comment>
    <comment ref="B216" authorId="1" shapeId="0" xr:uid="{00000000-0006-0000-0400-000081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17" authorId="1" shapeId="0" xr:uid="{00000000-0006-0000-0400-000082000000}">
      <text>
        <r>
          <rPr>
            <b/>
            <sz val="9"/>
            <color indexed="81"/>
            <rFont val="Tahoma"/>
            <family val="2"/>
          </rPr>
          <t>Scott, Justin:</t>
        </r>
        <r>
          <rPr>
            <sz val="9"/>
            <color indexed="81"/>
            <rFont val="Tahoma"/>
            <family val="2"/>
          </rPr>
          <t xml:space="preserve">
This value comes from the EBIT line on the Income Statement.</t>
        </r>
      </text>
    </comment>
    <comment ref="B219" authorId="1" shapeId="0" xr:uid="{00000000-0006-0000-0400-000083000000}">
      <text>
        <r>
          <rPr>
            <b/>
            <sz val="9"/>
            <color indexed="81"/>
            <rFont val="Tahoma"/>
            <family val="2"/>
          </rPr>
          <t>Scott, Justin:</t>
        </r>
        <r>
          <rPr>
            <sz val="9"/>
            <color indexed="81"/>
            <rFont val="Tahoma"/>
            <family val="2"/>
          </rPr>
          <t xml:space="preserve">
This value comes from the Total Direct Labor line on the Income Statement.</t>
        </r>
      </text>
    </comment>
    <comment ref="B220" authorId="1" shapeId="0" xr:uid="{00000000-0006-0000-0400-000084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21" authorId="1" shapeId="0" xr:uid="{00000000-0006-0000-0400-000085000000}">
      <text>
        <r>
          <rPr>
            <b/>
            <sz val="9"/>
            <color indexed="81"/>
            <rFont val="Tahoma"/>
            <family val="2"/>
          </rPr>
          <t>Scott, Justin:</t>
        </r>
        <r>
          <rPr>
            <sz val="9"/>
            <color indexed="81"/>
            <rFont val="Tahoma"/>
            <family val="2"/>
          </rPr>
          <t xml:space="preserve">
This value comes from the EBIT line on the Income Statement.</t>
        </r>
      </text>
    </comment>
    <comment ref="B223" authorId="0" shapeId="0" xr:uid="{00000000-0006-0000-0400-000086000000}">
      <text>
        <r>
          <rPr>
            <b/>
            <sz val="9"/>
            <color indexed="81"/>
            <rFont val="Tahoma"/>
            <family val="2"/>
          </rPr>
          <t>Giretti, Joseph:</t>
        </r>
        <r>
          <rPr>
            <sz val="9"/>
            <color indexed="81"/>
            <rFont val="Tahoma"/>
            <family val="2"/>
          </rPr>
          <t xml:space="preserve">
GL 8545</t>
        </r>
      </text>
    </comment>
    <comment ref="B229" authorId="1" shapeId="0" xr:uid="{00000000-0006-0000-0400-000087000000}">
      <text>
        <r>
          <rPr>
            <b/>
            <sz val="9"/>
            <color indexed="81"/>
            <rFont val="Tahoma"/>
            <family val="2"/>
          </rPr>
          <t>Scott, Justin:</t>
        </r>
        <r>
          <rPr>
            <sz val="9"/>
            <color indexed="81"/>
            <rFont val="Tahoma"/>
            <family val="2"/>
          </rPr>
          <t xml:space="preserve">
This value comes from the Total Direct Labor line on the Income Statement.</t>
        </r>
      </text>
    </comment>
    <comment ref="B230" authorId="1" shapeId="0" xr:uid="{00000000-0006-0000-0400-000088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31" authorId="1" shapeId="0" xr:uid="{00000000-0006-0000-0400-000089000000}">
      <text>
        <r>
          <rPr>
            <b/>
            <sz val="9"/>
            <color indexed="81"/>
            <rFont val="Tahoma"/>
            <family val="2"/>
          </rPr>
          <t>Scott, Justin:</t>
        </r>
        <r>
          <rPr>
            <sz val="9"/>
            <color indexed="81"/>
            <rFont val="Tahoma"/>
            <family val="2"/>
          </rPr>
          <t xml:space="preserve">
This value comes from the EBIT line on the Income Statement.</t>
        </r>
      </text>
    </comment>
    <comment ref="B233" authorId="1" shapeId="0" xr:uid="{00000000-0006-0000-0400-00008A000000}">
      <text>
        <r>
          <rPr>
            <b/>
            <sz val="9"/>
            <color indexed="81"/>
            <rFont val="Tahoma"/>
            <family val="2"/>
          </rPr>
          <t>Scott, Justin:</t>
        </r>
        <r>
          <rPr>
            <sz val="9"/>
            <color indexed="81"/>
            <rFont val="Tahoma"/>
            <family val="2"/>
          </rPr>
          <t xml:space="preserve">
This value comes from the Total Direct Labor line on the Income Statement.</t>
        </r>
      </text>
    </comment>
    <comment ref="B234" authorId="1" shapeId="0" xr:uid="{00000000-0006-0000-0400-00008B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35" authorId="1" shapeId="0" xr:uid="{00000000-0006-0000-0400-00008C000000}">
      <text>
        <r>
          <rPr>
            <b/>
            <sz val="9"/>
            <color indexed="81"/>
            <rFont val="Tahoma"/>
            <family val="2"/>
          </rPr>
          <t>Scott, Justin:</t>
        </r>
        <r>
          <rPr>
            <sz val="9"/>
            <color indexed="81"/>
            <rFont val="Tahoma"/>
            <family val="2"/>
          </rPr>
          <t xml:space="preserve">
This value comes from the EBIT line on the Income Statement.</t>
        </r>
      </text>
    </comment>
    <comment ref="B237" authorId="1" shapeId="0" xr:uid="{00000000-0006-0000-0400-00008D000000}">
      <text>
        <r>
          <rPr>
            <b/>
            <sz val="9"/>
            <color indexed="81"/>
            <rFont val="Tahoma"/>
            <family val="2"/>
          </rPr>
          <t>Scott, Justin:</t>
        </r>
        <r>
          <rPr>
            <sz val="9"/>
            <color indexed="81"/>
            <rFont val="Tahoma"/>
            <family val="2"/>
          </rPr>
          <t xml:space="preserve">
This value comes from the Total Direct Labor line on the Income Statement.</t>
        </r>
      </text>
    </comment>
    <comment ref="B238" authorId="1" shapeId="0" xr:uid="{00000000-0006-0000-0400-00008E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39" authorId="1" shapeId="0" xr:uid="{00000000-0006-0000-0400-00008F000000}">
      <text>
        <r>
          <rPr>
            <b/>
            <sz val="9"/>
            <color indexed="81"/>
            <rFont val="Tahoma"/>
            <family val="2"/>
          </rPr>
          <t>Scott, Justin:</t>
        </r>
        <r>
          <rPr>
            <sz val="9"/>
            <color indexed="81"/>
            <rFont val="Tahoma"/>
            <family val="2"/>
          </rPr>
          <t xml:space="preserve">
This value comes from the EBIT line on the Income Statement.</t>
        </r>
      </text>
    </comment>
    <comment ref="B242" authorId="1" shapeId="0" xr:uid="{00000000-0006-0000-0400-000090000000}">
      <text>
        <r>
          <rPr>
            <b/>
            <sz val="9"/>
            <color indexed="81"/>
            <rFont val="Tahoma"/>
            <family val="2"/>
          </rPr>
          <t>Scott, Justin:</t>
        </r>
        <r>
          <rPr>
            <sz val="9"/>
            <color indexed="81"/>
            <rFont val="Tahoma"/>
            <family val="2"/>
          </rPr>
          <t xml:space="preserve">
This value comes from the Total Direct Labor line on the Income Statement.</t>
        </r>
      </text>
    </comment>
    <comment ref="B243" authorId="1" shapeId="0" xr:uid="{00000000-0006-0000-0400-000091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44" authorId="1" shapeId="0" xr:uid="{00000000-0006-0000-0400-000092000000}">
      <text>
        <r>
          <rPr>
            <b/>
            <sz val="9"/>
            <color indexed="81"/>
            <rFont val="Tahoma"/>
            <family val="2"/>
          </rPr>
          <t>Scott, Justin:</t>
        </r>
        <r>
          <rPr>
            <sz val="9"/>
            <color indexed="81"/>
            <rFont val="Tahoma"/>
            <family val="2"/>
          </rPr>
          <t xml:space="preserve">
This value comes from the EBIT line on the Income Statement.</t>
        </r>
      </text>
    </comment>
    <comment ref="B246" authorId="1" shapeId="0" xr:uid="{00000000-0006-0000-0400-000093000000}">
      <text>
        <r>
          <rPr>
            <b/>
            <sz val="9"/>
            <color indexed="81"/>
            <rFont val="Tahoma"/>
            <family val="2"/>
          </rPr>
          <t>Scott, Justin:</t>
        </r>
        <r>
          <rPr>
            <sz val="9"/>
            <color indexed="81"/>
            <rFont val="Tahoma"/>
            <family val="2"/>
          </rPr>
          <t xml:space="preserve">
This value comes from the Total Direct Labor line on the Income Statement.</t>
        </r>
      </text>
    </comment>
    <comment ref="B247" authorId="1" shapeId="0" xr:uid="{00000000-0006-0000-0400-000094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48" authorId="1" shapeId="0" xr:uid="{00000000-0006-0000-0400-000095000000}">
      <text>
        <r>
          <rPr>
            <b/>
            <sz val="9"/>
            <color indexed="81"/>
            <rFont val="Tahoma"/>
            <family val="2"/>
          </rPr>
          <t>Scott, Justin:</t>
        </r>
        <r>
          <rPr>
            <sz val="9"/>
            <color indexed="81"/>
            <rFont val="Tahoma"/>
            <family val="2"/>
          </rPr>
          <t xml:space="preserve">
This value comes from the EBIT line on the Income Statement.</t>
        </r>
      </text>
    </comment>
    <comment ref="B250" authorId="1" shapeId="0" xr:uid="{00000000-0006-0000-0400-000096000000}">
      <text>
        <r>
          <rPr>
            <b/>
            <sz val="9"/>
            <color indexed="81"/>
            <rFont val="Tahoma"/>
            <family val="2"/>
          </rPr>
          <t>Scott, Justin:</t>
        </r>
        <r>
          <rPr>
            <sz val="9"/>
            <color indexed="81"/>
            <rFont val="Tahoma"/>
            <family val="2"/>
          </rPr>
          <t xml:space="preserve">
This value comes from the Total Direct Labor line on the Income Statement.</t>
        </r>
      </text>
    </comment>
    <comment ref="B251" authorId="1" shapeId="0" xr:uid="{00000000-0006-0000-0400-000097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52" authorId="1" shapeId="0" xr:uid="{00000000-0006-0000-0400-000098000000}">
      <text>
        <r>
          <rPr>
            <b/>
            <sz val="9"/>
            <color indexed="81"/>
            <rFont val="Tahoma"/>
            <family val="2"/>
          </rPr>
          <t>Scott, Justin:</t>
        </r>
        <r>
          <rPr>
            <sz val="9"/>
            <color indexed="81"/>
            <rFont val="Tahoma"/>
            <family val="2"/>
          </rPr>
          <t xml:space="preserve">
This value comes from the EBIT line on the Income Statement.</t>
        </r>
      </text>
    </comment>
    <comment ref="B254" authorId="0" shapeId="0" xr:uid="{00000000-0006-0000-0400-000099000000}">
      <text>
        <r>
          <rPr>
            <b/>
            <sz val="9"/>
            <color indexed="81"/>
            <rFont val="Tahoma"/>
            <family val="2"/>
          </rPr>
          <t>Giretti, Joseph:</t>
        </r>
        <r>
          <rPr>
            <sz val="9"/>
            <color indexed="81"/>
            <rFont val="Tahoma"/>
            <family val="2"/>
          </rPr>
          <t xml:space="preserve">
GL 7850</t>
        </r>
      </text>
    </comment>
    <comment ref="B260" authorId="1" shapeId="0" xr:uid="{00000000-0006-0000-0400-00009A000000}">
      <text>
        <r>
          <rPr>
            <b/>
            <sz val="9"/>
            <color indexed="81"/>
            <rFont val="Tahoma"/>
            <family val="2"/>
          </rPr>
          <t>Scott, Justin:</t>
        </r>
        <r>
          <rPr>
            <sz val="9"/>
            <color indexed="81"/>
            <rFont val="Tahoma"/>
            <family val="2"/>
          </rPr>
          <t xml:space="preserve">
This value comes from the Total Direct Labor line on the Income Statement.</t>
        </r>
      </text>
    </comment>
    <comment ref="B261" authorId="1" shapeId="0" xr:uid="{00000000-0006-0000-0400-00009B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62" authorId="1" shapeId="0" xr:uid="{00000000-0006-0000-0400-00009C000000}">
      <text>
        <r>
          <rPr>
            <b/>
            <sz val="9"/>
            <color indexed="81"/>
            <rFont val="Tahoma"/>
            <family val="2"/>
          </rPr>
          <t>Scott, Justin:</t>
        </r>
        <r>
          <rPr>
            <sz val="9"/>
            <color indexed="81"/>
            <rFont val="Tahoma"/>
            <family val="2"/>
          </rPr>
          <t xml:space="preserve">
This value comes from the EBIT line on the Income Statement.</t>
        </r>
      </text>
    </comment>
    <comment ref="B264" authorId="1" shapeId="0" xr:uid="{00000000-0006-0000-0400-00009D000000}">
      <text>
        <r>
          <rPr>
            <b/>
            <sz val="9"/>
            <color indexed="81"/>
            <rFont val="Tahoma"/>
            <family val="2"/>
          </rPr>
          <t>Scott, Justin:</t>
        </r>
        <r>
          <rPr>
            <sz val="9"/>
            <color indexed="81"/>
            <rFont val="Tahoma"/>
            <family val="2"/>
          </rPr>
          <t xml:space="preserve">
This value comes from the Total Direct Labor line on the Income Statement.</t>
        </r>
      </text>
    </comment>
    <comment ref="B265" authorId="1" shapeId="0" xr:uid="{00000000-0006-0000-0400-00009E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66" authorId="1" shapeId="0" xr:uid="{00000000-0006-0000-0400-00009F000000}">
      <text>
        <r>
          <rPr>
            <b/>
            <sz val="9"/>
            <color indexed="81"/>
            <rFont val="Tahoma"/>
            <family val="2"/>
          </rPr>
          <t>Scott, Justin:</t>
        </r>
        <r>
          <rPr>
            <sz val="9"/>
            <color indexed="81"/>
            <rFont val="Tahoma"/>
            <family val="2"/>
          </rPr>
          <t xml:space="preserve">
This value comes from the EBIT line on the Income Statement.</t>
        </r>
      </text>
    </comment>
    <comment ref="B268" authorId="1" shapeId="0" xr:uid="{00000000-0006-0000-0400-0000A0000000}">
      <text>
        <r>
          <rPr>
            <b/>
            <sz val="9"/>
            <color indexed="81"/>
            <rFont val="Tahoma"/>
            <family val="2"/>
          </rPr>
          <t>Scott, Justin:</t>
        </r>
        <r>
          <rPr>
            <sz val="9"/>
            <color indexed="81"/>
            <rFont val="Tahoma"/>
            <family val="2"/>
          </rPr>
          <t xml:space="preserve">
This value comes from the Total Direct Labor line on the Income Statement.</t>
        </r>
      </text>
    </comment>
    <comment ref="B269" authorId="1" shapeId="0" xr:uid="{00000000-0006-0000-0400-0000A1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70" authorId="1" shapeId="0" xr:uid="{00000000-0006-0000-0400-0000A2000000}">
      <text>
        <r>
          <rPr>
            <b/>
            <sz val="9"/>
            <color indexed="81"/>
            <rFont val="Tahoma"/>
            <family val="2"/>
          </rPr>
          <t>Scott, Justin:</t>
        </r>
        <r>
          <rPr>
            <sz val="9"/>
            <color indexed="81"/>
            <rFont val="Tahoma"/>
            <family val="2"/>
          </rPr>
          <t xml:space="preserve">
This value comes from the EBIT line on the Income Statement.</t>
        </r>
      </text>
    </comment>
    <comment ref="B273" authorId="1" shapeId="0" xr:uid="{00000000-0006-0000-0400-0000A3000000}">
      <text>
        <r>
          <rPr>
            <b/>
            <sz val="9"/>
            <color indexed="81"/>
            <rFont val="Tahoma"/>
            <family val="2"/>
          </rPr>
          <t>Scott, Justin:</t>
        </r>
        <r>
          <rPr>
            <sz val="9"/>
            <color indexed="81"/>
            <rFont val="Tahoma"/>
            <family val="2"/>
          </rPr>
          <t xml:space="preserve">
This value comes from the Total Direct Labor line on the Income Statement.</t>
        </r>
      </text>
    </comment>
    <comment ref="B274" authorId="1" shapeId="0" xr:uid="{00000000-0006-0000-0400-0000A4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75" authorId="1" shapeId="0" xr:uid="{00000000-0006-0000-0400-0000A5000000}">
      <text>
        <r>
          <rPr>
            <b/>
            <sz val="9"/>
            <color indexed="81"/>
            <rFont val="Tahoma"/>
            <family val="2"/>
          </rPr>
          <t>Scott, Justin:</t>
        </r>
        <r>
          <rPr>
            <sz val="9"/>
            <color indexed="81"/>
            <rFont val="Tahoma"/>
            <family val="2"/>
          </rPr>
          <t xml:space="preserve">
This value comes from the EBIT line on the Income Statement.</t>
        </r>
      </text>
    </comment>
    <comment ref="B277" authorId="1" shapeId="0" xr:uid="{00000000-0006-0000-0400-0000A6000000}">
      <text>
        <r>
          <rPr>
            <b/>
            <sz val="9"/>
            <color indexed="81"/>
            <rFont val="Tahoma"/>
            <family val="2"/>
          </rPr>
          <t>Scott, Justin:</t>
        </r>
        <r>
          <rPr>
            <sz val="9"/>
            <color indexed="81"/>
            <rFont val="Tahoma"/>
            <family val="2"/>
          </rPr>
          <t xml:space="preserve">
This value comes from the Total Direct Labor line on the Income Statement.</t>
        </r>
      </text>
    </comment>
    <comment ref="B278" authorId="1" shapeId="0" xr:uid="{00000000-0006-0000-0400-0000A7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79" authorId="1" shapeId="0" xr:uid="{00000000-0006-0000-0400-0000A8000000}">
      <text>
        <r>
          <rPr>
            <b/>
            <sz val="9"/>
            <color indexed="81"/>
            <rFont val="Tahoma"/>
            <family val="2"/>
          </rPr>
          <t>Scott, Justin:</t>
        </r>
        <r>
          <rPr>
            <sz val="9"/>
            <color indexed="81"/>
            <rFont val="Tahoma"/>
            <family val="2"/>
          </rPr>
          <t xml:space="preserve">
This value comes from the EBIT line on the Income Statement.</t>
        </r>
      </text>
    </comment>
    <comment ref="B281" authorId="1" shapeId="0" xr:uid="{00000000-0006-0000-0400-0000A9000000}">
      <text>
        <r>
          <rPr>
            <b/>
            <sz val="9"/>
            <color indexed="81"/>
            <rFont val="Tahoma"/>
            <family val="2"/>
          </rPr>
          <t>Scott, Justin:</t>
        </r>
        <r>
          <rPr>
            <sz val="9"/>
            <color indexed="81"/>
            <rFont val="Tahoma"/>
            <family val="2"/>
          </rPr>
          <t xml:space="preserve">
This value comes from the Total Direct Labor line on the Income Statement.</t>
        </r>
      </text>
    </comment>
    <comment ref="B282" authorId="1" shapeId="0" xr:uid="{00000000-0006-0000-0400-0000AA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83" authorId="1" shapeId="0" xr:uid="{00000000-0006-0000-0400-0000AB000000}">
      <text>
        <r>
          <rPr>
            <b/>
            <sz val="9"/>
            <color indexed="81"/>
            <rFont val="Tahoma"/>
            <family val="2"/>
          </rPr>
          <t>Scott, Justin:</t>
        </r>
        <r>
          <rPr>
            <sz val="9"/>
            <color indexed="81"/>
            <rFont val="Tahoma"/>
            <family val="2"/>
          </rPr>
          <t xml:space="preserve">
This value comes from the EBIT line on the Income Statement.</t>
        </r>
      </text>
    </comment>
    <comment ref="B285" authorId="0" shapeId="0" xr:uid="{00000000-0006-0000-0400-000030010000}">
      <text>
        <r>
          <rPr>
            <b/>
            <sz val="9"/>
            <color indexed="81"/>
            <rFont val="Tahoma"/>
            <family val="2"/>
          </rPr>
          <t>Giretti, Joseph:</t>
        </r>
        <r>
          <rPr>
            <sz val="9"/>
            <color indexed="81"/>
            <rFont val="Tahoma"/>
            <family val="2"/>
          </rPr>
          <t xml:space="preserve">
7988</t>
        </r>
      </text>
    </comment>
    <comment ref="B291" authorId="1" shapeId="0" xr:uid="{00000000-0006-0000-0400-000031010000}">
      <text>
        <r>
          <rPr>
            <b/>
            <sz val="9"/>
            <color indexed="81"/>
            <rFont val="Tahoma"/>
            <family val="2"/>
          </rPr>
          <t>Scott, Justin:</t>
        </r>
        <r>
          <rPr>
            <sz val="9"/>
            <color indexed="81"/>
            <rFont val="Tahoma"/>
            <family val="2"/>
          </rPr>
          <t xml:space="preserve">
This value comes from the Total Direct Labor line on the Income Statement.</t>
        </r>
      </text>
    </comment>
    <comment ref="B292" authorId="1" shapeId="0" xr:uid="{00000000-0006-0000-0400-000032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93" authorId="1" shapeId="0" xr:uid="{00000000-0006-0000-0400-000033010000}">
      <text>
        <r>
          <rPr>
            <b/>
            <sz val="9"/>
            <color indexed="81"/>
            <rFont val="Tahoma"/>
            <family val="2"/>
          </rPr>
          <t>Scott, Justin:</t>
        </r>
        <r>
          <rPr>
            <sz val="9"/>
            <color indexed="81"/>
            <rFont val="Tahoma"/>
            <family val="2"/>
          </rPr>
          <t xml:space="preserve">
This value comes from the EBIT line on the Income Statement.</t>
        </r>
      </text>
    </comment>
    <comment ref="B295" authorId="1" shapeId="0" xr:uid="{00000000-0006-0000-0400-000034010000}">
      <text>
        <r>
          <rPr>
            <b/>
            <sz val="9"/>
            <color indexed="81"/>
            <rFont val="Tahoma"/>
            <family val="2"/>
          </rPr>
          <t>Scott, Justin:</t>
        </r>
        <r>
          <rPr>
            <sz val="9"/>
            <color indexed="81"/>
            <rFont val="Tahoma"/>
            <family val="2"/>
          </rPr>
          <t xml:space="preserve">
This value comes from the Total Direct Labor line on the Income Statement.</t>
        </r>
      </text>
    </comment>
    <comment ref="B296" authorId="1" shapeId="0" xr:uid="{00000000-0006-0000-0400-000035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97" authorId="1" shapeId="0" xr:uid="{00000000-0006-0000-0400-000036010000}">
      <text>
        <r>
          <rPr>
            <b/>
            <sz val="9"/>
            <color indexed="81"/>
            <rFont val="Tahoma"/>
            <family val="2"/>
          </rPr>
          <t>Scott, Justin:</t>
        </r>
        <r>
          <rPr>
            <sz val="9"/>
            <color indexed="81"/>
            <rFont val="Tahoma"/>
            <family val="2"/>
          </rPr>
          <t xml:space="preserve">
This value comes from the EBIT line on the Income Statement.</t>
        </r>
      </text>
    </comment>
    <comment ref="B299" authorId="1" shapeId="0" xr:uid="{00000000-0006-0000-0400-000037010000}">
      <text>
        <r>
          <rPr>
            <b/>
            <sz val="9"/>
            <color indexed="81"/>
            <rFont val="Tahoma"/>
            <family val="2"/>
          </rPr>
          <t>Scott, Justin:</t>
        </r>
        <r>
          <rPr>
            <sz val="9"/>
            <color indexed="81"/>
            <rFont val="Tahoma"/>
            <family val="2"/>
          </rPr>
          <t xml:space="preserve">
This value comes from the Total Direct Labor line on the Income Statement.</t>
        </r>
      </text>
    </comment>
    <comment ref="B300" authorId="1" shapeId="0" xr:uid="{00000000-0006-0000-0400-000038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01" authorId="1" shapeId="0" xr:uid="{00000000-0006-0000-0400-000039010000}">
      <text>
        <r>
          <rPr>
            <b/>
            <sz val="9"/>
            <color indexed="81"/>
            <rFont val="Tahoma"/>
            <family val="2"/>
          </rPr>
          <t>Scott, Justin:</t>
        </r>
        <r>
          <rPr>
            <sz val="9"/>
            <color indexed="81"/>
            <rFont val="Tahoma"/>
            <family val="2"/>
          </rPr>
          <t xml:space="preserve">
This value comes from the EBIT line on the Income Statement.</t>
        </r>
      </text>
    </comment>
    <comment ref="B304" authorId="1" shapeId="0" xr:uid="{00000000-0006-0000-0400-00003A010000}">
      <text>
        <r>
          <rPr>
            <b/>
            <sz val="9"/>
            <color indexed="81"/>
            <rFont val="Tahoma"/>
            <family val="2"/>
          </rPr>
          <t>Scott, Justin:</t>
        </r>
        <r>
          <rPr>
            <sz val="9"/>
            <color indexed="81"/>
            <rFont val="Tahoma"/>
            <family val="2"/>
          </rPr>
          <t xml:space="preserve">
This value comes from the Total Direct Labor line on the Income Statement.</t>
        </r>
      </text>
    </comment>
    <comment ref="B305" authorId="1" shapeId="0" xr:uid="{00000000-0006-0000-0400-00003B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06" authorId="1" shapeId="0" xr:uid="{00000000-0006-0000-0400-00003C010000}">
      <text>
        <r>
          <rPr>
            <b/>
            <sz val="9"/>
            <color indexed="81"/>
            <rFont val="Tahoma"/>
            <family val="2"/>
          </rPr>
          <t>Scott, Justin:</t>
        </r>
        <r>
          <rPr>
            <sz val="9"/>
            <color indexed="81"/>
            <rFont val="Tahoma"/>
            <family val="2"/>
          </rPr>
          <t xml:space="preserve">
This value comes from the EBIT line on the Income Statement.</t>
        </r>
      </text>
    </comment>
    <comment ref="B308" authorId="1" shapeId="0" xr:uid="{00000000-0006-0000-0400-00003D010000}">
      <text>
        <r>
          <rPr>
            <b/>
            <sz val="9"/>
            <color indexed="81"/>
            <rFont val="Tahoma"/>
            <family val="2"/>
          </rPr>
          <t>Scott, Justin:</t>
        </r>
        <r>
          <rPr>
            <sz val="9"/>
            <color indexed="81"/>
            <rFont val="Tahoma"/>
            <family val="2"/>
          </rPr>
          <t xml:space="preserve">
This value comes from the Total Direct Labor line on the Income Statement.</t>
        </r>
      </text>
    </comment>
    <comment ref="B309" authorId="1" shapeId="0" xr:uid="{00000000-0006-0000-0400-00003E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10" authorId="1" shapeId="0" xr:uid="{00000000-0006-0000-0400-00003F010000}">
      <text>
        <r>
          <rPr>
            <b/>
            <sz val="9"/>
            <color indexed="81"/>
            <rFont val="Tahoma"/>
            <family val="2"/>
          </rPr>
          <t>Scott, Justin:</t>
        </r>
        <r>
          <rPr>
            <sz val="9"/>
            <color indexed="81"/>
            <rFont val="Tahoma"/>
            <family val="2"/>
          </rPr>
          <t xml:space="preserve">
This value comes from the EBIT line on the Income Statement.</t>
        </r>
      </text>
    </comment>
    <comment ref="B312" authorId="1" shapeId="0" xr:uid="{00000000-0006-0000-0400-000040010000}">
      <text>
        <r>
          <rPr>
            <b/>
            <sz val="9"/>
            <color indexed="81"/>
            <rFont val="Tahoma"/>
            <family val="2"/>
          </rPr>
          <t>Scott, Justin:</t>
        </r>
        <r>
          <rPr>
            <sz val="9"/>
            <color indexed="81"/>
            <rFont val="Tahoma"/>
            <family val="2"/>
          </rPr>
          <t xml:space="preserve">
This value comes from the Total Direct Labor line on the Income Statement.</t>
        </r>
      </text>
    </comment>
    <comment ref="B313" authorId="1" shapeId="0" xr:uid="{00000000-0006-0000-0400-000041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14" authorId="1" shapeId="0" xr:uid="{00000000-0006-0000-0400-000042010000}">
      <text>
        <r>
          <rPr>
            <b/>
            <sz val="9"/>
            <color indexed="81"/>
            <rFont val="Tahoma"/>
            <family val="2"/>
          </rPr>
          <t>Scott, Justin:</t>
        </r>
        <r>
          <rPr>
            <sz val="9"/>
            <color indexed="81"/>
            <rFont val="Tahoma"/>
            <family val="2"/>
          </rPr>
          <t xml:space="preserve">
This value comes from the EBIT line on the Income Statement.</t>
        </r>
      </text>
    </comment>
    <comment ref="B316" authorId="0" shapeId="0" xr:uid="{00000000-0006-0000-0400-000043010000}">
      <text>
        <r>
          <rPr>
            <b/>
            <sz val="9"/>
            <color indexed="81"/>
            <rFont val="Tahoma"/>
            <family val="2"/>
          </rPr>
          <t>Giretti, Joseph:</t>
        </r>
        <r>
          <rPr>
            <sz val="9"/>
            <color indexed="81"/>
            <rFont val="Tahoma"/>
            <family val="2"/>
          </rPr>
          <t xml:space="preserve">
7971</t>
        </r>
      </text>
    </comment>
    <comment ref="B322" authorId="1" shapeId="0" xr:uid="{00000000-0006-0000-0400-000044010000}">
      <text>
        <r>
          <rPr>
            <b/>
            <sz val="9"/>
            <color indexed="81"/>
            <rFont val="Tahoma"/>
            <family val="2"/>
          </rPr>
          <t>Scott, Justin:</t>
        </r>
        <r>
          <rPr>
            <sz val="9"/>
            <color indexed="81"/>
            <rFont val="Tahoma"/>
            <family val="2"/>
          </rPr>
          <t xml:space="preserve">
This value comes from the Total Direct Labor line on the Income Statement.</t>
        </r>
      </text>
    </comment>
    <comment ref="B323" authorId="1" shapeId="0" xr:uid="{00000000-0006-0000-0400-000045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24" authorId="1" shapeId="0" xr:uid="{00000000-0006-0000-0400-000046010000}">
      <text>
        <r>
          <rPr>
            <b/>
            <sz val="9"/>
            <color indexed="81"/>
            <rFont val="Tahoma"/>
            <family val="2"/>
          </rPr>
          <t>Scott, Justin:</t>
        </r>
        <r>
          <rPr>
            <sz val="9"/>
            <color indexed="81"/>
            <rFont val="Tahoma"/>
            <family val="2"/>
          </rPr>
          <t xml:space="preserve">
This value comes from the EBIT line on the Income Statement.</t>
        </r>
      </text>
    </comment>
    <comment ref="B326" authorId="1" shapeId="0" xr:uid="{00000000-0006-0000-0400-000047010000}">
      <text>
        <r>
          <rPr>
            <b/>
            <sz val="9"/>
            <color indexed="81"/>
            <rFont val="Tahoma"/>
            <family val="2"/>
          </rPr>
          <t>Scott, Justin:</t>
        </r>
        <r>
          <rPr>
            <sz val="9"/>
            <color indexed="81"/>
            <rFont val="Tahoma"/>
            <family val="2"/>
          </rPr>
          <t xml:space="preserve">
This value comes from the Total Direct Labor line on the Income Statement.</t>
        </r>
      </text>
    </comment>
    <comment ref="B327" authorId="1" shapeId="0" xr:uid="{00000000-0006-0000-0400-000048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28" authorId="1" shapeId="0" xr:uid="{00000000-0006-0000-0400-000049010000}">
      <text>
        <r>
          <rPr>
            <b/>
            <sz val="9"/>
            <color indexed="81"/>
            <rFont val="Tahoma"/>
            <family val="2"/>
          </rPr>
          <t>Scott, Justin:</t>
        </r>
        <r>
          <rPr>
            <sz val="9"/>
            <color indexed="81"/>
            <rFont val="Tahoma"/>
            <family val="2"/>
          </rPr>
          <t xml:space="preserve">
This value comes from the EBIT line on the Income Statement.</t>
        </r>
      </text>
    </comment>
    <comment ref="B330" authorId="1" shapeId="0" xr:uid="{00000000-0006-0000-0400-00004A010000}">
      <text>
        <r>
          <rPr>
            <b/>
            <sz val="9"/>
            <color indexed="81"/>
            <rFont val="Tahoma"/>
            <family val="2"/>
          </rPr>
          <t>Scott, Justin:</t>
        </r>
        <r>
          <rPr>
            <sz val="9"/>
            <color indexed="81"/>
            <rFont val="Tahoma"/>
            <family val="2"/>
          </rPr>
          <t xml:space="preserve">
This value comes from the Total Direct Labor line on the Income Statement.</t>
        </r>
      </text>
    </comment>
    <comment ref="B331" authorId="1" shapeId="0" xr:uid="{00000000-0006-0000-0400-00004B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32" authorId="1" shapeId="0" xr:uid="{00000000-0006-0000-0400-00004C010000}">
      <text>
        <r>
          <rPr>
            <b/>
            <sz val="9"/>
            <color indexed="81"/>
            <rFont val="Tahoma"/>
            <family val="2"/>
          </rPr>
          <t>Scott, Justin:</t>
        </r>
        <r>
          <rPr>
            <sz val="9"/>
            <color indexed="81"/>
            <rFont val="Tahoma"/>
            <family val="2"/>
          </rPr>
          <t xml:space="preserve">
This value comes from the EBIT line on the Income Statement.</t>
        </r>
      </text>
    </comment>
    <comment ref="B335" authorId="1" shapeId="0" xr:uid="{00000000-0006-0000-0400-00004D010000}">
      <text>
        <r>
          <rPr>
            <b/>
            <sz val="9"/>
            <color indexed="81"/>
            <rFont val="Tahoma"/>
            <family val="2"/>
          </rPr>
          <t>Scott, Justin:</t>
        </r>
        <r>
          <rPr>
            <sz val="9"/>
            <color indexed="81"/>
            <rFont val="Tahoma"/>
            <family val="2"/>
          </rPr>
          <t xml:space="preserve">
This value comes from the Total Direct Labor line on the Income Statement.</t>
        </r>
      </text>
    </comment>
    <comment ref="B336" authorId="1" shapeId="0" xr:uid="{00000000-0006-0000-0400-00004E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37" authorId="1" shapeId="0" xr:uid="{00000000-0006-0000-0400-00004F010000}">
      <text>
        <r>
          <rPr>
            <b/>
            <sz val="9"/>
            <color indexed="81"/>
            <rFont val="Tahoma"/>
            <family val="2"/>
          </rPr>
          <t>Scott, Justin:</t>
        </r>
        <r>
          <rPr>
            <sz val="9"/>
            <color indexed="81"/>
            <rFont val="Tahoma"/>
            <family val="2"/>
          </rPr>
          <t xml:space="preserve">
This value comes from the EBIT line on the Income Statement.</t>
        </r>
      </text>
    </comment>
    <comment ref="B339" authorId="1" shapeId="0" xr:uid="{00000000-0006-0000-0400-000050010000}">
      <text>
        <r>
          <rPr>
            <b/>
            <sz val="9"/>
            <color indexed="81"/>
            <rFont val="Tahoma"/>
            <family val="2"/>
          </rPr>
          <t>Scott, Justin:</t>
        </r>
        <r>
          <rPr>
            <sz val="9"/>
            <color indexed="81"/>
            <rFont val="Tahoma"/>
            <family val="2"/>
          </rPr>
          <t xml:space="preserve">
This value comes from the Total Direct Labor line on the Income Statement.</t>
        </r>
      </text>
    </comment>
    <comment ref="B340" authorId="1" shapeId="0" xr:uid="{00000000-0006-0000-0400-000051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41" authorId="1" shapeId="0" xr:uid="{00000000-0006-0000-0400-000052010000}">
      <text>
        <r>
          <rPr>
            <b/>
            <sz val="9"/>
            <color indexed="81"/>
            <rFont val="Tahoma"/>
            <family val="2"/>
          </rPr>
          <t>Scott, Justin:</t>
        </r>
        <r>
          <rPr>
            <sz val="9"/>
            <color indexed="81"/>
            <rFont val="Tahoma"/>
            <family val="2"/>
          </rPr>
          <t xml:space="preserve">
This value comes from the EBIT line on the Income Statement.</t>
        </r>
      </text>
    </comment>
    <comment ref="B343" authorId="1" shapeId="0" xr:uid="{00000000-0006-0000-0400-000053010000}">
      <text>
        <r>
          <rPr>
            <b/>
            <sz val="9"/>
            <color indexed="81"/>
            <rFont val="Tahoma"/>
            <family val="2"/>
          </rPr>
          <t>Scott, Justin:</t>
        </r>
        <r>
          <rPr>
            <sz val="9"/>
            <color indexed="81"/>
            <rFont val="Tahoma"/>
            <family val="2"/>
          </rPr>
          <t xml:space="preserve">
This value comes from the Total Direct Labor line on the Income Statement.</t>
        </r>
      </text>
    </comment>
    <comment ref="B344" authorId="1" shapeId="0" xr:uid="{00000000-0006-0000-0400-000054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45" authorId="1" shapeId="0" xr:uid="{00000000-0006-0000-0400-000055010000}">
      <text>
        <r>
          <rPr>
            <b/>
            <sz val="9"/>
            <color indexed="81"/>
            <rFont val="Tahoma"/>
            <family val="2"/>
          </rPr>
          <t>Scott, Justin:</t>
        </r>
        <r>
          <rPr>
            <sz val="9"/>
            <color indexed="81"/>
            <rFont val="Tahoma"/>
            <family val="2"/>
          </rPr>
          <t xml:space="preserve">
This value comes from the EBIT line on the Income Statement.</t>
        </r>
      </text>
    </comment>
    <comment ref="B347" authorId="0" shapeId="0" xr:uid="{00000000-0006-0000-0400-000056010000}">
      <text>
        <r>
          <rPr>
            <b/>
            <sz val="9"/>
            <color indexed="81"/>
            <rFont val="Tahoma"/>
            <family val="2"/>
          </rPr>
          <t>Giretti, Joseph:</t>
        </r>
        <r>
          <rPr>
            <sz val="9"/>
            <color indexed="81"/>
            <rFont val="Tahoma"/>
            <family val="2"/>
          </rPr>
          <t xml:space="preserve">
GL 7987</t>
        </r>
      </text>
    </comment>
    <comment ref="B353" authorId="1" shapeId="0" xr:uid="{00000000-0006-0000-0400-000057010000}">
      <text>
        <r>
          <rPr>
            <b/>
            <sz val="9"/>
            <color indexed="81"/>
            <rFont val="Tahoma"/>
            <family val="2"/>
          </rPr>
          <t>Scott, Justin:</t>
        </r>
        <r>
          <rPr>
            <sz val="9"/>
            <color indexed="81"/>
            <rFont val="Tahoma"/>
            <family val="2"/>
          </rPr>
          <t xml:space="preserve">
This value comes from the Total Direct Labor line on the Income Statement.</t>
        </r>
      </text>
    </comment>
    <comment ref="B354" authorId="1" shapeId="0" xr:uid="{00000000-0006-0000-0400-000058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55" authorId="1" shapeId="0" xr:uid="{00000000-0006-0000-0400-000059010000}">
      <text>
        <r>
          <rPr>
            <b/>
            <sz val="9"/>
            <color indexed="81"/>
            <rFont val="Tahoma"/>
            <family val="2"/>
          </rPr>
          <t>Scott, Justin:</t>
        </r>
        <r>
          <rPr>
            <sz val="9"/>
            <color indexed="81"/>
            <rFont val="Tahoma"/>
            <family val="2"/>
          </rPr>
          <t xml:space="preserve">
This value comes from the EBIT line on the Income Statement.</t>
        </r>
      </text>
    </comment>
    <comment ref="B357" authorId="1" shapeId="0" xr:uid="{00000000-0006-0000-0400-00005A010000}">
      <text>
        <r>
          <rPr>
            <b/>
            <sz val="9"/>
            <color indexed="81"/>
            <rFont val="Tahoma"/>
            <family val="2"/>
          </rPr>
          <t>Scott, Justin:</t>
        </r>
        <r>
          <rPr>
            <sz val="9"/>
            <color indexed="81"/>
            <rFont val="Tahoma"/>
            <family val="2"/>
          </rPr>
          <t xml:space="preserve">
This value comes from the Total Direct Labor line on the Income Statement.</t>
        </r>
      </text>
    </comment>
    <comment ref="B358" authorId="1" shapeId="0" xr:uid="{00000000-0006-0000-0400-00005B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59" authorId="1" shapeId="0" xr:uid="{00000000-0006-0000-0400-00005C010000}">
      <text>
        <r>
          <rPr>
            <b/>
            <sz val="9"/>
            <color indexed="81"/>
            <rFont val="Tahoma"/>
            <family val="2"/>
          </rPr>
          <t>Scott, Justin:</t>
        </r>
        <r>
          <rPr>
            <sz val="9"/>
            <color indexed="81"/>
            <rFont val="Tahoma"/>
            <family val="2"/>
          </rPr>
          <t xml:space="preserve">
This value comes from the EBIT line on the Income Statement.</t>
        </r>
      </text>
    </comment>
    <comment ref="B361" authorId="1" shapeId="0" xr:uid="{00000000-0006-0000-0400-00005D010000}">
      <text>
        <r>
          <rPr>
            <b/>
            <sz val="9"/>
            <color indexed="81"/>
            <rFont val="Tahoma"/>
            <family val="2"/>
          </rPr>
          <t>Scott, Justin:</t>
        </r>
        <r>
          <rPr>
            <sz val="9"/>
            <color indexed="81"/>
            <rFont val="Tahoma"/>
            <family val="2"/>
          </rPr>
          <t xml:space="preserve">
This value comes from the Total Direct Labor line on the Income Statement.</t>
        </r>
      </text>
    </comment>
    <comment ref="B362" authorId="1" shapeId="0" xr:uid="{00000000-0006-0000-0400-00005E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63" authorId="1" shapeId="0" xr:uid="{00000000-0006-0000-0400-00005F010000}">
      <text>
        <r>
          <rPr>
            <b/>
            <sz val="9"/>
            <color indexed="81"/>
            <rFont val="Tahoma"/>
            <family val="2"/>
          </rPr>
          <t>Scott, Justin:</t>
        </r>
        <r>
          <rPr>
            <sz val="9"/>
            <color indexed="81"/>
            <rFont val="Tahoma"/>
            <family val="2"/>
          </rPr>
          <t xml:space="preserve">
This value comes from the EBIT line on the Income Statement.</t>
        </r>
      </text>
    </comment>
    <comment ref="B366" authorId="1" shapeId="0" xr:uid="{00000000-0006-0000-0400-000060010000}">
      <text>
        <r>
          <rPr>
            <b/>
            <sz val="9"/>
            <color indexed="81"/>
            <rFont val="Tahoma"/>
            <family val="2"/>
          </rPr>
          <t>Scott, Justin:</t>
        </r>
        <r>
          <rPr>
            <sz val="9"/>
            <color indexed="81"/>
            <rFont val="Tahoma"/>
            <family val="2"/>
          </rPr>
          <t xml:space="preserve">
This value comes from the Total Direct Labor line on the Income Statement.</t>
        </r>
      </text>
    </comment>
    <comment ref="B367" authorId="1" shapeId="0" xr:uid="{00000000-0006-0000-0400-000061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68" authorId="1" shapeId="0" xr:uid="{00000000-0006-0000-0400-000062010000}">
      <text>
        <r>
          <rPr>
            <b/>
            <sz val="9"/>
            <color indexed="81"/>
            <rFont val="Tahoma"/>
            <family val="2"/>
          </rPr>
          <t>Scott, Justin:</t>
        </r>
        <r>
          <rPr>
            <sz val="9"/>
            <color indexed="81"/>
            <rFont val="Tahoma"/>
            <family val="2"/>
          </rPr>
          <t xml:space="preserve">
This value comes from the EBIT line on the Income Statement.</t>
        </r>
      </text>
    </comment>
    <comment ref="B370" authorId="1" shapeId="0" xr:uid="{00000000-0006-0000-0400-000063010000}">
      <text>
        <r>
          <rPr>
            <b/>
            <sz val="9"/>
            <color indexed="81"/>
            <rFont val="Tahoma"/>
            <family val="2"/>
          </rPr>
          <t>Scott, Justin:</t>
        </r>
        <r>
          <rPr>
            <sz val="9"/>
            <color indexed="81"/>
            <rFont val="Tahoma"/>
            <family val="2"/>
          </rPr>
          <t xml:space="preserve">
This value comes from the Total Direct Labor line on the Income Statement.</t>
        </r>
      </text>
    </comment>
    <comment ref="B371" authorId="1" shapeId="0" xr:uid="{00000000-0006-0000-0400-000064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72" authorId="1" shapeId="0" xr:uid="{00000000-0006-0000-0400-000065010000}">
      <text>
        <r>
          <rPr>
            <b/>
            <sz val="9"/>
            <color indexed="81"/>
            <rFont val="Tahoma"/>
            <family val="2"/>
          </rPr>
          <t>Scott, Justin:</t>
        </r>
        <r>
          <rPr>
            <sz val="9"/>
            <color indexed="81"/>
            <rFont val="Tahoma"/>
            <family val="2"/>
          </rPr>
          <t xml:space="preserve">
This value comes from the EBIT line on the Income Statement.</t>
        </r>
      </text>
    </comment>
    <comment ref="B374" authorId="1" shapeId="0" xr:uid="{00000000-0006-0000-0400-000066010000}">
      <text>
        <r>
          <rPr>
            <b/>
            <sz val="9"/>
            <color indexed="81"/>
            <rFont val="Tahoma"/>
            <family val="2"/>
          </rPr>
          <t>Scott, Justin:</t>
        </r>
        <r>
          <rPr>
            <sz val="9"/>
            <color indexed="81"/>
            <rFont val="Tahoma"/>
            <family val="2"/>
          </rPr>
          <t xml:space="preserve">
This value comes from the Total Direct Labor line on the Income Statement.</t>
        </r>
      </text>
    </comment>
    <comment ref="B375" authorId="1" shapeId="0" xr:uid="{00000000-0006-0000-0400-000067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76" authorId="1" shapeId="0" xr:uid="{00000000-0006-0000-0400-000068010000}">
      <text>
        <r>
          <rPr>
            <b/>
            <sz val="9"/>
            <color indexed="81"/>
            <rFont val="Tahoma"/>
            <family val="2"/>
          </rPr>
          <t>Scott, Justin:</t>
        </r>
        <r>
          <rPr>
            <sz val="9"/>
            <color indexed="81"/>
            <rFont val="Tahoma"/>
            <family val="2"/>
          </rPr>
          <t xml:space="preserve">
This value comes from the EBIT line on the Income Statement.</t>
        </r>
      </text>
    </comment>
    <comment ref="B378" authorId="0" shapeId="0" xr:uid="{00000000-0006-0000-0400-000069010000}">
      <text>
        <r>
          <rPr>
            <b/>
            <sz val="9"/>
            <color indexed="81"/>
            <rFont val="Tahoma"/>
            <family val="2"/>
          </rPr>
          <t>Giretti, Joseph:</t>
        </r>
        <r>
          <rPr>
            <sz val="9"/>
            <color indexed="81"/>
            <rFont val="Tahoma"/>
            <family val="2"/>
          </rPr>
          <t xml:space="preserve">
GL 6997</t>
        </r>
      </text>
    </comment>
    <comment ref="B384" authorId="1" shapeId="0" xr:uid="{00000000-0006-0000-0400-00006A010000}">
      <text>
        <r>
          <rPr>
            <b/>
            <sz val="9"/>
            <color indexed="81"/>
            <rFont val="Tahoma"/>
            <family val="2"/>
          </rPr>
          <t>Scott, Justin:</t>
        </r>
        <r>
          <rPr>
            <sz val="9"/>
            <color indexed="81"/>
            <rFont val="Tahoma"/>
            <family val="2"/>
          </rPr>
          <t xml:space="preserve">
This value comes from the Total Direct Labor line on the Income Statement.</t>
        </r>
      </text>
    </comment>
    <comment ref="B385" authorId="1" shapeId="0" xr:uid="{00000000-0006-0000-0400-00006B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86" authorId="1" shapeId="0" xr:uid="{00000000-0006-0000-0400-00006C010000}">
      <text>
        <r>
          <rPr>
            <b/>
            <sz val="9"/>
            <color indexed="81"/>
            <rFont val="Tahoma"/>
            <family val="2"/>
          </rPr>
          <t>Scott, Justin:</t>
        </r>
        <r>
          <rPr>
            <sz val="9"/>
            <color indexed="81"/>
            <rFont val="Tahoma"/>
            <family val="2"/>
          </rPr>
          <t xml:space="preserve">
This value comes from the EBIT line on the Income Statement.</t>
        </r>
      </text>
    </comment>
    <comment ref="B388" authorId="1" shapeId="0" xr:uid="{00000000-0006-0000-0400-00006D010000}">
      <text>
        <r>
          <rPr>
            <b/>
            <sz val="9"/>
            <color indexed="81"/>
            <rFont val="Tahoma"/>
            <family val="2"/>
          </rPr>
          <t>Scott, Justin:</t>
        </r>
        <r>
          <rPr>
            <sz val="9"/>
            <color indexed="81"/>
            <rFont val="Tahoma"/>
            <family val="2"/>
          </rPr>
          <t xml:space="preserve">
This value comes from the Total Direct Labor line on the Income Statement.</t>
        </r>
      </text>
    </comment>
    <comment ref="B389" authorId="1" shapeId="0" xr:uid="{00000000-0006-0000-0400-00006E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90" authorId="1" shapeId="0" xr:uid="{00000000-0006-0000-0400-00006F010000}">
      <text>
        <r>
          <rPr>
            <b/>
            <sz val="9"/>
            <color indexed="81"/>
            <rFont val="Tahoma"/>
            <family val="2"/>
          </rPr>
          <t>Scott, Justin:</t>
        </r>
        <r>
          <rPr>
            <sz val="9"/>
            <color indexed="81"/>
            <rFont val="Tahoma"/>
            <family val="2"/>
          </rPr>
          <t xml:space="preserve">
This value comes from the EBIT line on the Income Statement.</t>
        </r>
      </text>
    </comment>
    <comment ref="B392" authorId="1" shapeId="0" xr:uid="{00000000-0006-0000-0400-000070010000}">
      <text>
        <r>
          <rPr>
            <b/>
            <sz val="9"/>
            <color indexed="81"/>
            <rFont val="Tahoma"/>
            <family val="2"/>
          </rPr>
          <t>Scott, Justin:</t>
        </r>
        <r>
          <rPr>
            <sz val="9"/>
            <color indexed="81"/>
            <rFont val="Tahoma"/>
            <family val="2"/>
          </rPr>
          <t xml:space="preserve">
This value comes from the Total Direct Labor line on the Income Statement.</t>
        </r>
      </text>
    </comment>
    <comment ref="B393" authorId="1" shapeId="0" xr:uid="{00000000-0006-0000-0400-000071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94" authorId="1" shapeId="0" xr:uid="{00000000-0006-0000-0400-000072010000}">
      <text>
        <r>
          <rPr>
            <b/>
            <sz val="9"/>
            <color indexed="81"/>
            <rFont val="Tahoma"/>
            <family val="2"/>
          </rPr>
          <t>Scott, Justin:</t>
        </r>
        <r>
          <rPr>
            <sz val="9"/>
            <color indexed="81"/>
            <rFont val="Tahoma"/>
            <family val="2"/>
          </rPr>
          <t xml:space="preserve">
This value comes from the EBIT line on the Income Statement.</t>
        </r>
      </text>
    </comment>
    <comment ref="B397" authorId="1" shapeId="0" xr:uid="{00000000-0006-0000-0400-000073010000}">
      <text>
        <r>
          <rPr>
            <b/>
            <sz val="9"/>
            <color indexed="81"/>
            <rFont val="Tahoma"/>
            <family val="2"/>
          </rPr>
          <t>Scott, Justin:</t>
        </r>
        <r>
          <rPr>
            <sz val="9"/>
            <color indexed="81"/>
            <rFont val="Tahoma"/>
            <family val="2"/>
          </rPr>
          <t xml:space="preserve">
This value comes from the Total Direct Labor line on the Income Statement.</t>
        </r>
      </text>
    </comment>
    <comment ref="B398" authorId="1" shapeId="0" xr:uid="{00000000-0006-0000-0400-000074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99" authorId="1" shapeId="0" xr:uid="{00000000-0006-0000-0400-000075010000}">
      <text>
        <r>
          <rPr>
            <b/>
            <sz val="9"/>
            <color indexed="81"/>
            <rFont val="Tahoma"/>
            <family val="2"/>
          </rPr>
          <t>Scott, Justin:</t>
        </r>
        <r>
          <rPr>
            <sz val="9"/>
            <color indexed="81"/>
            <rFont val="Tahoma"/>
            <family val="2"/>
          </rPr>
          <t xml:space="preserve">
This value comes from the EBIT line on the Income Statement.</t>
        </r>
      </text>
    </comment>
    <comment ref="B401" authorId="1" shapeId="0" xr:uid="{00000000-0006-0000-0400-000076010000}">
      <text>
        <r>
          <rPr>
            <b/>
            <sz val="9"/>
            <color indexed="81"/>
            <rFont val="Tahoma"/>
            <family val="2"/>
          </rPr>
          <t>Scott, Justin:</t>
        </r>
        <r>
          <rPr>
            <sz val="9"/>
            <color indexed="81"/>
            <rFont val="Tahoma"/>
            <family val="2"/>
          </rPr>
          <t xml:space="preserve">
This value comes from the Total Direct Labor line on the Income Statement.</t>
        </r>
      </text>
    </comment>
    <comment ref="B402" authorId="1" shapeId="0" xr:uid="{00000000-0006-0000-0400-000077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03" authorId="1" shapeId="0" xr:uid="{00000000-0006-0000-0400-000078010000}">
      <text>
        <r>
          <rPr>
            <b/>
            <sz val="9"/>
            <color indexed="81"/>
            <rFont val="Tahoma"/>
            <family val="2"/>
          </rPr>
          <t>Scott, Justin:</t>
        </r>
        <r>
          <rPr>
            <sz val="9"/>
            <color indexed="81"/>
            <rFont val="Tahoma"/>
            <family val="2"/>
          </rPr>
          <t xml:space="preserve">
This value comes from the EBIT line on the Income Statement.</t>
        </r>
      </text>
    </comment>
    <comment ref="B405" authorId="1" shapeId="0" xr:uid="{00000000-0006-0000-0400-000079010000}">
      <text>
        <r>
          <rPr>
            <b/>
            <sz val="9"/>
            <color indexed="81"/>
            <rFont val="Tahoma"/>
            <family val="2"/>
          </rPr>
          <t>Scott, Justin:</t>
        </r>
        <r>
          <rPr>
            <sz val="9"/>
            <color indexed="81"/>
            <rFont val="Tahoma"/>
            <family val="2"/>
          </rPr>
          <t xml:space="preserve">
This value comes from the Total Direct Labor line on the Income Statement.</t>
        </r>
      </text>
    </comment>
    <comment ref="B406" authorId="1" shapeId="0" xr:uid="{00000000-0006-0000-0400-00007A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07" authorId="1" shapeId="0" xr:uid="{00000000-0006-0000-0400-00007B010000}">
      <text>
        <r>
          <rPr>
            <b/>
            <sz val="9"/>
            <color indexed="81"/>
            <rFont val="Tahoma"/>
            <family val="2"/>
          </rPr>
          <t>Scott, Justin:</t>
        </r>
        <r>
          <rPr>
            <sz val="9"/>
            <color indexed="81"/>
            <rFont val="Tahoma"/>
            <family val="2"/>
          </rPr>
          <t xml:space="preserve">
This value comes from the EBIT line on the Income Statement.</t>
        </r>
      </text>
    </comment>
    <comment ref="B415" authorId="1" shapeId="0" xr:uid="{00000000-0006-0000-0400-00008E010000}">
      <text>
        <r>
          <rPr>
            <b/>
            <sz val="9"/>
            <color indexed="81"/>
            <rFont val="Tahoma"/>
            <family val="2"/>
          </rPr>
          <t>Scott, Justin:</t>
        </r>
        <r>
          <rPr>
            <sz val="9"/>
            <color indexed="81"/>
            <rFont val="Tahoma"/>
            <family val="2"/>
          </rPr>
          <t xml:space="preserve">
This value comes from the Total Direct Labor line on the Income Statement.</t>
        </r>
      </text>
    </comment>
    <comment ref="B416" authorId="1" shapeId="0" xr:uid="{00000000-0006-0000-0400-00008F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17" authorId="1" shapeId="0" xr:uid="{00000000-0006-0000-0400-000090010000}">
      <text>
        <r>
          <rPr>
            <b/>
            <sz val="9"/>
            <color indexed="81"/>
            <rFont val="Tahoma"/>
            <family val="2"/>
          </rPr>
          <t>Scott, Justin:</t>
        </r>
        <r>
          <rPr>
            <sz val="9"/>
            <color indexed="81"/>
            <rFont val="Tahoma"/>
            <family val="2"/>
          </rPr>
          <t xml:space="preserve">
This value comes from the EBIT line on the Income Statement.</t>
        </r>
      </text>
    </comment>
    <comment ref="B419" authorId="1" shapeId="0" xr:uid="{00000000-0006-0000-0400-000091010000}">
      <text>
        <r>
          <rPr>
            <b/>
            <sz val="9"/>
            <color indexed="81"/>
            <rFont val="Tahoma"/>
            <family val="2"/>
          </rPr>
          <t>Scott, Justin:</t>
        </r>
        <r>
          <rPr>
            <sz val="9"/>
            <color indexed="81"/>
            <rFont val="Tahoma"/>
            <family val="2"/>
          </rPr>
          <t xml:space="preserve">
This value comes from the Total Direct Labor line on the Income Statement.</t>
        </r>
      </text>
    </comment>
    <comment ref="B420" authorId="1" shapeId="0" xr:uid="{00000000-0006-0000-0400-000092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21" authorId="1" shapeId="0" xr:uid="{00000000-0006-0000-0400-000093010000}">
      <text>
        <r>
          <rPr>
            <b/>
            <sz val="9"/>
            <color indexed="81"/>
            <rFont val="Tahoma"/>
            <family val="2"/>
          </rPr>
          <t>Scott, Justin:</t>
        </r>
        <r>
          <rPr>
            <sz val="9"/>
            <color indexed="81"/>
            <rFont val="Tahoma"/>
            <family val="2"/>
          </rPr>
          <t xml:space="preserve">
This value comes from the EBIT line on the Income Statement.</t>
        </r>
      </text>
    </comment>
    <comment ref="B423" authorId="1" shapeId="0" xr:uid="{00000000-0006-0000-0400-000094010000}">
      <text>
        <r>
          <rPr>
            <b/>
            <sz val="9"/>
            <color indexed="81"/>
            <rFont val="Tahoma"/>
            <family val="2"/>
          </rPr>
          <t>Scott, Justin:</t>
        </r>
        <r>
          <rPr>
            <sz val="9"/>
            <color indexed="81"/>
            <rFont val="Tahoma"/>
            <family val="2"/>
          </rPr>
          <t xml:space="preserve">
This value comes from the Total Direct Labor line on the Income Statement.</t>
        </r>
      </text>
    </comment>
    <comment ref="B424" authorId="1" shapeId="0" xr:uid="{00000000-0006-0000-0400-000095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25" authorId="1" shapeId="0" xr:uid="{00000000-0006-0000-0400-000096010000}">
      <text>
        <r>
          <rPr>
            <b/>
            <sz val="9"/>
            <color indexed="81"/>
            <rFont val="Tahoma"/>
            <family val="2"/>
          </rPr>
          <t>Scott, Justin:</t>
        </r>
        <r>
          <rPr>
            <sz val="9"/>
            <color indexed="81"/>
            <rFont val="Tahoma"/>
            <family val="2"/>
          </rPr>
          <t xml:space="preserve">
This value comes from the EBIT line on the Income Statement.</t>
        </r>
      </text>
    </comment>
    <comment ref="B428" authorId="1" shapeId="0" xr:uid="{00000000-0006-0000-0400-000097010000}">
      <text>
        <r>
          <rPr>
            <b/>
            <sz val="9"/>
            <color indexed="81"/>
            <rFont val="Tahoma"/>
            <family val="2"/>
          </rPr>
          <t>Scott, Justin:</t>
        </r>
        <r>
          <rPr>
            <sz val="9"/>
            <color indexed="81"/>
            <rFont val="Tahoma"/>
            <family val="2"/>
          </rPr>
          <t xml:space="preserve">
This value comes from the Total Direct Labor line on the Income Statement.</t>
        </r>
      </text>
    </comment>
    <comment ref="B429" authorId="1" shapeId="0" xr:uid="{00000000-0006-0000-0400-000098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30" authorId="1" shapeId="0" xr:uid="{00000000-0006-0000-0400-000099010000}">
      <text>
        <r>
          <rPr>
            <b/>
            <sz val="9"/>
            <color indexed="81"/>
            <rFont val="Tahoma"/>
            <family val="2"/>
          </rPr>
          <t>Scott, Justin:</t>
        </r>
        <r>
          <rPr>
            <sz val="9"/>
            <color indexed="81"/>
            <rFont val="Tahoma"/>
            <family val="2"/>
          </rPr>
          <t xml:space="preserve">
This value comes from the EBIT line on the Income Statement.</t>
        </r>
      </text>
    </comment>
    <comment ref="B432" authorId="1" shapeId="0" xr:uid="{00000000-0006-0000-0400-00009A010000}">
      <text>
        <r>
          <rPr>
            <b/>
            <sz val="9"/>
            <color indexed="81"/>
            <rFont val="Tahoma"/>
            <family val="2"/>
          </rPr>
          <t>Scott, Justin:</t>
        </r>
        <r>
          <rPr>
            <sz val="9"/>
            <color indexed="81"/>
            <rFont val="Tahoma"/>
            <family val="2"/>
          </rPr>
          <t xml:space="preserve">
This value comes from the Total Direct Labor line on the Income Statement.</t>
        </r>
      </text>
    </comment>
    <comment ref="B433" authorId="1" shapeId="0" xr:uid="{00000000-0006-0000-0400-00009B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34" authorId="1" shapeId="0" xr:uid="{00000000-0006-0000-0400-00009C010000}">
      <text>
        <r>
          <rPr>
            <b/>
            <sz val="9"/>
            <color indexed="81"/>
            <rFont val="Tahoma"/>
            <family val="2"/>
          </rPr>
          <t>Scott, Justin:</t>
        </r>
        <r>
          <rPr>
            <sz val="9"/>
            <color indexed="81"/>
            <rFont val="Tahoma"/>
            <family val="2"/>
          </rPr>
          <t xml:space="preserve">
This value comes from the EBIT line on the Income Statement.</t>
        </r>
      </text>
    </comment>
    <comment ref="B436" authorId="1" shapeId="0" xr:uid="{00000000-0006-0000-0400-00009D010000}">
      <text>
        <r>
          <rPr>
            <b/>
            <sz val="9"/>
            <color indexed="81"/>
            <rFont val="Tahoma"/>
            <family val="2"/>
          </rPr>
          <t>Scott, Justin:</t>
        </r>
        <r>
          <rPr>
            <sz val="9"/>
            <color indexed="81"/>
            <rFont val="Tahoma"/>
            <family val="2"/>
          </rPr>
          <t xml:space="preserve">
This value comes from the Total Direct Labor line on the Income Statement.</t>
        </r>
      </text>
    </comment>
    <comment ref="B437" authorId="1" shapeId="0" xr:uid="{00000000-0006-0000-0400-00009E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38" authorId="1" shapeId="0" xr:uid="{00000000-0006-0000-0400-00009F010000}">
      <text>
        <r>
          <rPr>
            <b/>
            <sz val="9"/>
            <color indexed="81"/>
            <rFont val="Tahoma"/>
            <family val="2"/>
          </rPr>
          <t>Scott, Justin:</t>
        </r>
        <r>
          <rPr>
            <sz val="9"/>
            <color indexed="81"/>
            <rFont val="Tahoma"/>
            <family val="2"/>
          </rPr>
          <t xml:space="preserve">
This value comes from the EBIT line on the Income Statement.</t>
        </r>
      </text>
    </comment>
    <comment ref="B446" authorId="1" shapeId="0" xr:uid="{00000000-0006-0000-0400-0000C4010000}">
      <text>
        <r>
          <rPr>
            <b/>
            <sz val="9"/>
            <color indexed="81"/>
            <rFont val="Tahoma"/>
            <family val="2"/>
          </rPr>
          <t>Scott, Justin:</t>
        </r>
        <r>
          <rPr>
            <sz val="9"/>
            <color indexed="81"/>
            <rFont val="Tahoma"/>
            <family val="2"/>
          </rPr>
          <t xml:space="preserve">
This value comes from the Total Direct Labor line on the Income Statement.</t>
        </r>
      </text>
    </comment>
    <comment ref="B447" authorId="1" shapeId="0" xr:uid="{00000000-0006-0000-0400-0000C5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48" authorId="1" shapeId="0" xr:uid="{00000000-0006-0000-0400-0000C6010000}">
      <text>
        <r>
          <rPr>
            <b/>
            <sz val="9"/>
            <color indexed="81"/>
            <rFont val="Tahoma"/>
            <family val="2"/>
          </rPr>
          <t>Scott, Justin:</t>
        </r>
        <r>
          <rPr>
            <sz val="9"/>
            <color indexed="81"/>
            <rFont val="Tahoma"/>
            <family val="2"/>
          </rPr>
          <t xml:space="preserve">
This value comes from the EBIT line on the Income Statement.</t>
        </r>
      </text>
    </comment>
    <comment ref="B450" authorId="1" shapeId="0" xr:uid="{00000000-0006-0000-0400-0000C7010000}">
      <text>
        <r>
          <rPr>
            <b/>
            <sz val="9"/>
            <color indexed="81"/>
            <rFont val="Tahoma"/>
            <family val="2"/>
          </rPr>
          <t>Scott, Justin:</t>
        </r>
        <r>
          <rPr>
            <sz val="9"/>
            <color indexed="81"/>
            <rFont val="Tahoma"/>
            <family val="2"/>
          </rPr>
          <t xml:space="preserve">
This value comes from the Total Direct Labor line on the Income Statement.</t>
        </r>
      </text>
    </comment>
    <comment ref="B451" authorId="1" shapeId="0" xr:uid="{00000000-0006-0000-0400-0000C8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52" authorId="1" shapeId="0" xr:uid="{00000000-0006-0000-0400-0000C9010000}">
      <text>
        <r>
          <rPr>
            <b/>
            <sz val="9"/>
            <color indexed="81"/>
            <rFont val="Tahoma"/>
            <family val="2"/>
          </rPr>
          <t>Scott, Justin:</t>
        </r>
        <r>
          <rPr>
            <sz val="9"/>
            <color indexed="81"/>
            <rFont val="Tahoma"/>
            <family val="2"/>
          </rPr>
          <t xml:space="preserve">
This value comes from the EBIT line on the Income Statement.</t>
        </r>
      </text>
    </comment>
    <comment ref="B454" authorId="1" shapeId="0" xr:uid="{00000000-0006-0000-0400-0000CA010000}">
      <text>
        <r>
          <rPr>
            <b/>
            <sz val="9"/>
            <color indexed="81"/>
            <rFont val="Tahoma"/>
            <family val="2"/>
          </rPr>
          <t>Scott, Justin:</t>
        </r>
        <r>
          <rPr>
            <sz val="9"/>
            <color indexed="81"/>
            <rFont val="Tahoma"/>
            <family val="2"/>
          </rPr>
          <t xml:space="preserve">
This value comes from the Total Direct Labor line on the Income Statement.</t>
        </r>
      </text>
    </comment>
    <comment ref="B455" authorId="1" shapeId="0" xr:uid="{00000000-0006-0000-0400-0000CB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56" authorId="1" shapeId="0" xr:uid="{00000000-0006-0000-0400-0000CC010000}">
      <text>
        <r>
          <rPr>
            <b/>
            <sz val="9"/>
            <color indexed="81"/>
            <rFont val="Tahoma"/>
            <family val="2"/>
          </rPr>
          <t>Scott, Justin:</t>
        </r>
        <r>
          <rPr>
            <sz val="9"/>
            <color indexed="81"/>
            <rFont val="Tahoma"/>
            <family val="2"/>
          </rPr>
          <t xml:space="preserve">
This value comes from the EBIT line on the Income Statement.</t>
        </r>
      </text>
    </comment>
    <comment ref="B459" authorId="1" shapeId="0" xr:uid="{00000000-0006-0000-0400-0000CD010000}">
      <text>
        <r>
          <rPr>
            <b/>
            <sz val="9"/>
            <color indexed="81"/>
            <rFont val="Tahoma"/>
            <family val="2"/>
          </rPr>
          <t>Scott, Justin:</t>
        </r>
        <r>
          <rPr>
            <sz val="9"/>
            <color indexed="81"/>
            <rFont val="Tahoma"/>
            <family val="2"/>
          </rPr>
          <t xml:space="preserve">
This value comes from the Total Direct Labor line on the Income Statement.</t>
        </r>
      </text>
    </comment>
    <comment ref="B460" authorId="1" shapeId="0" xr:uid="{00000000-0006-0000-0400-0000CE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61" authorId="1" shapeId="0" xr:uid="{00000000-0006-0000-0400-0000CF010000}">
      <text>
        <r>
          <rPr>
            <b/>
            <sz val="9"/>
            <color indexed="81"/>
            <rFont val="Tahoma"/>
            <family val="2"/>
          </rPr>
          <t>Scott, Justin:</t>
        </r>
        <r>
          <rPr>
            <sz val="9"/>
            <color indexed="81"/>
            <rFont val="Tahoma"/>
            <family val="2"/>
          </rPr>
          <t xml:space="preserve">
This value comes from the EBIT line on the Income Statement.</t>
        </r>
      </text>
    </comment>
    <comment ref="B463" authorId="1" shapeId="0" xr:uid="{00000000-0006-0000-0400-0000D0010000}">
      <text>
        <r>
          <rPr>
            <b/>
            <sz val="9"/>
            <color indexed="81"/>
            <rFont val="Tahoma"/>
            <family val="2"/>
          </rPr>
          <t>Scott, Justin:</t>
        </r>
        <r>
          <rPr>
            <sz val="9"/>
            <color indexed="81"/>
            <rFont val="Tahoma"/>
            <family val="2"/>
          </rPr>
          <t xml:space="preserve">
This value comes from the Total Direct Labor line on the Income Statement.</t>
        </r>
      </text>
    </comment>
    <comment ref="B464" authorId="1" shapeId="0" xr:uid="{00000000-0006-0000-0400-0000D1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65" authorId="1" shapeId="0" xr:uid="{00000000-0006-0000-0400-0000D2010000}">
      <text>
        <r>
          <rPr>
            <b/>
            <sz val="9"/>
            <color indexed="81"/>
            <rFont val="Tahoma"/>
            <family val="2"/>
          </rPr>
          <t>Scott, Justin:</t>
        </r>
        <r>
          <rPr>
            <sz val="9"/>
            <color indexed="81"/>
            <rFont val="Tahoma"/>
            <family val="2"/>
          </rPr>
          <t xml:space="preserve">
This value comes from the EBIT line on the Income Statement.</t>
        </r>
      </text>
    </comment>
    <comment ref="B467" authorId="1" shapeId="0" xr:uid="{00000000-0006-0000-0400-0000D3010000}">
      <text>
        <r>
          <rPr>
            <b/>
            <sz val="9"/>
            <color indexed="81"/>
            <rFont val="Tahoma"/>
            <family val="2"/>
          </rPr>
          <t>Scott, Justin:</t>
        </r>
        <r>
          <rPr>
            <sz val="9"/>
            <color indexed="81"/>
            <rFont val="Tahoma"/>
            <family val="2"/>
          </rPr>
          <t xml:space="preserve">
This value comes from the Total Direct Labor line on the Income Statement.</t>
        </r>
      </text>
    </comment>
    <comment ref="B468" authorId="1" shapeId="0" xr:uid="{00000000-0006-0000-0400-0000D4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69" authorId="1" shapeId="0" xr:uid="{00000000-0006-0000-0400-0000D5010000}">
      <text>
        <r>
          <rPr>
            <b/>
            <sz val="9"/>
            <color indexed="81"/>
            <rFont val="Tahoma"/>
            <family val="2"/>
          </rPr>
          <t>Scott, Justin:</t>
        </r>
        <r>
          <rPr>
            <sz val="9"/>
            <color indexed="81"/>
            <rFont val="Tahoma"/>
            <family val="2"/>
          </rPr>
          <t xml:space="preserve">
This value comes from the EBIT line on the Income Statement.</t>
        </r>
      </text>
    </comment>
    <comment ref="B477" authorId="1" shapeId="0" xr:uid="{00000000-0006-0000-0400-0000D6010000}">
      <text>
        <r>
          <rPr>
            <b/>
            <sz val="9"/>
            <color indexed="81"/>
            <rFont val="Tahoma"/>
            <family val="2"/>
          </rPr>
          <t>Scott, Justin:</t>
        </r>
        <r>
          <rPr>
            <sz val="9"/>
            <color indexed="81"/>
            <rFont val="Tahoma"/>
            <family val="2"/>
          </rPr>
          <t xml:space="preserve">
This value comes from the Total Direct Labor line on the Income Statement.</t>
        </r>
      </text>
    </comment>
    <comment ref="B478" authorId="1" shapeId="0" xr:uid="{00000000-0006-0000-0400-0000D7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79" authorId="1" shapeId="0" xr:uid="{00000000-0006-0000-0400-0000D8010000}">
      <text>
        <r>
          <rPr>
            <b/>
            <sz val="9"/>
            <color indexed="81"/>
            <rFont val="Tahoma"/>
            <family val="2"/>
          </rPr>
          <t>Scott, Justin:</t>
        </r>
        <r>
          <rPr>
            <sz val="9"/>
            <color indexed="81"/>
            <rFont val="Tahoma"/>
            <family val="2"/>
          </rPr>
          <t xml:space="preserve">
This value comes from the EBIT line on the Income Statement.</t>
        </r>
      </text>
    </comment>
    <comment ref="B481" authorId="1" shapeId="0" xr:uid="{00000000-0006-0000-0400-0000D9010000}">
      <text>
        <r>
          <rPr>
            <b/>
            <sz val="9"/>
            <color indexed="81"/>
            <rFont val="Tahoma"/>
            <family val="2"/>
          </rPr>
          <t>Scott, Justin:</t>
        </r>
        <r>
          <rPr>
            <sz val="9"/>
            <color indexed="81"/>
            <rFont val="Tahoma"/>
            <family val="2"/>
          </rPr>
          <t xml:space="preserve">
This value comes from the Total Direct Labor line on the Income Statement.</t>
        </r>
      </text>
    </comment>
    <comment ref="B482" authorId="1" shapeId="0" xr:uid="{00000000-0006-0000-0400-0000DA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83" authorId="1" shapeId="0" xr:uid="{00000000-0006-0000-0400-0000DB010000}">
      <text>
        <r>
          <rPr>
            <b/>
            <sz val="9"/>
            <color indexed="81"/>
            <rFont val="Tahoma"/>
            <family val="2"/>
          </rPr>
          <t>Scott, Justin:</t>
        </r>
        <r>
          <rPr>
            <sz val="9"/>
            <color indexed="81"/>
            <rFont val="Tahoma"/>
            <family val="2"/>
          </rPr>
          <t xml:space="preserve">
This value comes from the EBIT line on the Income Statement.</t>
        </r>
      </text>
    </comment>
    <comment ref="B485" authorId="1" shapeId="0" xr:uid="{00000000-0006-0000-0400-0000DC010000}">
      <text>
        <r>
          <rPr>
            <b/>
            <sz val="9"/>
            <color indexed="81"/>
            <rFont val="Tahoma"/>
            <family val="2"/>
          </rPr>
          <t>Scott, Justin:</t>
        </r>
        <r>
          <rPr>
            <sz val="9"/>
            <color indexed="81"/>
            <rFont val="Tahoma"/>
            <family val="2"/>
          </rPr>
          <t xml:space="preserve">
This value comes from the Total Direct Labor line on the Income Statement.</t>
        </r>
      </text>
    </comment>
    <comment ref="B486" authorId="1" shapeId="0" xr:uid="{00000000-0006-0000-0400-0000DD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87" authorId="1" shapeId="0" xr:uid="{00000000-0006-0000-0400-0000DE010000}">
      <text>
        <r>
          <rPr>
            <b/>
            <sz val="9"/>
            <color indexed="81"/>
            <rFont val="Tahoma"/>
            <family val="2"/>
          </rPr>
          <t>Scott, Justin:</t>
        </r>
        <r>
          <rPr>
            <sz val="9"/>
            <color indexed="81"/>
            <rFont val="Tahoma"/>
            <family val="2"/>
          </rPr>
          <t xml:space="preserve">
This value comes from the EBIT line on the Income Statement.</t>
        </r>
      </text>
    </comment>
    <comment ref="B490" authorId="1" shapeId="0" xr:uid="{00000000-0006-0000-0400-0000DF010000}">
      <text>
        <r>
          <rPr>
            <b/>
            <sz val="9"/>
            <color indexed="81"/>
            <rFont val="Tahoma"/>
            <family val="2"/>
          </rPr>
          <t>Scott, Justin:</t>
        </r>
        <r>
          <rPr>
            <sz val="9"/>
            <color indexed="81"/>
            <rFont val="Tahoma"/>
            <family val="2"/>
          </rPr>
          <t xml:space="preserve">
This value comes from the Total Direct Labor line on the Income Statement.</t>
        </r>
      </text>
    </comment>
    <comment ref="B491" authorId="1" shapeId="0" xr:uid="{00000000-0006-0000-0400-0000E0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92" authorId="1" shapeId="0" xr:uid="{00000000-0006-0000-0400-0000E1010000}">
      <text>
        <r>
          <rPr>
            <b/>
            <sz val="9"/>
            <color indexed="81"/>
            <rFont val="Tahoma"/>
            <family val="2"/>
          </rPr>
          <t>Scott, Justin:</t>
        </r>
        <r>
          <rPr>
            <sz val="9"/>
            <color indexed="81"/>
            <rFont val="Tahoma"/>
            <family val="2"/>
          </rPr>
          <t xml:space="preserve">
This value comes from the EBIT line on the Income Statement.</t>
        </r>
      </text>
    </comment>
    <comment ref="B494" authorId="1" shapeId="0" xr:uid="{00000000-0006-0000-0400-0000E2010000}">
      <text>
        <r>
          <rPr>
            <b/>
            <sz val="9"/>
            <color indexed="81"/>
            <rFont val="Tahoma"/>
            <family val="2"/>
          </rPr>
          <t>Scott, Justin:</t>
        </r>
        <r>
          <rPr>
            <sz val="9"/>
            <color indexed="81"/>
            <rFont val="Tahoma"/>
            <family val="2"/>
          </rPr>
          <t xml:space="preserve">
This value comes from the Total Direct Labor line on the Income Statement.</t>
        </r>
      </text>
    </comment>
    <comment ref="B495" authorId="1" shapeId="0" xr:uid="{00000000-0006-0000-0400-0000E3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96" authorId="1" shapeId="0" xr:uid="{00000000-0006-0000-0400-0000E4010000}">
      <text>
        <r>
          <rPr>
            <b/>
            <sz val="9"/>
            <color indexed="81"/>
            <rFont val="Tahoma"/>
            <family val="2"/>
          </rPr>
          <t>Scott, Justin:</t>
        </r>
        <r>
          <rPr>
            <sz val="9"/>
            <color indexed="81"/>
            <rFont val="Tahoma"/>
            <family val="2"/>
          </rPr>
          <t xml:space="preserve">
This value comes from the EBIT line on the Income Statement.</t>
        </r>
      </text>
    </comment>
    <comment ref="B498" authorId="1" shapeId="0" xr:uid="{00000000-0006-0000-0400-0000E5010000}">
      <text>
        <r>
          <rPr>
            <b/>
            <sz val="9"/>
            <color indexed="81"/>
            <rFont val="Tahoma"/>
            <family val="2"/>
          </rPr>
          <t>Scott, Justin:</t>
        </r>
        <r>
          <rPr>
            <sz val="9"/>
            <color indexed="81"/>
            <rFont val="Tahoma"/>
            <family val="2"/>
          </rPr>
          <t xml:space="preserve">
This value comes from the Total Direct Labor line on the Income Statement.</t>
        </r>
      </text>
    </comment>
    <comment ref="B499" authorId="1" shapeId="0" xr:uid="{00000000-0006-0000-0400-0000E6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00" authorId="1" shapeId="0" xr:uid="{00000000-0006-0000-0400-0000E7010000}">
      <text>
        <r>
          <rPr>
            <b/>
            <sz val="9"/>
            <color indexed="81"/>
            <rFont val="Tahoma"/>
            <family val="2"/>
          </rPr>
          <t>Scott, Justin:</t>
        </r>
        <r>
          <rPr>
            <sz val="9"/>
            <color indexed="81"/>
            <rFont val="Tahoma"/>
            <family val="2"/>
          </rPr>
          <t xml:space="preserve">
This value comes from the EBIT line on the Income Statement.</t>
        </r>
      </text>
    </comment>
    <comment ref="B508" authorId="1" shapeId="0" xr:uid="{F14C8A07-CAAA-435D-81B9-582BD78001B3}">
      <text>
        <r>
          <rPr>
            <b/>
            <sz val="9"/>
            <color indexed="81"/>
            <rFont val="Tahoma"/>
            <family val="2"/>
          </rPr>
          <t>Scott, Justin:</t>
        </r>
        <r>
          <rPr>
            <sz val="9"/>
            <color indexed="81"/>
            <rFont val="Tahoma"/>
            <family val="2"/>
          </rPr>
          <t xml:space="preserve">
This value comes from the Total Direct Labor line on the Income Statement.</t>
        </r>
      </text>
    </comment>
    <comment ref="B509" authorId="1" shapeId="0" xr:uid="{C884D094-DD6F-49CD-A6FC-75046D8EAF83}">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10" authorId="1" shapeId="0" xr:uid="{8E6AD9FB-A970-4E42-AA0F-04EFCBC4F8AA}">
      <text>
        <r>
          <rPr>
            <b/>
            <sz val="9"/>
            <color indexed="81"/>
            <rFont val="Tahoma"/>
            <family val="2"/>
          </rPr>
          <t>Scott, Justin:</t>
        </r>
        <r>
          <rPr>
            <sz val="9"/>
            <color indexed="81"/>
            <rFont val="Tahoma"/>
            <family val="2"/>
          </rPr>
          <t xml:space="preserve">
This value comes from the EBIT line on the Income Statement.</t>
        </r>
      </text>
    </comment>
    <comment ref="B512" authorId="1" shapeId="0" xr:uid="{0011EF91-CEB1-4409-A211-27E4C7B3D7E9}">
      <text>
        <r>
          <rPr>
            <b/>
            <sz val="9"/>
            <color indexed="81"/>
            <rFont val="Tahoma"/>
            <family val="2"/>
          </rPr>
          <t>Scott, Justin:</t>
        </r>
        <r>
          <rPr>
            <sz val="9"/>
            <color indexed="81"/>
            <rFont val="Tahoma"/>
            <family val="2"/>
          </rPr>
          <t xml:space="preserve">
This value comes from the Total Direct Labor line on the Income Statement.</t>
        </r>
      </text>
    </comment>
    <comment ref="B513" authorId="1" shapeId="0" xr:uid="{08A26CDA-E4A6-433B-9583-44624917E23B}">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14" authorId="1" shapeId="0" xr:uid="{4EF9078D-A913-43C4-8E44-9259D38F4D3C}">
      <text>
        <r>
          <rPr>
            <b/>
            <sz val="9"/>
            <color indexed="81"/>
            <rFont val="Tahoma"/>
            <family val="2"/>
          </rPr>
          <t>Scott, Justin:</t>
        </r>
        <r>
          <rPr>
            <sz val="9"/>
            <color indexed="81"/>
            <rFont val="Tahoma"/>
            <family val="2"/>
          </rPr>
          <t xml:space="preserve">
This value comes from the EBIT line on the Income Statement.</t>
        </r>
      </text>
    </comment>
    <comment ref="B516" authorId="1" shapeId="0" xr:uid="{E580E420-CC1D-419A-8A2F-8966E0F34810}">
      <text>
        <r>
          <rPr>
            <b/>
            <sz val="9"/>
            <color indexed="81"/>
            <rFont val="Tahoma"/>
            <family val="2"/>
          </rPr>
          <t>Scott, Justin:</t>
        </r>
        <r>
          <rPr>
            <sz val="9"/>
            <color indexed="81"/>
            <rFont val="Tahoma"/>
            <family val="2"/>
          </rPr>
          <t xml:space="preserve">
This value comes from the Total Direct Labor line on the Income Statement.</t>
        </r>
      </text>
    </comment>
    <comment ref="B517" authorId="1" shapeId="0" xr:uid="{AF4FA91D-82F5-457C-BA9C-24E466984CD1}">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18" authorId="1" shapeId="0" xr:uid="{FEF812EB-7E05-4865-999F-E1C7B5C949B2}">
      <text>
        <r>
          <rPr>
            <b/>
            <sz val="9"/>
            <color indexed="81"/>
            <rFont val="Tahoma"/>
            <family val="2"/>
          </rPr>
          <t>Scott, Justin:</t>
        </r>
        <r>
          <rPr>
            <sz val="9"/>
            <color indexed="81"/>
            <rFont val="Tahoma"/>
            <family val="2"/>
          </rPr>
          <t xml:space="preserve">
This value comes from the EBIT line on the Income Statement.</t>
        </r>
      </text>
    </comment>
    <comment ref="B521" authorId="1" shapeId="0" xr:uid="{5B87E70A-E3D2-468D-A3BB-2653059D7FAE}">
      <text>
        <r>
          <rPr>
            <b/>
            <sz val="9"/>
            <color indexed="81"/>
            <rFont val="Tahoma"/>
            <family val="2"/>
          </rPr>
          <t>Scott, Justin:</t>
        </r>
        <r>
          <rPr>
            <sz val="9"/>
            <color indexed="81"/>
            <rFont val="Tahoma"/>
            <family val="2"/>
          </rPr>
          <t xml:space="preserve">
This value comes from the Total Direct Labor line on the Income Statement.</t>
        </r>
      </text>
    </comment>
    <comment ref="B522" authorId="1" shapeId="0" xr:uid="{B2BD02C0-BC1C-4DFA-8AEA-2B3789B96428}">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23" authorId="1" shapeId="0" xr:uid="{C1D27B46-751D-4F64-A52D-023B8CF99E56}">
      <text>
        <r>
          <rPr>
            <b/>
            <sz val="9"/>
            <color indexed="81"/>
            <rFont val="Tahoma"/>
            <family val="2"/>
          </rPr>
          <t>Scott, Justin:</t>
        </r>
        <r>
          <rPr>
            <sz val="9"/>
            <color indexed="81"/>
            <rFont val="Tahoma"/>
            <family val="2"/>
          </rPr>
          <t xml:space="preserve">
This value comes from the EBIT line on the Income Statement.</t>
        </r>
      </text>
    </comment>
    <comment ref="B525" authorId="1" shapeId="0" xr:uid="{6FF9B1BD-887F-4DD4-8C90-1E2B73026D04}">
      <text>
        <r>
          <rPr>
            <b/>
            <sz val="9"/>
            <color indexed="81"/>
            <rFont val="Tahoma"/>
            <family val="2"/>
          </rPr>
          <t>Scott, Justin:</t>
        </r>
        <r>
          <rPr>
            <sz val="9"/>
            <color indexed="81"/>
            <rFont val="Tahoma"/>
            <family val="2"/>
          </rPr>
          <t xml:space="preserve">
This value comes from the Total Direct Labor line on the Income Statement.</t>
        </r>
      </text>
    </comment>
    <comment ref="B526" authorId="1" shapeId="0" xr:uid="{E891AA72-FF92-458C-800A-FE50E81DCD64}">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27" authorId="1" shapeId="0" xr:uid="{CE30655A-B2DD-468F-ADBD-1BAA256E5FDB}">
      <text>
        <r>
          <rPr>
            <b/>
            <sz val="9"/>
            <color indexed="81"/>
            <rFont val="Tahoma"/>
            <family val="2"/>
          </rPr>
          <t>Scott, Justin:</t>
        </r>
        <r>
          <rPr>
            <sz val="9"/>
            <color indexed="81"/>
            <rFont val="Tahoma"/>
            <family val="2"/>
          </rPr>
          <t xml:space="preserve">
This value comes from the EBIT line on the Income Statement.</t>
        </r>
      </text>
    </comment>
    <comment ref="B529" authorId="1" shapeId="0" xr:uid="{7359F8A3-13CA-4084-8C6C-F10E66679B86}">
      <text>
        <r>
          <rPr>
            <b/>
            <sz val="9"/>
            <color indexed="81"/>
            <rFont val="Tahoma"/>
            <family val="2"/>
          </rPr>
          <t>Scott, Justin:</t>
        </r>
        <r>
          <rPr>
            <sz val="9"/>
            <color indexed="81"/>
            <rFont val="Tahoma"/>
            <family val="2"/>
          </rPr>
          <t xml:space="preserve">
This value comes from the Total Direct Labor line on the Income Statement.</t>
        </r>
      </text>
    </comment>
    <comment ref="B530" authorId="1" shapeId="0" xr:uid="{52F1ADF6-ACAC-42E1-B585-ABC046F49514}">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31" authorId="1" shapeId="0" xr:uid="{B740AEBA-7E6C-42CB-8582-667CA159330F}">
      <text>
        <r>
          <rPr>
            <b/>
            <sz val="9"/>
            <color indexed="81"/>
            <rFont val="Tahoma"/>
            <family val="2"/>
          </rPr>
          <t>Scott, Justin:</t>
        </r>
        <r>
          <rPr>
            <sz val="9"/>
            <color indexed="81"/>
            <rFont val="Tahoma"/>
            <family val="2"/>
          </rPr>
          <t xml:space="preserve">
This value comes from the EBIT line on the Income Statement.</t>
        </r>
      </text>
    </comment>
    <comment ref="B539" authorId="1" shapeId="0" xr:uid="{C30C09B5-B765-45BD-91F1-88135BB141FC}">
      <text>
        <r>
          <rPr>
            <b/>
            <sz val="9"/>
            <color indexed="81"/>
            <rFont val="Tahoma"/>
            <family val="2"/>
          </rPr>
          <t>Scott, Justin:</t>
        </r>
        <r>
          <rPr>
            <sz val="9"/>
            <color indexed="81"/>
            <rFont val="Tahoma"/>
            <family val="2"/>
          </rPr>
          <t xml:space="preserve">
This value comes from the Total Direct Labor line on the Income Statement.</t>
        </r>
      </text>
    </comment>
    <comment ref="B540" authorId="1" shapeId="0" xr:uid="{16021701-D975-4F1F-AA01-E920DA341152}">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41" authorId="1" shapeId="0" xr:uid="{68C39933-FCCE-4926-A09A-D63CB8BB90FB}">
      <text>
        <r>
          <rPr>
            <b/>
            <sz val="9"/>
            <color indexed="81"/>
            <rFont val="Tahoma"/>
            <family val="2"/>
          </rPr>
          <t>Scott, Justin:</t>
        </r>
        <r>
          <rPr>
            <sz val="9"/>
            <color indexed="81"/>
            <rFont val="Tahoma"/>
            <family val="2"/>
          </rPr>
          <t xml:space="preserve">
This value comes from the EBIT line on the Income Statement.</t>
        </r>
      </text>
    </comment>
    <comment ref="B543" authorId="1" shapeId="0" xr:uid="{2EA77DD6-4F8E-4C0F-897B-69AAA1AFC720}">
      <text>
        <r>
          <rPr>
            <b/>
            <sz val="9"/>
            <color indexed="81"/>
            <rFont val="Tahoma"/>
            <family val="2"/>
          </rPr>
          <t>Scott, Justin:</t>
        </r>
        <r>
          <rPr>
            <sz val="9"/>
            <color indexed="81"/>
            <rFont val="Tahoma"/>
            <family val="2"/>
          </rPr>
          <t xml:space="preserve">
This value comes from the Total Direct Labor line on the Income Statement.</t>
        </r>
      </text>
    </comment>
    <comment ref="B544" authorId="1" shapeId="0" xr:uid="{CC79015E-79DF-45EF-8750-3F299AC46AFC}">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45" authorId="1" shapeId="0" xr:uid="{920C5CF0-7B7C-4079-8B2B-BB2572A11E6C}">
      <text>
        <r>
          <rPr>
            <b/>
            <sz val="9"/>
            <color indexed="81"/>
            <rFont val="Tahoma"/>
            <family val="2"/>
          </rPr>
          <t>Scott, Justin:</t>
        </r>
        <r>
          <rPr>
            <sz val="9"/>
            <color indexed="81"/>
            <rFont val="Tahoma"/>
            <family val="2"/>
          </rPr>
          <t xml:space="preserve">
This value comes from the EBIT line on the Income Statement.</t>
        </r>
      </text>
    </comment>
    <comment ref="B547" authorId="1" shapeId="0" xr:uid="{17D16C4C-DF17-4596-BD07-06C031B41C7A}">
      <text>
        <r>
          <rPr>
            <b/>
            <sz val="9"/>
            <color indexed="81"/>
            <rFont val="Tahoma"/>
            <family val="2"/>
          </rPr>
          <t>Scott, Justin:</t>
        </r>
        <r>
          <rPr>
            <sz val="9"/>
            <color indexed="81"/>
            <rFont val="Tahoma"/>
            <family val="2"/>
          </rPr>
          <t xml:space="preserve">
This value comes from the Total Direct Labor line on the Income Statement.</t>
        </r>
      </text>
    </comment>
    <comment ref="B548" authorId="1" shapeId="0" xr:uid="{BE7D5582-902D-4C9B-8785-8B4470E8E247}">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49" authorId="1" shapeId="0" xr:uid="{8D77D618-DD71-43D9-8547-5E870952FC84}">
      <text>
        <r>
          <rPr>
            <b/>
            <sz val="9"/>
            <color indexed="81"/>
            <rFont val="Tahoma"/>
            <family val="2"/>
          </rPr>
          <t>Scott, Justin:</t>
        </r>
        <r>
          <rPr>
            <sz val="9"/>
            <color indexed="81"/>
            <rFont val="Tahoma"/>
            <family val="2"/>
          </rPr>
          <t xml:space="preserve">
This value comes from the EBIT line on the Income Statement.</t>
        </r>
      </text>
    </comment>
    <comment ref="B552" authorId="1" shapeId="0" xr:uid="{A7A54998-15CC-41C9-B69C-27EF636EB69C}">
      <text>
        <r>
          <rPr>
            <b/>
            <sz val="9"/>
            <color indexed="81"/>
            <rFont val="Tahoma"/>
            <family val="2"/>
          </rPr>
          <t>Scott, Justin:</t>
        </r>
        <r>
          <rPr>
            <sz val="9"/>
            <color indexed="81"/>
            <rFont val="Tahoma"/>
            <family val="2"/>
          </rPr>
          <t xml:space="preserve">
This value comes from the Total Direct Labor line on the Income Statement.</t>
        </r>
      </text>
    </comment>
    <comment ref="B553" authorId="1" shapeId="0" xr:uid="{743CD36D-27A9-47D5-8C84-40DCAB2D57A6}">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54" authorId="1" shapeId="0" xr:uid="{2213776D-93E8-41D7-B51E-18DBA0ECED13}">
      <text>
        <r>
          <rPr>
            <b/>
            <sz val="9"/>
            <color indexed="81"/>
            <rFont val="Tahoma"/>
            <family val="2"/>
          </rPr>
          <t>Scott, Justin:</t>
        </r>
        <r>
          <rPr>
            <sz val="9"/>
            <color indexed="81"/>
            <rFont val="Tahoma"/>
            <family val="2"/>
          </rPr>
          <t xml:space="preserve">
This value comes from the EBIT line on the Income Statement.</t>
        </r>
      </text>
    </comment>
    <comment ref="B556" authorId="1" shapeId="0" xr:uid="{C3598A73-05F5-4570-84D8-8BEF078DA2FD}">
      <text>
        <r>
          <rPr>
            <b/>
            <sz val="9"/>
            <color indexed="81"/>
            <rFont val="Tahoma"/>
            <family val="2"/>
          </rPr>
          <t>Scott, Justin:</t>
        </r>
        <r>
          <rPr>
            <sz val="9"/>
            <color indexed="81"/>
            <rFont val="Tahoma"/>
            <family val="2"/>
          </rPr>
          <t xml:space="preserve">
This value comes from the Total Direct Labor line on the Income Statement.</t>
        </r>
      </text>
    </comment>
    <comment ref="B557" authorId="1" shapeId="0" xr:uid="{BF48EC8F-AF1D-48F0-9459-29777F7F9DAF}">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58" authorId="1" shapeId="0" xr:uid="{67270BC9-44BB-4914-8117-6A2A9D28D7CC}">
      <text>
        <r>
          <rPr>
            <b/>
            <sz val="9"/>
            <color indexed="81"/>
            <rFont val="Tahoma"/>
            <family val="2"/>
          </rPr>
          <t>Scott, Justin:</t>
        </r>
        <r>
          <rPr>
            <sz val="9"/>
            <color indexed="81"/>
            <rFont val="Tahoma"/>
            <family val="2"/>
          </rPr>
          <t xml:space="preserve">
This value comes from the EBIT line on the Income Statement.</t>
        </r>
      </text>
    </comment>
    <comment ref="B560" authorId="1" shapeId="0" xr:uid="{C0402A4F-6657-4B7C-8B7B-3D45C5876248}">
      <text>
        <r>
          <rPr>
            <b/>
            <sz val="9"/>
            <color indexed="81"/>
            <rFont val="Tahoma"/>
            <family val="2"/>
          </rPr>
          <t>Scott, Justin:</t>
        </r>
        <r>
          <rPr>
            <sz val="9"/>
            <color indexed="81"/>
            <rFont val="Tahoma"/>
            <family val="2"/>
          </rPr>
          <t xml:space="preserve">
This value comes from the Total Direct Labor line on the Income Statement.</t>
        </r>
      </text>
    </comment>
    <comment ref="B561" authorId="1" shapeId="0" xr:uid="{FD5E0E05-AC51-4010-A72F-056445F5557B}">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62" authorId="1" shapeId="0" xr:uid="{2050537A-C4E7-481E-9485-FBFB2AEFC616}">
      <text>
        <r>
          <rPr>
            <b/>
            <sz val="9"/>
            <color indexed="81"/>
            <rFont val="Tahoma"/>
            <family val="2"/>
          </rPr>
          <t>Scott, Justin:</t>
        </r>
        <r>
          <rPr>
            <sz val="9"/>
            <color indexed="81"/>
            <rFont val="Tahoma"/>
            <family val="2"/>
          </rPr>
          <t xml:space="preserve">
This value comes from the EBIT line on the Income Statement.</t>
        </r>
      </text>
    </comment>
    <comment ref="B570" authorId="1" shapeId="0" xr:uid="{B69E0537-43FC-4986-953C-0C16248D007B}">
      <text>
        <r>
          <rPr>
            <b/>
            <sz val="9"/>
            <color indexed="81"/>
            <rFont val="Tahoma"/>
            <family val="2"/>
          </rPr>
          <t>Scott, Justin:</t>
        </r>
        <r>
          <rPr>
            <sz val="9"/>
            <color indexed="81"/>
            <rFont val="Tahoma"/>
            <family val="2"/>
          </rPr>
          <t xml:space="preserve">
This value comes from the Total Direct Labor line on the Income Statement.</t>
        </r>
      </text>
    </comment>
    <comment ref="B571" authorId="1" shapeId="0" xr:uid="{DEFC6B20-50FC-4CB2-9CCE-23632BA68825}">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72" authorId="1" shapeId="0" xr:uid="{C05650E4-0421-46AC-A721-B1FA8CCAA373}">
      <text>
        <r>
          <rPr>
            <b/>
            <sz val="9"/>
            <color indexed="81"/>
            <rFont val="Tahoma"/>
            <family val="2"/>
          </rPr>
          <t>Scott, Justin:</t>
        </r>
        <r>
          <rPr>
            <sz val="9"/>
            <color indexed="81"/>
            <rFont val="Tahoma"/>
            <family val="2"/>
          </rPr>
          <t xml:space="preserve">
This value comes from the EBIT line on the Income Statement.</t>
        </r>
      </text>
    </comment>
    <comment ref="B574" authorId="1" shapeId="0" xr:uid="{183E7FEB-AA80-4457-8E8E-491C266842E9}">
      <text>
        <r>
          <rPr>
            <b/>
            <sz val="9"/>
            <color indexed="81"/>
            <rFont val="Tahoma"/>
            <family val="2"/>
          </rPr>
          <t>Scott, Justin:</t>
        </r>
        <r>
          <rPr>
            <sz val="9"/>
            <color indexed="81"/>
            <rFont val="Tahoma"/>
            <family val="2"/>
          </rPr>
          <t xml:space="preserve">
This value comes from the Total Direct Labor line on the Income Statement.</t>
        </r>
      </text>
    </comment>
    <comment ref="B575" authorId="1" shapeId="0" xr:uid="{AF75B56A-5850-4F06-9432-4D8456DF7AE3}">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76" authorId="1" shapeId="0" xr:uid="{E6F64C91-97C2-4A5C-A219-63551290D3E1}">
      <text>
        <r>
          <rPr>
            <b/>
            <sz val="9"/>
            <color indexed="81"/>
            <rFont val="Tahoma"/>
            <family val="2"/>
          </rPr>
          <t>Scott, Justin:</t>
        </r>
        <r>
          <rPr>
            <sz val="9"/>
            <color indexed="81"/>
            <rFont val="Tahoma"/>
            <family val="2"/>
          </rPr>
          <t xml:space="preserve">
This value comes from the EBIT line on the Income Statement.</t>
        </r>
      </text>
    </comment>
    <comment ref="B578" authorId="1" shapeId="0" xr:uid="{86C9D6F1-A71D-4A22-B9C2-AA01D2D220D9}">
      <text>
        <r>
          <rPr>
            <b/>
            <sz val="9"/>
            <color indexed="81"/>
            <rFont val="Tahoma"/>
            <family val="2"/>
          </rPr>
          <t>Scott, Justin:</t>
        </r>
        <r>
          <rPr>
            <sz val="9"/>
            <color indexed="81"/>
            <rFont val="Tahoma"/>
            <family val="2"/>
          </rPr>
          <t xml:space="preserve">
This value comes from the Total Direct Labor line on the Income Statement.</t>
        </r>
      </text>
    </comment>
    <comment ref="B579" authorId="1" shapeId="0" xr:uid="{DACDFF60-954A-4EA9-8887-55A4800AED73}">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80" authorId="1" shapeId="0" xr:uid="{209BF8DE-54F0-4124-91E5-91CFDCECA4AF}">
      <text>
        <r>
          <rPr>
            <b/>
            <sz val="9"/>
            <color indexed="81"/>
            <rFont val="Tahoma"/>
            <family val="2"/>
          </rPr>
          <t>Scott, Justin:</t>
        </r>
        <r>
          <rPr>
            <sz val="9"/>
            <color indexed="81"/>
            <rFont val="Tahoma"/>
            <family val="2"/>
          </rPr>
          <t xml:space="preserve">
This value comes from the EBIT line on the Income Statement.</t>
        </r>
      </text>
    </comment>
    <comment ref="B583" authorId="1" shapeId="0" xr:uid="{F416D22A-6CE5-4180-B570-7E7482E21720}">
      <text>
        <r>
          <rPr>
            <b/>
            <sz val="9"/>
            <color indexed="81"/>
            <rFont val="Tahoma"/>
            <family val="2"/>
          </rPr>
          <t>Scott, Justin:</t>
        </r>
        <r>
          <rPr>
            <sz val="9"/>
            <color indexed="81"/>
            <rFont val="Tahoma"/>
            <family val="2"/>
          </rPr>
          <t xml:space="preserve">
This value comes from the Total Direct Labor line on the Income Statement.</t>
        </r>
      </text>
    </comment>
    <comment ref="B584" authorId="1" shapeId="0" xr:uid="{AF0CCC9B-5D1E-492F-8489-1F145893B204}">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85" authorId="1" shapeId="0" xr:uid="{BE2A25B1-CAC9-486D-AC72-24DA5FE1022B}">
      <text>
        <r>
          <rPr>
            <b/>
            <sz val="9"/>
            <color indexed="81"/>
            <rFont val="Tahoma"/>
            <family val="2"/>
          </rPr>
          <t>Scott, Justin:</t>
        </r>
        <r>
          <rPr>
            <sz val="9"/>
            <color indexed="81"/>
            <rFont val="Tahoma"/>
            <family val="2"/>
          </rPr>
          <t xml:space="preserve">
This value comes from the EBIT line on the Income Statement.</t>
        </r>
      </text>
    </comment>
    <comment ref="B587" authorId="1" shapeId="0" xr:uid="{006D47ED-A060-423F-B7D1-34540E903C0B}">
      <text>
        <r>
          <rPr>
            <b/>
            <sz val="9"/>
            <color indexed="81"/>
            <rFont val="Tahoma"/>
            <family val="2"/>
          </rPr>
          <t>Scott, Justin:</t>
        </r>
        <r>
          <rPr>
            <sz val="9"/>
            <color indexed="81"/>
            <rFont val="Tahoma"/>
            <family val="2"/>
          </rPr>
          <t xml:space="preserve">
This value comes from the Total Direct Labor line on the Income Statement.</t>
        </r>
      </text>
    </comment>
    <comment ref="B588" authorId="1" shapeId="0" xr:uid="{EDB79FDE-6A50-4200-A73A-26F7C4E6CE6C}">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89" authorId="1" shapeId="0" xr:uid="{27FEF19F-9920-4A11-B837-7F1067CA4354}">
      <text>
        <r>
          <rPr>
            <b/>
            <sz val="9"/>
            <color indexed="81"/>
            <rFont val="Tahoma"/>
            <family val="2"/>
          </rPr>
          <t>Scott, Justin:</t>
        </r>
        <r>
          <rPr>
            <sz val="9"/>
            <color indexed="81"/>
            <rFont val="Tahoma"/>
            <family val="2"/>
          </rPr>
          <t xml:space="preserve">
This value comes from the EBIT line on the Income Statement.</t>
        </r>
      </text>
    </comment>
    <comment ref="B591" authorId="1" shapeId="0" xr:uid="{219CFF09-D932-4336-B538-A821E982CBD0}">
      <text>
        <r>
          <rPr>
            <b/>
            <sz val="9"/>
            <color indexed="81"/>
            <rFont val="Tahoma"/>
            <family val="2"/>
          </rPr>
          <t>Scott, Justin:</t>
        </r>
        <r>
          <rPr>
            <sz val="9"/>
            <color indexed="81"/>
            <rFont val="Tahoma"/>
            <family val="2"/>
          </rPr>
          <t xml:space="preserve">
This value comes from the Total Direct Labor line on the Income Statement.</t>
        </r>
      </text>
    </comment>
    <comment ref="B592" authorId="1" shapeId="0" xr:uid="{68E95322-C4CC-4C44-A508-724CA417CF36}">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93" authorId="1" shapeId="0" xr:uid="{E6785C10-360C-4480-89E7-E0A20A43EDCD}">
      <text>
        <r>
          <rPr>
            <b/>
            <sz val="9"/>
            <color indexed="81"/>
            <rFont val="Tahoma"/>
            <family val="2"/>
          </rPr>
          <t>Scott, Justin:</t>
        </r>
        <r>
          <rPr>
            <sz val="9"/>
            <color indexed="81"/>
            <rFont val="Tahoma"/>
            <family val="2"/>
          </rPr>
          <t xml:space="preserve">
This value comes from the EBIT line on the Income Statement.</t>
        </r>
      </text>
    </comment>
    <comment ref="B601" authorId="1" shapeId="0" xr:uid="{22C1C1AC-EBA7-4BFB-8B8F-3F10D80B8FD2}">
      <text>
        <r>
          <rPr>
            <b/>
            <sz val="9"/>
            <color indexed="81"/>
            <rFont val="Tahoma"/>
            <family val="2"/>
          </rPr>
          <t>Scott, Justin:</t>
        </r>
        <r>
          <rPr>
            <sz val="9"/>
            <color indexed="81"/>
            <rFont val="Tahoma"/>
            <family val="2"/>
          </rPr>
          <t xml:space="preserve">
This value comes from the Total Direct Labor line on the Income Statement.</t>
        </r>
      </text>
    </comment>
    <comment ref="B602" authorId="1" shapeId="0" xr:uid="{1B7E055B-E108-42B7-8B09-9366FB98F228}">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03" authorId="1" shapeId="0" xr:uid="{F12B531D-5A7C-4DC0-9EFE-6550CB61ADFA}">
      <text>
        <r>
          <rPr>
            <b/>
            <sz val="9"/>
            <color indexed="81"/>
            <rFont val="Tahoma"/>
            <family val="2"/>
          </rPr>
          <t>Scott, Justin:</t>
        </r>
        <r>
          <rPr>
            <sz val="9"/>
            <color indexed="81"/>
            <rFont val="Tahoma"/>
            <family val="2"/>
          </rPr>
          <t xml:space="preserve">
This value comes from the EBIT line on the Income Statement.</t>
        </r>
      </text>
    </comment>
    <comment ref="B605" authorId="1" shapeId="0" xr:uid="{297AE200-7481-4AE1-B820-B7B8DB1F7F56}">
      <text>
        <r>
          <rPr>
            <b/>
            <sz val="9"/>
            <color indexed="81"/>
            <rFont val="Tahoma"/>
            <family val="2"/>
          </rPr>
          <t>Scott, Justin:</t>
        </r>
        <r>
          <rPr>
            <sz val="9"/>
            <color indexed="81"/>
            <rFont val="Tahoma"/>
            <family val="2"/>
          </rPr>
          <t xml:space="preserve">
This value comes from the Total Direct Labor line on the Income Statement.</t>
        </r>
      </text>
    </comment>
    <comment ref="B606" authorId="1" shapeId="0" xr:uid="{E9C88E29-E2BE-4A29-83E6-447520BEBED6}">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07" authorId="1" shapeId="0" xr:uid="{C7BF2C0D-29E2-416D-93B0-667296E65D55}">
      <text>
        <r>
          <rPr>
            <b/>
            <sz val="9"/>
            <color indexed="81"/>
            <rFont val="Tahoma"/>
            <family val="2"/>
          </rPr>
          <t>Scott, Justin:</t>
        </r>
        <r>
          <rPr>
            <sz val="9"/>
            <color indexed="81"/>
            <rFont val="Tahoma"/>
            <family val="2"/>
          </rPr>
          <t xml:space="preserve">
This value comes from the EBIT line on the Income Statement.</t>
        </r>
      </text>
    </comment>
    <comment ref="B609" authorId="1" shapeId="0" xr:uid="{E0B6371C-91D2-4452-AA90-EACD27D6C4EB}">
      <text>
        <r>
          <rPr>
            <b/>
            <sz val="9"/>
            <color indexed="81"/>
            <rFont val="Tahoma"/>
            <family val="2"/>
          </rPr>
          <t>Scott, Justin:</t>
        </r>
        <r>
          <rPr>
            <sz val="9"/>
            <color indexed="81"/>
            <rFont val="Tahoma"/>
            <family val="2"/>
          </rPr>
          <t xml:space="preserve">
This value comes from the Total Direct Labor line on the Income Statement.</t>
        </r>
      </text>
    </comment>
    <comment ref="B610" authorId="1" shapeId="0" xr:uid="{5090362B-B35A-4F8A-B2A8-4C9B14073C02}">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11" authorId="1" shapeId="0" xr:uid="{569F9BC5-AD04-4F86-B16B-19C75CEAA287}">
      <text>
        <r>
          <rPr>
            <b/>
            <sz val="9"/>
            <color indexed="81"/>
            <rFont val="Tahoma"/>
            <family val="2"/>
          </rPr>
          <t>Scott, Justin:</t>
        </r>
        <r>
          <rPr>
            <sz val="9"/>
            <color indexed="81"/>
            <rFont val="Tahoma"/>
            <family val="2"/>
          </rPr>
          <t xml:space="preserve">
This value comes from the EBIT line on the Income Statement.</t>
        </r>
      </text>
    </comment>
    <comment ref="B614" authorId="1" shapeId="0" xr:uid="{DA9251AB-C296-45C3-B35E-5C4D2509C457}">
      <text>
        <r>
          <rPr>
            <b/>
            <sz val="9"/>
            <color indexed="81"/>
            <rFont val="Tahoma"/>
            <family val="2"/>
          </rPr>
          <t>Scott, Justin:</t>
        </r>
        <r>
          <rPr>
            <sz val="9"/>
            <color indexed="81"/>
            <rFont val="Tahoma"/>
            <family val="2"/>
          </rPr>
          <t xml:space="preserve">
This value comes from the Total Direct Labor line on the Income Statement.</t>
        </r>
      </text>
    </comment>
    <comment ref="B615" authorId="1" shapeId="0" xr:uid="{204A7EF7-A85B-4149-8CDD-2EA85442A444}">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16" authorId="1" shapeId="0" xr:uid="{494FEF07-8B6F-419E-B231-10CB39771753}">
      <text>
        <r>
          <rPr>
            <b/>
            <sz val="9"/>
            <color indexed="81"/>
            <rFont val="Tahoma"/>
            <family val="2"/>
          </rPr>
          <t>Scott, Justin:</t>
        </r>
        <r>
          <rPr>
            <sz val="9"/>
            <color indexed="81"/>
            <rFont val="Tahoma"/>
            <family val="2"/>
          </rPr>
          <t xml:space="preserve">
This value comes from the EBIT line on the Income Statement.</t>
        </r>
      </text>
    </comment>
    <comment ref="B618" authorId="1" shapeId="0" xr:uid="{C4F03242-488B-46ED-B6FE-E438E8CF01A0}">
      <text>
        <r>
          <rPr>
            <b/>
            <sz val="9"/>
            <color indexed="81"/>
            <rFont val="Tahoma"/>
            <family val="2"/>
          </rPr>
          <t>Scott, Justin:</t>
        </r>
        <r>
          <rPr>
            <sz val="9"/>
            <color indexed="81"/>
            <rFont val="Tahoma"/>
            <family val="2"/>
          </rPr>
          <t xml:space="preserve">
This value comes from the Total Direct Labor line on the Income Statement.</t>
        </r>
      </text>
    </comment>
    <comment ref="B619" authorId="1" shapeId="0" xr:uid="{26E60F71-797A-4012-BCF6-D52AA8175AA1}">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20" authorId="1" shapeId="0" xr:uid="{50E14371-F4E1-4B36-A635-54F17EFC4385}">
      <text>
        <r>
          <rPr>
            <b/>
            <sz val="9"/>
            <color indexed="81"/>
            <rFont val="Tahoma"/>
            <family val="2"/>
          </rPr>
          <t>Scott, Justin:</t>
        </r>
        <r>
          <rPr>
            <sz val="9"/>
            <color indexed="81"/>
            <rFont val="Tahoma"/>
            <family val="2"/>
          </rPr>
          <t xml:space="preserve">
This value comes from the EBIT line on the Income Statement.</t>
        </r>
      </text>
    </comment>
    <comment ref="B622" authorId="1" shapeId="0" xr:uid="{D5301992-722A-4F63-A683-68F6D1A8FF34}">
      <text>
        <r>
          <rPr>
            <b/>
            <sz val="9"/>
            <color indexed="81"/>
            <rFont val="Tahoma"/>
            <family val="2"/>
          </rPr>
          <t>Scott, Justin:</t>
        </r>
        <r>
          <rPr>
            <sz val="9"/>
            <color indexed="81"/>
            <rFont val="Tahoma"/>
            <family val="2"/>
          </rPr>
          <t xml:space="preserve">
This value comes from the Total Direct Labor line on the Income Statement.</t>
        </r>
      </text>
    </comment>
    <comment ref="B623" authorId="1" shapeId="0" xr:uid="{484294BF-32E8-4EB6-B065-6681DA3CAE2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24" authorId="1" shapeId="0" xr:uid="{F5D38FE6-5783-4828-8B44-FD9FF2B9FF2B}">
      <text>
        <r>
          <rPr>
            <b/>
            <sz val="9"/>
            <color indexed="81"/>
            <rFont val="Tahoma"/>
            <family val="2"/>
          </rPr>
          <t>Scott, Justin:</t>
        </r>
        <r>
          <rPr>
            <sz val="9"/>
            <color indexed="81"/>
            <rFont val="Tahoma"/>
            <family val="2"/>
          </rPr>
          <t xml:space="preserve">
This value comes from the EBIT line on the Income Statement.</t>
        </r>
      </text>
    </comment>
    <comment ref="B629" authorId="1" shapeId="0" xr:uid="{23C4E0C2-0B2E-4FD9-AA02-26A45042CE91}">
      <text>
        <r>
          <rPr>
            <b/>
            <sz val="9"/>
            <color indexed="81"/>
            <rFont val="Tahoma"/>
            <family val="2"/>
          </rPr>
          <t>Scott, Justin:</t>
        </r>
        <r>
          <rPr>
            <sz val="9"/>
            <color indexed="81"/>
            <rFont val="Tahoma"/>
            <family val="2"/>
          </rPr>
          <t xml:space="preserve">
This value comes from the Total Direct Labor line on the Income Statement.</t>
        </r>
      </text>
    </comment>
    <comment ref="B630" authorId="1" shapeId="0" xr:uid="{3CECD019-208B-4610-BCDE-81AD218CF2B8}">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31" authorId="1" shapeId="0" xr:uid="{C70FDECE-667C-4C3A-8875-43F35A8DB634}">
      <text>
        <r>
          <rPr>
            <b/>
            <sz val="9"/>
            <color indexed="81"/>
            <rFont val="Tahoma"/>
            <family val="2"/>
          </rPr>
          <t>Scott, Justin:</t>
        </r>
        <r>
          <rPr>
            <sz val="9"/>
            <color indexed="81"/>
            <rFont val="Tahoma"/>
            <family val="2"/>
          </rPr>
          <t xml:space="preserve">
This value comes from the EBIT line on the Income Statement.</t>
        </r>
      </text>
    </comment>
    <comment ref="B633" authorId="1" shapeId="0" xr:uid="{3A9CD65D-FE80-47B7-AFBD-6CC8D4B43C11}">
      <text>
        <r>
          <rPr>
            <b/>
            <sz val="9"/>
            <color indexed="81"/>
            <rFont val="Tahoma"/>
            <family val="2"/>
          </rPr>
          <t>Scott, Justin:</t>
        </r>
        <r>
          <rPr>
            <sz val="9"/>
            <color indexed="81"/>
            <rFont val="Tahoma"/>
            <family val="2"/>
          </rPr>
          <t xml:space="preserve">
This value comes from the Total Direct Labor line on the Income Statement.</t>
        </r>
      </text>
    </comment>
    <comment ref="B634" authorId="1" shapeId="0" xr:uid="{55C95A75-0A0E-4F4F-A08C-960652C0CFE2}">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35" authorId="1" shapeId="0" xr:uid="{62CC7E28-FA84-43FA-AE53-A503DA6728EF}">
      <text>
        <r>
          <rPr>
            <b/>
            <sz val="9"/>
            <color indexed="81"/>
            <rFont val="Tahoma"/>
            <family val="2"/>
          </rPr>
          <t>Scott, Justin:</t>
        </r>
        <r>
          <rPr>
            <sz val="9"/>
            <color indexed="81"/>
            <rFont val="Tahoma"/>
            <family val="2"/>
          </rPr>
          <t xml:space="preserve">
This value comes from the EBIT line on the Income Statement.</t>
        </r>
      </text>
    </comment>
    <comment ref="B637" authorId="1" shapeId="0" xr:uid="{88A3EF86-F4D1-4820-8382-955924C43B10}">
      <text>
        <r>
          <rPr>
            <b/>
            <sz val="9"/>
            <color indexed="81"/>
            <rFont val="Tahoma"/>
            <family val="2"/>
          </rPr>
          <t>Scott, Justin:</t>
        </r>
        <r>
          <rPr>
            <sz val="9"/>
            <color indexed="81"/>
            <rFont val="Tahoma"/>
            <family val="2"/>
          </rPr>
          <t xml:space="preserve">
This value comes from the Total Direct Labor line on the Income Statement.</t>
        </r>
      </text>
    </comment>
    <comment ref="B638" authorId="1" shapeId="0" xr:uid="{635A91E8-E87E-479B-90E2-19C488BDB20D}">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39" authorId="1" shapeId="0" xr:uid="{B1913A7F-76DF-4FCA-82FD-1741A5BAD88B}">
      <text>
        <r>
          <rPr>
            <b/>
            <sz val="9"/>
            <color indexed="81"/>
            <rFont val="Tahoma"/>
            <family val="2"/>
          </rPr>
          <t>Scott, Justin:</t>
        </r>
        <r>
          <rPr>
            <sz val="9"/>
            <color indexed="81"/>
            <rFont val="Tahoma"/>
            <family val="2"/>
          </rPr>
          <t xml:space="preserve">
This value comes from the EBIT line on the Income Statement.</t>
        </r>
      </text>
    </comment>
    <comment ref="B642" authorId="1" shapeId="0" xr:uid="{2F8F2F3C-AEAE-4D89-A182-9C3A3CAAE926}">
      <text>
        <r>
          <rPr>
            <b/>
            <sz val="9"/>
            <color indexed="81"/>
            <rFont val="Tahoma"/>
            <family val="2"/>
          </rPr>
          <t>Scott, Justin:</t>
        </r>
        <r>
          <rPr>
            <sz val="9"/>
            <color indexed="81"/>
            <rFont val="Tahoma"/>
            <family val="2"/>
          </rPr>
          <t xml:space="preserve">
This value comes from the Total Direct Labor line on the Income Statement.</t>
        </r>
      </text>
    </comment>
    <comment ref="B643" authorId="1" shapeId="0" xr:uid="{352B986C-3F40-4A55-A1BD-EF66E1C57935}">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44" authorId="1" shapeId="0" xr:uid="{AAB1C581-50A6-4E28-9535-9E7FADB6F2F8}">
      <text>
        <r>
          <rPr>
            <b/>
            <sz val="9"/>
            <color indexed="81"/>
            <rFont val="Tahoma"/>
            <family val="2"/>
          </rPr>
          <t>Scott, Justin:</t>
        </r>
        <r>
          <rPr>
            <sz val="9"/>
            <color indexed="81"/>
            <rFont val="Tahoma"/>
            <family val="2"/>
          </rPr>
          <t xml:space="preserve">
This value comes from the EBIT line on the Income Statement.</t>
        </r>
      </text>
    </comment>
    <comment ref="B646" authorId="1" shapeId="0" xr:uid="{C5A592BC-0513-4D38-AA13-A4B9F8437757}">
      <text>
        <r>
          <rPr>
            <b/>
            <sz val="9"/>
            <color indexed="81"/>
            <rFont val="Tahoma"/>
            <family val="2"/>
          </rPr>
          <t>Scott, Justin:</t>
        </r>
        <r>
          <rPr>
            <sz val="9"/>
            <color indexed="81"/>
            <rFont val="Tahoma"/>
            <family val="2"/>
          </rPr>
          <t xml:space="preserve">
This value comes from the Total Direct Labor line on the Income Statement.</t>
        </r>
      </text>
    </comment>
    <comment ref="B647" authorId="1" shapeId="0" xr:uid="{B3AB35F7-AC81-41E0-B05F-14654748813F}">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48" authorId="1" shapeId="0" xr:uid="{7C27DD7D-2CED-4015-9EEA-947E1C85C79B}">
      <text>
        <r>
          <rPr>
            <b/>
            <sz val="9"/>
            <color indexed="81"/>
            <rFont val="Tahoma"/>
            <family val="2"/>
          </rPr>
          <t>Scott, Justin:</t>
        </r>
        <r>
          <rPr>
            <sz val="9"/>
            <color indexed="81"/>
            <rFont val="Tahoma"/>
            <family val="2"/>
          </rPr>
          <t xml:space="preserve">
This value comes from the EBIT line on the Income Statement.</t>
        </r>
      </text>
    </comment>
    <comment ref="B650" authorId="1" shapeId="0" xr:uid="{96461C94-6C65-4F46-B19F-2A75BC98D3DA}">
      <text>
        <r>
          <rPr>
            <b/>
            <sz val="9"/>
            <color indexed="81"/>
            <rFont val="Tahoma"/>
            <family val="2"/>
          </rPr>
          <t>Scott, Justin:</t>
        </r>
        <r>
          <rPr>
            <sz val="9"/>
            <color indexed="81"/>
            <rFont val="Tahoma"/>
            <family val="2"/>
          </rPr>
          <t xml:space="preserve">
This value comes from the Total Direct Labor line on the Income Statement.</t>
        </r>
      </text>
    </comment>
    <comment ref="B651" authorId="1" shapeId="0" xr:uid="{2AF782E5-F493-4E7A-8B12-E3C7CD8618E1}">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52" authorId="1" shapeId="0" xr:uid="{A43F3DA7-8901-4C88-9689-01C6DF9B430E}">
      <text>
        <r>
          <rPr>
            <b/>
            <sz val="9"/>
            <color indexed="81"/>
            <rFont val="Tahoma"/>
            <family val="2"/>
          </rPr>
          <t>Scott, Justin:</t>
        </r>
        <r>
          <rPr>
            <sz val="9"/>
            <color indexed="81"/>
            <rFont val="Tahoma"/>
            <family val="2"/>
          </rPr>
          <t xml:space="preserve">
This value comes from the EBIT line on the Income Statement.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Moore, John</author>
  </authors>
  <commentList>
    <comment ref="E16" authorId="0" shapeId="0" xr:uid="{00000000-0006-0000-0700-000001000000}">
      <text>
        <r>
          <rPr>
            <b/>
            <sz val="9"/>
            <color indexed="81"/>
            <rFont val="Tahoma"/>
            <family val="2"/>
          </rPr>
          <t>Moore, John:</t>
        </r>
        <r>
          <rPr>
            <sz val="9"/>
            <color indexed="81"/>
            <rFont val="Tahoma"/>
            <family val="2"/>
          </rPr>
          <t xml:space="preserve">
Comes from S&amp;B
Self-reported number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Moore, John</author>
  </authors>
  <commentList>
    <comment ref="M31" authorId="0" shapeId="0" xr:uid="{00000000-0006-0000-0A00-000001000000}">
      <text>
        <r>
          <rPr>
            <b/>
            <sz val="9"/>
            <color indexed="81"/>
            <rFont val="Tahoma"/>
            <family val="2"/>
          </rPr>
          <t>Moore, John:</t>
        </r>
        <r>
          <rPr>
            <sz val="9"/>
            <color indexed="81"/>
            <rFont val="Tahoma"/>
            <family val="2"/>
          </rPr>
          <t xml:space="preserve">
Sums all the self reported totals from each dept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tc={A18E7F28-D7F0-4DE6-98C6-CE4372EDA437}</author>
    <author>tc={44057AA8-8BA4-4BE5-AB21-D3959678804D}</author>
    <author>tc={D3479E82-B4A2-4778-A320-5FA4ADCCD5AD}</author>
    <author>Scott, Justin</author>
  </authors>
  <commentList>
    <comment ref="BJ7" authorId="0" shapeId="0" xr:uid="{A18E7F28-D7F0-4DE6-98C6-CE4372EDA437}">
      <text>
        <t>[Threaded comment]
Your version of Excel allows you to read this threaded comment; however, any edits to it will get removed if the file is opened in a newer version of Excel. Learn more: https://go.microsoft.com/fwlink/?linkid=870924
Comment:
    Shiren Tahir</t>
      </text>
    </comment>
    <comment ref="BJ8" authorId="1" shapeId="0" xr:uid="{44057AA8-8BA4-4BE5-AB21-D3959678804D}">
      <text>
        <t>[Threaded comment]
Your version of Excel allows you to read this threaded comment; however, any edits to it will get removed if the file is opened in a newer version of Excel. Learn more: https://go.microsoft.com/fwlink/?linkid=870924
Comment:
    Micah Eppinger</t>
      </text>
    </comment>
    <comment ref="BK8" authorId="2" shapeId="0" xr:uid="{D3479E82-B4A2-4778-A320-5FA4ADCCD5AD}">
      <text>
        <t>[Threaded comment]
Your version of Excel allows you to read this threaded comment; however, any edits to it will get removed if the file is opened in a newer version of Excel. Learn more: https://go.microsoft.com/fwlink/?linkid=870924
Comment:
    Leisha Jones &amp; Laura Caprio</t>
      </text>
    </comment>
    <comment ref="BI14" authorId="3" shapeId="0" xr:uid="{00000000-0006-0000-0D00-00000C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Stott, Graham</author>
    <author>Donnelly, Jennifer</author>
    <author>Scott, Justin</author>
  </authors>
  <commentList>
    <comment ref="BJ7" authorId="0" shapeId="0" xr:uid="{BE7D28C5-A059-46C3-A013-DAFCD71C0737}">
      <text>
        <r>
          <rPr>
            <b/>
            <sz val="9"/>
            <color indexed="81"/>
            <rFont val="Tahoma"/>
            <family val="2"/>
          </rPr>
          <t>Stott, Graham:</t>
        </r>
        <r>
          <rPr>
            <sz val="9"/>
            <color indexed="81"/>
            <rFont val="Tahoma"/>
            <family val="2"/>
          </rPr>
          <t xml:space="preserve">
Sara Caffey</t>
        </r>
      </text>
    </comment>
    <comment ref="BK8" authorId="1" shapeId="0" xr:uid="{A621D4E2-B84B-41D9-8AA6-9BD0143E2F78}">
      <text>
        <r>
          <rPr>
            <b/>
            <sz val="9"/>
            <color indexed="81"/>
            <rFont val="Tahoma"/>
            <family val="2"/>
          </rPr>
          <t>Donnelly, Jennifer:</t>
        </r>
        <r>
          <rPr>
            <sz val="9"/>
            <color indexed="81"/>
            <rFont val="Tahoma"/>
            <family val="2"/>
          </rPr>
          <t xml:space="preserve">
Maiana Awad
Jeffery Adams</t>
        </r>
      </text>
    </comment>
    <comment ref="BL8" authorId="1" shapeId="0" xr:uid="{109702DE-D9C4-451A-B950-F90155F468E1}">
      <text>
        <r>
          <rPr>
            <b/>
            <sz val="9"/>
            <color indexed="81"/>
            <rFont val="Tahoma"/>
            <family val="2"/>
          </rPr>
          <t>Donnelly, Jennifer:</t>
        </r>
        <r>
          <rPr>
            <sz val="9"/>
            <color indexed="81"/>
            <rFont val="Tahoma"/>
            <family val="2"/>
          </rPr>
          <t xml:space="preserve">
Tavaris Plymouth</t>
        </r>
      </text>
    </comment>
    <comment ref="BI14" authorId="2" shapeId="0" xr:uid="{00000000-0006-0000-0E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Hardwick, Bailey</author>
    <author>Avivi, Tmara</author>
    <author>Scott, Justin</author>
  </authors>
  <commentList>
    <comment ref="BL8" authorId="0" shapeId="0" xr:uid="{C8749752-A14E-472B-BDBC-272321A7E562}">
      <text>
        <r>
          <rPr>
            <b/>
            <sz val="9"/>
            <color indexed="81"/>
            <rFont val="Tahoma"/>
            <family val="2"/>
          </rPr>
          <t>Hardwick, Bailey:</t>
        </r>
        <r>
          <rPr>
            <sz val="9"/>
            <color indexed="81"/>
            <rFont val="Tahoma"/>
            <family val="2"/>
          </rPr>
          <t xml:space="preserve">
S. Mayes</t>
        </r>
      </text>
    </comment>
    <comment ref="BK10" authorId="1" shapeId="0" xr:uid="{A034F8EB-94E9-419A-88CF-1D0C8CEB64D1}">
      <text>
        <r>
          <rPr>
            <b/>
            <sz val="9"/>
            <color indexed="81"/>
            <rFont val="Tahoma"/>
            <family val="2"/>
          </rPr>
          <t>Avivi, Tmara:</t>
        </r>
        <r>
          <rPr>
            <sz val="9"/>
            <color indexed="81"/>
            <rFont val="Tahoma"/>
            <family val="2"/>
          </rPr>
          <t xml:space="preserve">
G. Goyal</t>
        </r>
      </text>
    </comment>
    <comment ref="BI14" authorId="2" shapeId="0" xr:uid="{00000000-0006-0000-1000-00000A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tc={9942193F-B124-4659-8C8B-DB5469C62713}</author>
    <author>Scott, Justin</author>
  </authors>
  <commentList>
    <comment ref="BJ10" authorId="0" shapeId="0" xr:uid="{9942193F-B124-4659-8C8B-DB5469C62713}">
      <text>
        <t>[Threaded comment]
Your version of Excel allows you to read this threaded comment; however, any edits to it will get removed if the file is opened in a newer version of Excel. Learn more: https://go.microsoft.com/fwlink/?linkid=870924
Comment:
    Monica Yamauchi</t>
      </text>
    </comment>
    <comment ref="BI14" authorId="1" shapeId="0" xr:uid="{00000000-0006-0000-14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Gandhi, Dimple</author>
    <author>Scott, Justin</author>
  </authors>
  <commentList>
    <comment ref="BK7" authorId="0" shapeId="0" xr:uid="{43A87D0B-CCFA-43AC-8693-E4DD481FA9B6}">
      <text>
        <r>
          <rPr>
            <b/>
            <sz val="9"/>
            <color indexed="81"/>
            <rFont val="Tahoma"/>
            <family val="2"/>
          </rPr>
          <t>Gandhi, Dimple:</t>
        </r>
        <r>
          <rPr>
            <sz val="9"/>
            <color indexed="81"/>
            <rFont val="Tahoma"/>
            <family val="2"/>
          </rPr>
          <t xml:space="preserve">
Amber Hart - 10/27/2023</t>
        </r>
      </text>
    </comment>
    <comment ref="BJ8" authorId="0" shapeId="0" xr:uid="{B729084E-D191-4C32-A9C6-1B1D9A03B9B9}">
      <text>
        <r>
          <rPr>
            <b/>
            <sz val="9"/>
            <color indexed="81"/>
            <rFont val="Tahoma"/>
            <family val="2"/>
          </rPr>
          <t>Gandhi, Dimple:</t>
        </r>
        <r>
          <rPr>
            <sz val="9"/>
            <color indexed="81"/>
            <rFont val="Tahoma"/>
            <family val="2"/>
          </rPr>
          <t xml:space="preserve">
Kim Owens - Payroll Manager
Bryan Ray - Tax Manager</t>
        </r>
      </text>
    </comment>
    <comment ref="BI14" authorId="1" shapeId="0" xr:uid="{00000000-0006-0000-1300-000006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I14" authorId="0" shapeId="0" xr:uid="{00000000-0006-0000-19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Newman, Chad</author>
    <author>Scott, Justin</author>
  </authors>
  <commentList>
    <comment ref="BJ7" authorId="0" shapeId="0" xr:uid="{C01D6976-4AB5-4196-B1DD-A244F8CFC7A3}">
      <text>
        <r>
          <rPr>
            <b/>
            <sz val="9"/>
            <color indexed="81"/>
            <rFont val="Tahoma"/>
            <family val="2"/>
          </rPr>
          <t>Newman, Chad:</t>
        </r>
        <r>
          <rPr>
            <sz val="9"/>
            <color indexed="81"/>
            <rFont val="Tahoma"/>
            <family val="2"/>
          </rPr>
          <t xml:space="preserve">
Abraham Jardon - 9/12
Denise Carmical - 9/2
Ebony Peterkin - 9/27
Elayna Roper - 9/14
John Raleigh - 9/11
Stephanie Roninson - 9/6
Antrunette Hall - 9/7</t>
        </r>
      </text>
    </comment>
    <comment ref="BK7" authorId="0" shapeId="0" xr:uid="{305A2B52-9DBE-439A-92A8-5EE1025525B1}">
      <text>
        <r>
          <rPr>
            <b/>
            <sz val="9"/>
            <color indexed="81"/>
            <rFont val="Tahoma"/>
            <family val="2"/>
          </rPr>
          <t>Newman, Chad:</t>
        </r>
        <r>
          <rPr>
            <sz val="9"/>
            <color indexed="81"/>
            <rFont val="Tahoma"/>
            <family val="2"/>
          </rPr>
          <t xml:space="preserve">
Andrea Robinson 10/23
Brayanne Ford 10/26
Yvonne Woods 10/27</t>
        </r>
      </text>
    </comment>
    <comment ref="BJ8" authorId="0" shapeId="0" xr:uid="{7BA2788F-7E76-46BD-B5B9-6930CA100557}">
      <text>
        <r>
          <rPr>
            <b/>
            <sz val="9"/>
            <color indexed="81"/>
            <rFont val="Tahoma"/>
            <family val="2"/>
          </rPr>
          <t>Newman, Chad:</t>
        </r>
        <r>
          <rPr>
            <sz val="9"/>
            <color indexed="81"/>
            <rFont val="Tahoma"/>
            <family val="2"/>
          </rPr>
          <t xml:space="preserve">
Aneesah Petty - 9/11</t>
        </r>
      </text>
    </comment>
    <comment ref="BK8" authorId="0" shapeId="0" xr:uid="{2232C00D-CE8D-44F8-80DC-9196E0EDF59C}">
      <text>
        <r>
          <rPr>
            <b/>
            <sz val="9"/>
            <color indexed="81"/>
            <rFont val="Tahoma"/>
            <family val="2"/>
          </rPr>
          <t>Newman, Chad:</t>
        </r>
        <r>
          <rPr>
            <sz val="9"/>
            <color indexed="81"/>
            <rFont val="Tahoma"/>
            <family val="2"/>
          </rPr>
          <t xml:space="preserve">
Adariel Hunter 
Andrea Robinson
Angela Daily 
Brayanne Ford 
Diana Garrido
Jamila Dennis 
Janet Edmondson 
Kellie Whetsell
Madeline Rivera 
Tyara Moore 
Yvonne Woods 
</t>
        </r>
      </text>
    </comment>
    <comment ref="BJ12" authorId="0" shapeId="0" xr:uid="{F8C70226-8529-4810-A82C-FB633C7AE203}">
      <text>
        <r>
          <rPr>
            <b/>
            <sz val="9"/>
            <color indexed="81"/>
            <rFont val="Tahoma"/>
            <family val="2"/>
          </rPr>
          <t>Newman, Chad:</t>
        </r>
        <r>
          <rPr>
            <sz val="9"/>
            <color indexed="81"/>
            <rFont val="Tahoma"/>
            <family val="2"/>
          </rPr>
          <t xml:space="preserve">
Antrunette Hall - Termed 
Andrea Thompson - 9/7, now on internal LOA</t>
        </r>
      </text>
    </comment>
    <comment ref="BJ13" authorId="0" shapeId="0" xr:uid="{A7D38679-CECF-4B78-BDB2-6668F53BB6AA}">
      <text>
        <r>
          <rPr>
            <b/>
            <sz val="9"/>
            <color indexed="81"/>
            <rFont val="Tahoma"/>
            <family val="2"/>
          </rPr>
          <t>Newman, Chad:</t>
        </r>
        <r>
          <rPr>
            <sz val="9"/>
            <color indexed="81"/>
            <rFont val="Tahoma"/>
            <family val="2"/>
          </rPr>
          <t xml:space="preserve">
Sabrina Perdue </t>
        </r>
      </text>
    </comment>
    <comment ref="BK13" authorId="0" shapeId="0" xr:uid="{1796085C-4EDF-43B2-8303-2B227322B347}">
      <text>
        <r>
          <rPr>
            <b/>
            <sz val="9"/>
            <color indexed="81"/>
            <rFont val="Tahoma"/>
            <family val="2"/>
          </rPr>
          <t>Newman, Chad:</t>
        </r>
        <r>
          <rPr>
            <sz val="9"/>
            <color indexed="81"/>
            <rFont val="Tahoma"/>
            <family val="2"/>
          </rPr>
          <t xml:space="preserve">
Sabrina Perdue
</t>
        </r>
      </text>
    </comment>
    <comment ref="BI14" authorId="1" shapeId="0" xr:uid="{00000000-0006-0000-17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I14" authorId="0" shapeId="0" xr:uid="{00000000-0006-0000-18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I14" authorId="0" shapeId="0" xr:uid="{00000000-0006-0000-1D00-000003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I14" authorId="0" shapeId="0" xr:uid="{00000000-0006-0000-1B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I14" authorId="0" shapeId="0" xr:uid="{00000000-0006-0000-1C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I14" authorId="0" shapeId="0" xr:uid="{00000000-0006-0000-1E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I14" authorId="0" shapeId="0" xr:uid="{00000000-0006-0000-1F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I14" authorId="0" shapeId="0" xr:uid="{00000000-0006-0000-22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I14" authorId="0" shapeId="0" xr:uid="{00000000-0006-0000-23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<sst xmlns="http://schemas.openxmlformats.org/spreadsheetml/2006/main" count="9986" uniqueCount="794">
  <si>
    <t>AR</t>
  </si>
  <si>
    <t>CB</t>
  </si>
  <si>
    <t>FA</t>
  </si>
  <si>
    <t>GL</t>
  </si>
  <si>
    <t>AP</t>
  </si>
  <si>
    <t>PR</t>
  </si>
  <si>
    <t>PS</t>
  </si>
  <si>
    <t>BSS</t>
  </si>
  <si>
    <t>PMO</t>
  </si>
  <si>
    <t>ADJ</t>
  </si>
  <si>
    <t>HH</t>
  </si>
  <si>
    <t>HRSO</t>
  </si>
  <si>
    <t>SC</t>
  </si>
  <si>
    <t>ES</t>
  </si>
  <si>
    <t>Staffing</t>
  </si>
  <si>
    <t>MyHR Tech</t>
  </si>
  <si>
    <t>MyHR</t>
  </si>
  <si>
    <t>HTA</t>
  </si>
  <si>
    <t>OA</t>
  </si>
  <si>
    <t>GBS OH</t>
  </si>
  <si>
    <t>GBS OH HR</t>
  </si>
  <si>
    <t>HR DET</t>
  </si>
  <si>
    <t>GBS Compliance</t>
  </si>
  <si>
    <t>Month</t>
  </si>
  <si>
    <t>SEP FY-22</t>
  </si>
  <si>
    <t>OCT FY-23</t>
  </si>
  <si>
    <t>NOV FY-23</t>
  </si>
  <si>
    <t>DEC FY-23</t>
  </si>
  <si>
    <t>JAN FY-23</t>
  </si>
  <si>
    <t>FEB FY-23</t>
  </si>
  <si>
    <t>MAR FY-23</t>
  </si>
  <si>
    <t>APR FY-23</t>
  </si>
  <si>
    <t>MAY FY-23</t>
  </si>
  <si>
    <t>JUN FY-23</t>
  </si>
  <si>
    <t>JUL FY-23</t>
  </si>
  <si>
    <t>AUG FY-23</t>
  </si>
  <si>
    <t>SEP FY-23</t>
  </si>
  <si>
    <t>Period</t>
  </si>
  <si>
    <t>Accounts Receivable</t>
  </si>
  <si>
    <t>Annual Plan</t>
  </si>
  <si>
    <t>Forecast</t>
  </si>
  <si>
    <t>Ending EEs</t>
  </si>
  <si>
    <t>Cash &amp; Banking</t>
  </si>
  <si>
    <t>Fixed Assets</t>
  </si>
  <si>
    <t>General Ledger</t>
  </si>
  <si>
    <t>Accounts Payable</t>
  </si>
  <si>
    <t>7975, 7977, 7980, 7981</t>
  </si>
  <si>
    <t>Payroll</t>
  </si>
  <si>
    <t>Business Support Services</t>
  </si>
  <si>
    <t>Project Management Office</t>
  </si>
  <si>
    <t>Operational Adjustment</t>
  </si>
  <si>
    <t>GBS Nashville Overhead</t>
  </si>
  <si>
    <t>GBS Nashville Overhead - HR</t>
  </si>
  <si>
    <t>PR GL &amp; Business Compliance</t>
  </si>
  <si>
    <t>GBS Payroll Systems</t>
  </si>
  <si>
    <t>Payroll Projects and System Administration</t>
  </si>
  <si>
    <t>Corporate Card &amp; Expense Reporting Services</t>
  </si>
  <si>
    <t>Totals for comparison</t>
  </si>
  <si>
    <t>Totals</t>
  </si>
  <si>
    <t>Budget</t>
  </si>
  <si>
    <t>000007976</t>
  </si>
  <si>
    <t>Annual</t>
  </si>
  <si>
    <t>Act/Proj</t>
  </si>
  <si>
    <t>Labor</t>
  </si>
  <si>
    <t>Non-Labor</t>
  </si>
  <si>
    <t>Total</t>
  </si>
  <si>
    <t>Actual-Year</t>
  </si>
  <si>
    <t>Plan</t>
  </si>
  <si>
    <t>Plan-Year</t>
  </si>
  <si>
    <t>Forecast-Year</t>
  </si>
  <si>
    <t>Actual-Month</t>
  </si>
  <si>
    <t>Plan-Month</t>
  </si>
  <si>
    <t>Forecast-Month</t>
  </si>
  <si>
    <t>000007974</t>
  </si>
  <si>
    <t>000007972</t>
  </si>
  <si>
    <t>000007973</t>
  </si>
  <si>
    <t>000007975, 7977, 7980, 7981</t>
  </si>
  <si>
    <t>000007979</t>
  </si>
  <si>
    <t>Payment Services</t>
  </si>
  <si>
    <t>090926900</t>
  </si>
  <si>
    <t>000008545</t>
  </si>
  <si>
    <t>000007850</t>
  </si>
  <si>
    <t>000007988</t>
  </si>
  <si>
    <t>000007971</t>
  </si>
  <si>
    <t>000007987</t>
  </si>
  <si>
    <t>GBS Business Chargeouts</t>
  </si>
  <si>
    <t>000006997</t>
  </si>
  <si>
    <t>000017643</t>
  </si>
  <si>
    <t>000017826</t>
  </si>
  <si>
    <t>GBS - Contact Center - Facilities</t>
  </si>
  <si>
    <t>000008546</t>
  </si>
  <si>
    <t>Ultimate Payroll Recovery</t>
  </si>
  <si>
    <t>000016963</t>
  </si>
  <si>
    <t>090920300</t>
  </si>
  <si>
    <t>090921600</t>
  </si>
  <si>
    <t>000005968</t>
  </si>
  <si>
    <t>Missed Breaks and Short Breaks</t>
  </si>
  <si>
    <t>Past Due Training</t>
  </si>
  <si>
    <t>Week</t>
  </si>
  <si>
    <t>Profit Center</t>
  </si>
  <si>
    <t>Missed Break</t>
  </si>
  <si>
    <t>Short Break</t>
  </si>
  <si>
    <t>Name</t>
  </si>
  <si>
    <t>E-mail Address</t>
  </si>
  <si>
    <t>Manager Name</t>
  </si>
  <si>
    <t>Activity Name</t>
  </si>
  <si>
    <t>Primary Organization</t>
  </si>
  <si>
    <t>Requirement Status</t>
  </si>
  <si>
    <t>Total Training</t>
  </si>
  <si>
    <t>Aramark Global Business Services</t>
  </si>
  <si>
    <t xml:space="preserve">Monthly Operations Review </t>
  </si>
  <si>
    <t>Formatting for Powerpoint:</t>
  </si>
  <si>
    <t>1) Copy and paste each section into Powerpoint</t>
  </si>
  <si>
    <t>Audit Committee</t>
  </si>
  <si>
    <t>- Paste as "Keep Source Formatting"</t>
  </si>
  <si>
    <t>2) Set all fonts to Arial 8</t>
  </si>
  <si>
    <t>3) Set rows to .25 height (excluding header)</t>
  </si>
  <si>
    <t>- For rows with only 1 line, set to .50 height</t>
  </si>
  <si>
    <t>4) Position table at .28 / 1.4</t>
  </si>
  <si>
    <t>Function</t>
  </si>
  <si>
    <t>Quantity Description</t>
  </si>
  <si>
    <t>Key Performance Indicator</t>
  </si>
  <si>
    <t>Goal</t>
  </si>
  <si>
    <t>Pending Reconciliation Items</t>
  </si>
  <si>
    <t>% of pending items cleared 
before 60 days aged</t>
  </si>
  <si>
    <t>ReconNet Depository &amp; Non-Depository Accounts</t>
  </si>
  <si>
    <t>% of bank account 
reconciliations completed</t>
  </si>
  <si>
    <t>AR Incident tickets submitted</t>
  </si>
  <si>
    <t>% of tickets 
resolved within 2-4 days
(LOB specific)</t>
  </si>
  <si>
    <t>Gross AR</t>
  </si>
  <si>
    <t>Unapplied cash as a 
% of Gross AR</t>
  </si>
  <si>
    <t>Need to update to quarter end.</t>
  </si>
  <si>
    <t>General Ledger Accounting</t>
  </si>
  <si>
    <t>Journal Entries</t>
  </si>
  <si>
    <t>% of accurate journal entries</t>
  </si>
  <si>
    <t>CIP Balance</t>
  </si>
  <si>
    <t>% of CIP Balance &gt; 90 days</t>
  </si>
  <si>
    <t>CERs closed</t>
  </si>
  <si>
    <t>Avg # of days to close CER</t>
  </si>
  <si>
    <t xml:space="preserve"> Invoices Processed 
by GBS</t>
  </si>
  <si>
    <t>Cost per Invoice</t>
  </si>
  <si>
    <t>Restated PY quarter to fiscal vs calendar month basis</t>
  </si>
  <si>
    <t>Payments Processed</t>
  </si>
  <si>
    <t>Cost per Payment Processed</t>
  </si>
  <si>
    <t># of Payments</t>
  </si>
  <si>
    <t>Cost per Payment</t>
  </si>
  <si>
    <t>Manual Pay 
(eForms only)</t>
  </si>
  <si>
    <t>% of eForms resolved 
within 2 days</t>
  </si>
  <si>
    <t>Payroll Service 
Tickets Submitted</t>
  </si>
  <si>
    <t>% of tickets resolved 
within 2 days</t>
  </si>
  <si>
    <t>Customer Surveys Completed</t>
  </si>
  <si>
    <t>% of favorable customer surveys</t>
  </si>
  <si>
    <t>Incoming Calls 
Handled</t>
  </si>
  <si>
    <t>Average speed of answer
(H:MM:SS)</t>
  </si>
  <si>
    <t>Incoming Calls 
Offered</t>
  </si>
  <si>
    <t>% of calls abandoned</t>
  </si>
  <si>
    <t>Service Level</t>
  </si>
  <si>
    <t>% of Calls Answered within Service Level (60 sec)</t>
  </si>
  <si>
    <t>Higher volume FY18 due to HCMS blackout prep as well as Winter leaves taking place  earlier than historically. Approximately 25,000. EE'</t>
  </si>
  <si>
    <t>Payment Services Contact   Center</t>
  </si>
  <si>
    <t>Average Handle Time</t>
  </si>
  <si>
    <t>Average Handle Time
H:MM:SS</t>
  </si>
  <si>
    <t>Incoming E-mails</t>
  </si>
  <si>
    <t>% handled within 1 day</t>
  </si>
  <si>
    <t>Salary Candidate Care</t>
  </si>
  <si>
    <t>Offer Letters Created</t>
  </si>
  <si>
    <t>Avg # of days to issue offer letters</t>
  </si>
  <si>
    <t>Background Checks
(Salaried)</t>
  </si>
  <si>
    <t xml:space="preserve"># of days to deliver offer packet to initiation of background check </t>
  </si>
  <si>
    <t>Hourly Hiring Support</t>
  </si>
  <si>
    <t>Adjudication</t>
  </si>
  <si>
    <t>Incident Tickets 
Submitted</t>
  </si>
  <si>
    <t># of Background Checks Managed by Adjudication</t>
  </si>
  <si>
    <t>% of initial reviews completed from TrueScreen within same day</t>
  </si>
  <si>
    <t># of Background Checks Processed by Vendor</t>
  </si>
  <si>
    <t>Avg # of days for background checks 
(Order to Complete)</t>
  </si>
  <si>
    <t># of  hires/rehires</t>
  </si>
  <si>
    <t xml:space="preserve"># of Days to Resolve Snow Tickets within SLA </t>
  </si>
  <si>
    <t>My HR Tier 1</t>
  </si>
  <si>
    <t>Average speed of answer (H:MM:SS)</t>
  </si>
  <si>
    <t>Global Business Services</t>
  </si>
  <si>
    <t>Monthly Operations Report</t>
  </si>
  <si>
    <t>Overview</t>
  </si>
  <si>
    <t>Accounting Operations</t>
  </si>
  <si>
    <t>Payment Operations</t>
  </si>
  <si>
    <t>Summary</t>
  </si>
  <si>
    <t>Turnover</t>
  </si>
  <si>
    <t>Staffing &amp; Budget</t>
  </si>
  <si>
    <t>SOX Compliance</t>
  </si>
  <si>
    <t>Support Operations</t>
  </si>
  <si>
    <t>Human Resources</t>
  </si>
  <si>
    <t>Business Support</t>
  </si>
  <si>
    <t>GBS HR</t>
  </si>
  <si>
    <t>Report Period</t>
  </si>
  <si>
    <t>Quarter</t>
  </si>
  <si>
    <t>Does Not Print</t>
  </si>
  <si>
    <t>Monthly Operations Summary</t>
  </si>
  <si>
    <t>Financial Summary</t>
  </si>
  <si>
    <t>Actual</t>
  </si>
  <si>
    <t>F/(U) v Plan</t>
  </si>
  <si>
    <t>F/(U) v Fcst</t>
  </si>
  <si>
    <t>Comments</t>
  </si>
  <si>
    <t>Facilities Contact Center</t>
  </si>
  <si>
    <t>Staffing Summary</t>
  </si>
  <si>
    <t>Total Headcount (EOM)</t>
  </si>
  <si>
    <t>GBS Design</t>
  </si>
  <si>
    <t>Internal Moves</t>
  </si>
  <si>
    <t>External Departures</t>
  </si>
  <si>
    <t>KPI Summary</t>
  </si>
  <si>
    <t># of KPIs</t>
  </si>
  <si>
    <t>Check Figures</t>
  </si>
  <si>
    <t>Difference</t>
  </si>
  <si>
    <t>PC</t>
  </si>
  <si>
    <t>Green</t>
  </si>
  <si>
    <t>Yellow</t>
  </si>
  <si>
    <t>Red</t>
  </si>
  <si>
    <t>No Rating</t>
  </si>
  <si>
    <t>7977, 7980, 7981</t>
  </si>
  <si>
    <t>MyStaffing Contact Center</t>
  </si>
  <si>
    <t>MyStaffing Transaction Center</t>
  </si>
  <si>
    <t>MyStaffing Overhead &amp; Reporting</t>
  </si>
  <si>
    <t>Subtotal</t>
  </si>
  <si>
    <t>Internal and External Departures</t>
  </si>
  <si>
    <t>Actual Months</t>
  </si>
  <si>
    <t>Headcount</t>
  </si>
  <si>
    <t>Department</t>
  </si>
  <si>
    <t>Internal Transfers</t>
  </si>
  <si>
    <t xml:space="preserve">Facilities Contact Center </t>
  </si>
  <si>
    <t>Consolidated Budget &amp; Staffing</t>
  </si>
  <si>
    <t>Does not Print</t>
  </si>
  <si>
    <t>Monthly Departures</t>
  </si>
  <si>
    <t>F/(U) 
v. Plan</t>
  </si>
  <si>
    <t>F/(U) 
v. Fcst</t>
  </si>
  <si>
    <t>F/(U)</t>
  </si>
  <si>
    <t>Int</t>
  </si>
  <si>
    <t>Ext</t>
  </si>
  <si>
    <t>Open</t>
  </si>
  <si>
    <t>Per Bill's Kronos report</t>
  </si>
  <si>
    <t>Active Leave reported</t>
  </si>
  <si>
    <t>Issue</t>
  </si>
  <si>
    <t>Active Leave</t>
  </si>
  <si>
    <t>Headcount per Kronos</t>
  </si>
  <si>
    <t>Comments:</t>
  </si>
  <si>
    <t>Monthly Operations Review</t>
  </si>
  <si>
    <r>
      <t xml:space="preserve">SOX Compliance  - </t>
    </r>
    <r>
      <rPr>
        <b/>
        <sz val="11"/>
        <color rgb="FFFF0000"/>
        <rFont val="Calibri"/>
        <family val="2"/>
        <scheme val="minor"/>
      </rPr>
      <t>Excellence Through Integrity</t>
    </r>
  </si>
  <si>
    <t>KEY PERFORMANCE INDICATORS:</t>
  </si>
  <si>
    <t>Overall Description:</t>
  </si>
  <si>
    <t>Control Status by Function</t>
  </si>
  <si>
    <t>Quantity Description:</t>
  </si>
  <si>
    <t>KPI Description:</t>
  </si>
  <si>
    <t>Fiscal Year</t>
  </si>
  <si>
    <t>Pass</t>
  </si>
  <si>
    <t>Issue-Open</t>
  </si>
  <si>
    <t>CY Testing</t>
  </si>
  <si>
    <t>FY'20</t>
  </si>
  <si>
    <t>FY'21</t>
  </si>
  <si>
    <t>Open Deficiencies</t>
  </si>
  <si>
    <t>Control Reference</t>
  </si>
  <si>
    <t>Status</t>
  </si>
  <si>
    <t xml:space="preserve">Planning for FY21 testing in process.
</t>
  </si>
  <si>
    <t>Cash &amp; Banking - Maintain the Checks &amp; Balances</t>
  </si>
  <si>
    <t>STAFFING:</t>
  </si>
  <si>
    <t>Current Period</t>
  </si>
  <si>
    <t>Starting EEs</t>
  </si>
  <si>
    <t>Operational Highlights - 7974</t>
  </si>
  <si>
    <t>Scope of Services</t>
  </si>
  <si>
    <t>Terms</t>
  </si>
  <si>
    <t>Perform Depository and Non Depository Reconciliations for Food and Facility Services.
Perform Corporate Bank Account Reconciliations
Provide Support for iCare by Disputing Chargebacks.</t>
  </si>
  <si>
    <t>All US LOBs, except AUS; 
Canada: Aramark Ltd, Quebec, AES
Corporate Bank Account Reconciliations</t>
  </si>
  <si>
    <t>New Hires</t>
  </si>
  <si>
    <t>Transfers Out</t>
  </si>
  <si>
    <t>Transfers In</t>
  </si>
  <si>
    <t>Leave Out</t>
  </si>
  <si>
    <t>Leave In</t>
  </si>
  <si>
    <t>Leave Active</t>
  </si>
  <si>
    <t>EE Movement</t>
  </si>
  <si>
    <t>-</t>
  </si>
  <si>
    <t>Expense Type</t>
  </si>
  <si>
    <t>F / (U) v. Plan</t>
  </si>
  <si>
    <t>F / (U) v. Fcst</t>
  </si>
  <si>
    <t>Ends &amp; Starts</t>
  </si>
  <si>
    <t>Transfers</t>
  </si>
  <si>
    <t>Leave</t>
  </si>
  <si>
    <t xml:space="preserve"> </t>
  </si>
  <si>
    <t>Open Positions</t>
  </si>
  <si>
    <t>Net EE Movement</t>
  </si>
  <si>
    <t>Out</t>
  </si>
  <si>
    <t>Breaks:</t>
  </si>
  <si>
    <t>Hires</t>
  </si>
  <si>
    <t>In</t>
  </si>
  <si>
    <t>Short</t>
  </si>
  <si>
    <t>Total Net EE Movement</t>
  </si>
  <si>
    <t>KPI Title</t>
  </si>
  <si>
    <t>Debit Pending Items over 60 Days</t>
  </si>
  <si>
    <t>Plan U / (O)</t>
  </si>
  <si>
    <t>Past Due</t>
  </si>
  <si>
    <t>Define Quantity</t>
  </si>
  <si>
    <t># of Remaining Pending Items for Prior Period (2 month lag) in Thousands</t>
  </si>
  <si>
    <t>Forecast U / (O)</t>
  </si>
  <si>
    <t>Training:</t>
  </si>
  <si>
    <t>Define KPI</t>
  </si>
  <si>
    <t>FY22 Actual</t>
  </si>
  <si>
    <t>FY23 Actual</t>
  </si>
  <si>
    <t>13 Month Rolling</t>
  </si>
  <si>
    <t>Qtr</t>
  </si>
  <si>
    <t>Numerator</t>
  </si>
  <si>
    <t>Denominator</t>
  </si>
  <si>
    <t>FY22 KPI</t>
  </si>
  <si>
    <t>FY22 AVG QTD</t>
  </si>
  <si>
    <t>FY22 Goal</t>
  </si>
  <si>
    <t>FY23 Qnty</t>
  </si>
  <si>
    <t>FY23 KPI</t>
  </si>
  <si>
    <t>FY23 AVG QTD</t>
  </si>
  <si>
    <t>FY23 Goal</t>
  </si>
  <si>
    <t>Cover Month</t>
  </si>
  <si>
    <t>Quantity</t>
  </si>
  <si>
    <t>KPI</t>
  </si>
  <si>
    <t>FY</t>
  </si>
  <si>
    <t>MO</t>
  </si>
  <si>
    <t>Oct</t>
  </si>
  <si>
    <t>Q1</t>
  </si>
  <si>
    <t>Nov</t>
  </si>
  <si>
    <t>Dec</t>
  </si>
  <si>
    <t>Jan</t>
  </si>
  <si>
    <t>Q2</t>
  </si>
  <si>
    <t>Feb</t>
  </si>
  <si>
    <t>Mar</t>
  </si>
  <si>
    <t>Apr</t>
  </si>
  <si>
    <t>Q3</t>
  </si>
  <si>
    <t>May</t>
  </si>
  <si>
    <t>Key Performance Indicators (KPIs)</t>
  </si>
  <si>
    <t>Jun</t>
  </si>
  <si>
    <t xml:space="preserve">Description </t>
  </si>
  <si>
    <t>FY22</t>
  </si>
  <si>
    <t xml:space="preserve">FY23
Goal </t>
  </si>
  <si>
    <t>FY23</t>
  </si>
  <si>
    <t>Comments/Remediation Plan</t>
  </si>
  <si>
    <t>Jul</t>
  </si>
  <si>
    <t>Q4</t>
  </si>
  <si>
    <t>QTR</t>
  </si>
  <si>
    <t>Prior 
Month</t>
  </si>
  <si>
    <t>Current Month</t>
  </si>
  <si>
    <t>AVG QTD</t>
  </si>
  <si>
    <t>Aug</t>
  </si>
  <si>
    <t>Sep</t>
  </si>
  <si>
    <t>Pending Items (60+)
% Achieved</t>
  </si>
  <si>
    <t>Bank Account Reconciliation
% Achieved</t>
  </si>
  <si>
    <t>Bank Account Reconciliation</t>
  </si>
  <si>
    <t># of ReconNET Master Accounts (Depository and Non-Depository)</t>
  </si>
  <si>
    <t>Detail Proof Completed 1 Week Prior to SOX Deadline</t>
  </si>
  <si>
    <t>Metrics Graphical Analysis</t>
  </si>
  <si>
    <t>Cost per Manually Reconciled Item</t>
  </si>
  <si>
    <t># of interactive reconciled items in ReconNET</t>
  </si>
  <si>
    <t>Cost per transaction requiring manual reconciliation</t>
  </si>
  <si>
    <t>Canada Debit Pending Items over 60 Days</t>
  </si>
  <si>
    <t>Canada Bank Account Reconciliation</t>
  </si>
  <si>
    <t xml:space="preserve">Accounts Receivable - Mitigate the Risk </t>
  </si>
  <si>
    <t>Operational Highlights - 7976</t>
  </si>
  <si>
    <t xml:space="preserve">Continued support to Collegiate Hospitality Cash Drive
Qlik development
</t>
  </si>
  <si>
    <t>●Centrally Managed: Manages cash applications for 6 business units &amp; cater billing for 2 business units 
●Sub-ledger Accounting: Accounting support for 9 business units</t>
  </si>
  <si>
    <t>Other</t>
  </si>
  <si>
    <t>Missed</t>
  </si>
  <si>
    <t>Incident Resolution</t>
  </si>
  <si>
    <t xml:space="preserve"># of Tickets in Thousands </t>
  </si>
  <si>
    <t>% of Snow Incidents within SLA</t>
  </si>
  <si>
    <t>Comments/ Remediation Plan</t>
  </si>
  <si>
    <t>Overall Incident Resolution
% Meeting Service Level</t>
  </si>
  <si>
    <t>Unapplied Cash
% of Gross AR</t>
  </si>
  <si>
    <t>Cost per Manual Receipt</t>
  </si>
  <si>
    <t>Unapplied Cash</t>
  </si>
  <si>
    <t>Cost per SNow Request</t>
  </si>
  <si>
    <t xml:space="preserve">Dollars in Millions </t>
  </si>
  <si>
    <t>% of Unapplied Cash (as % of Gross)</t>
  </si>
  <si>
    <t>Department Cost per Receipt</t>
  </si>
  <si>
    <t># of Non-Auto Applied Receipts</t>
  </si>
  <si>
    <t>Cost per Receipt</t>
  </si>
  <si>
    <t>Department Cost per SNow Request</t>
  </si>
  <si>
    <t># of SNow Tickets Worked</t>
  </si>
  <si>
    <t>Cost per Ticket Worked</t>
  </si>
  <si>
    <t xml:space="preserve">General Ledger - Accurately Close the Books </t>
  </si>
  <si>
    <t>Operational Highlights - 7973</t>
  </si>
  <si>
    <t>Perform month end close and other accounting activities for approximately 7,900 field PC's across the US LOB's except HCT and AUS.</t>
  </si>
  <si>
    <t>Accurate Journal Entries</t>
  </si>
  <si>
    <t xml:space="preserve"># of Journal Entries </t>
  </si>
  <si>
    <t xml:space="preserve">% of Correctly Recorded Journal Entries </t>
  </si>
  <si>
    <t>% of Accurate Journal Entries</t>
  </si>
  <si>
    <t>Cost per Manual Journal Entry</t>
  </si>
  <si>
    <t>% of Reconciliations Prepared and Reviewed</t>
  </si>
  <si>
    <t>Cost Per Journal Entry</t>
  </si>
  <si>
    <t># of Reconciliations Prepared and Reviewed</t>
  </si>
  <si>
    <t># of Reconciliations Prepared and Reviewed as a % of Total Reconciliations</t>
  </si>
  <si>
    <t>Fixed Assets - Monitoring Our Assets</t>
  </si>
  <si>
    <t>Operational Highlights - 7972</t>
  </si>
  <si>
    <t>Perform fixed assets accounting and support services for all US and Canada Food &amp; Facilities profit centers.</t>
  </si>
  <si>
    <t>Dollars in Millions</t>
  </si>
  <si>
    <t>CIP Balance &gt;90 Days as a % of Total CIP Balance</t>
  </si>
  <si>
    <t>N/A</t>
  </si>
  <si>
    <t>Construction in Process Balance (CIP) Balance (90+)
% of CIP Balance</t>
  </si>
  <si>
    <t>Capital Expense Request (CER) Closed Timely
# of Days</t>
  </si>
  <si>
    <t>Cost Per Transaction</t>
  </si>
  <si>
    <t>CERs Closed Timely</t>
  </si>
  <si>
    <t># of CERs closed (US &amp; CA)</t>
  </si>
  <si>
    <t># of Business Days to Close CER</t>
  </si>
  <si>
    <t>Cost Per FA Transaction</t>
  </si>
  <si>
    <t># of Asset Additions and Retirements</t>
  </si>
  <si>
    <t>Cost per Transaction</t>
  </si>
  <si>
    <t>Accounts Payable - Keep the Business Moving</t>
  </si>
  <si>
    <t>Operational Highlights - 7975, 7977, 7980, 7981</t>
  </si>
  <si>
    <t xml:space="preserve">Cost Per Invoice </t>
  </si>
  <si>
    <t xml:space="preserve"># of Invoices Processed in Thousands </t>
  </si>
  <si>
    <t>Service Now Incidents in 1000s</t>
  </si>
  <si>
    <t>% Meeting Service Level</t>
  </si>
  <si>
    <t># of Payments in Thousands</t>
  </si>
  <si>
    <t>Cost in $s</t>
  </si>
  <si>
    <t># of Incidents in Thousands</t>
  </si>
  <si>
    <t>Prevented</t>
  </si>
  <si>
    <t>Total Dollars</t>
  </si>
  <si>
    <t>Total Count</t>
  </si>
  <si>
    <t>Payroll - ACT (Accurate, Compliant &amp; Timely Pay)</t>
  </si>
  <si>
    <t>Operational Highlights - 7979</t>
  </si>
  <si>
    <t>GBS Payroll is responsible for correct employee tax setups, W-2 production, payroll processing and related issues for All US FSS and Refreshment Services LOBs. GBS Payroll is also actively engaged in Year-End processes &amp; supporting the Canadian myPay Operations as required from a SME perspective.</t>
  </si>
  <si>
    <t xml:space="preserve"># of Payments Created in Thousands </t>
  </si>
  <si>
    <t xml:space="preserve">Cost Per Payment Created </t>
  </si>
  <si>
    <t>eForms Resolution</t>
  </si>
  <si>
    <t>eForm Resolution</t>
  </si>
  <si>
    <t xml:space="preserve"># of Manual Pay: Eforms Processed in Thousands </t>
  </si>
  <si>
    <t># of Days to Process Manual Pay within SLA ?</t>
  </si>
  <si>
    <t>Operational Highlights - 7850</t>
  </si>
  <si>
    <t xml:space="preserve">28 Active Projects &amp; RPA initiatives in flight 
Active Process Improvement / Automation initiatives on track to save 50,400 hours (per year)
Delivered 12,000 hours of savings YTD
75% of the book of work is GBS facing
</t>
  </si>
  <si>
    <t xml:space="preserve">Project Management through Leading Practices; Business Process Life-Cycle; Process improvement and Automation (Robotic Process Automation) and GBS Functional Reporting / Metrics (MOR)
</t>
  </si>
  <si>
    <t>Corporate Projects</t>
  </si>
  <si>
    <t xml:space="preserve">PMO LED
Project/Scope </t>
  </si>
  <si>
    <t xml:space="preserve">Accomplishments </t>
  </si>
  <si>
    <t xml:space="preserve">In Progress/ Upcoming </t>
  </si>
  <si>
    <t xml:space="preserve">Key Risks </t>
  </si>
  <si>
    <t xml:space="preserve">Target Completion Date </t>
  </si>
  <si>
    <t>Initiative Type</t>
  </si>
  <si>
    <t>Phase/ Status (RYG)</t>
  </si>
  <si>
    <t>Employee Engagement</t>
  </si>
  <si>
    <t xml:space="preserve">Opportunity </t>
  </si>
  <si>
    <t xml:space="preserve">Actions Defined </t>
  </si>
  <si>
    <t>Due Date</t>
  </si>
  <si>
    <t>Progress</t>
  </si>
  <si>
    <t>Empowerment &amp; Enablement</t>
  </si>
  <si>
    <t xml:space="preserve">Create Sponsor Agreement
</t>
  </si>
  <si>
    <t>Complete</t>
  </si>
  <si>
    <t>Plan &amp; Execute Holiday Party</t>
  </si>
  <si>
    <t>Training &amp; Development</t>
  </si>
  <si>
    <t>Identify &amp; enable meaningful training &amp; development opportunities that appear to individuals' interests</t>
  </si>
  <si>
    <t>Business Support Services - CARE (Connect Acknowledge Recognize Execute)</t>
  </si>
  <si>
    <t>Operational Highlights - 8545</t>
  </si>
  <si>
    <t>iCare</t>
  </si>
  <si>
    <t>MunchMail</t>
  </si>
  <si>
    <t>US Open</t>
  </si>
  <si>
    <t>Spurs</t>
  </si>
  <si>
    <t>San Jose Sharks</t>
  </si>
  <si>
    <t>Email Tracker</t>
  </si>
  <si>
    <t>Facilities</t>
  </si>
  <si>
    <t>Ireland</t>
  </si>
  <si>
    <t>Callbacks</t>
  </si>
  <si>
    <r>
      <rPr>
        <b/>
        <sz val="9"/>
        <color rgb="FFFF0000"/>
        <rFont val="Calibri"/>
        <family val="2"/>
        <scheme val="minor"/>
      </rPr>
      <t>BSS</t>
    </r>
    <r>
      <rPr>
        <b/>
        <sz val="9"/>
        <color theme="1"/>
        <rFont val="Calibri"/>
        <family val="2"/>
        <scheme val="minor"/>
      </rPr>
      <t xml:space="preserve"> </t>
    </r>
    <r>
      <rPr>
        <sz val="9"/>
        <color theme="1"/>
        <rFont val="Calibri"/>
        <family val="2"/>
        <scheme val="minor"/>
      </rPr>
      <t>Customer Satisfaction</t>
    </r>
  </si>
  <si>
    <t># of Surveys Completed</t>
  </si>
  <si>
    <t>% - Satisfaction Scores</t>
  </si>
  <si>
    <t>Customer Satisfaction</t>
  </si>
  <si>
    <t>Survey Participation Rate</t>
  </si>
  <si>
    <t>Average Answer Time</t>
  </si>
  <si>
    <r>
      <rPr>
        <b/>
        <sz val="9"/>
        <color rgb="FFFF0000"/>
        <rFont val="Calibri"/>
        <family val="2"/>
        <scheme val="minor"/>
      </rPr>
      <t xml:space="preserve">BSS </t>
    </r>
    <r>
      <rPr>
        <sz val="9"/>
        <color theme="1"/>
        <rFont val="Calibri"/>
        <family val="2"/>
        <scheme val="minor"/>
      </rPr>
      <t>Survey Participation Rate</t>
    </r>
  </si>
  <si>
    <t>Abandonment Rate</t>
  </si>
  <si>
    <t># of Handled Calls and Emails in Thousands</t>
  </si>
  <si>
    <t>Service Level % (60 sec)</t>
  </si>
  <si>
    <t>% of Surveys Taken</t>
  </si>
  <si>
    <r>
      <rPr>
        <b/>
        <sz val="9"/>
        <color rgb="FFFF0000"/>
        <rFont val="Calibri"/>
        <family val="2"/>
        <scheme val="minor"/>
      </rPr>
      <t>BSS</t>
    </r>
    <r>
      <rPr>
        <sz val="9"/>
        <color theme="1"/>
        <rFont val="Calibri"/>
        <family val="2"/>
        <scheme val="minor"/>
      </rPr>
      <t xml:space="preserve"> Average Answer Time</t>
    </r>
  </si>
  <si>
    <r>
      <t xml:space="preserve"># of Incoming Calls </t>
    </r>
    <r>
      <rPr>
        <sz val="9"/>
        <color rgb="FFFF0000"/>
        <rFont val="Calibri"/>
        <family val="2"/>
        <scheme val="minor"/>
      </rPr>
      <t>Handled</t>
    </r>
    <r>
      <rPr>
        <sz val="9"/>
        <color theme="1"/>
        <rFont val="Calibri"/>
        <family val="2"/>
        <scheme val="minor"/>
      </rPr>
      <t xml:space="preserve"> in Thousands</t>
    </r>
  </si>
  <si>
    <t>Average Speed of Answer for Incoming Calls (Team Average)</t>
  </si>
  <si>
    <r>
      <rPr>
        <b/>
        <sz val="9"/>
        <color rgb="FFFF0000"/>
        <rFont val="Calibri"/>
        <family val="2"/>
        <scheme val="minor"/>
      </rPr>
      <t>BSS</t>
    </r>
    <r>
      <rPr>
        <sz val="9"/>
        <color theme="1"/>
        <rFont val="Calibri"/>
        <family val="2"/>
        <scheme val="minor"/>
      </rPr>
      <t xml:space="preserve"> Abandonment Rate </t>
    </r>
  </si>
  <si>
    <r>
      <t xml:space="preserve"># of Incoming Calls </t>
    </r>
    <r>
      <rPr>
        <sz val="9"/>
        <color rgb="FFFF0000"/>
        <rFont val="Calibri"/>
        <family val="2"/>
        <scheme val="minor"/>
      </rPr>
      <t>Offered</t>
    </r>
    <r>
      <rPr>
        <sz val="9"/>
        <color theme="1"/>
        <rFont val="Calibri"/>
        <family val="2"/>
        <scheme val="minor"/>
      </rPr>
      <t xml:space="preserve"> in Thousands</t>
    </r>
  </si>
  <si>
    <t xml:space="preserve">% of Abandoned Calls Received </t>
  </si>
  <si>
    <r>
      <rPr>
        <b/>
        <sz val="9"/>
        <color rgb="FFFF0000"/>
        <rFont val="Calibri"/>
        <family val="2"/>
        <scheme val="minor"/>
      </rPr>
      <t xml:space="preserve">BSS </t>
    </r>
    <r>
      <rPr>
        <sz val="9"/>
        <color theme="1"/>
        <rFont val="Calibri"/>
        <family val="2"/>
        <scheme val="minor"/>
      </rPr>
      <t>% of Calls Answered within Service Level (60 sec)</t>
    </r>
  </si>
  <si>
    <t xml:space="preserve">Abandonment Rate </t>
  </si>
  <si>
    <t>Email Volume Trending</t>
  </si>
  <si>
    <t>Email Volume Broken Down by Workgroup</t>
  </si>
  <si>
    <t>Email Count (In Thousands)</t>
  </si>
  <si>
    <t>Sharks</t>
  </si>
  <si>
    <t>Contact Us</t>
  </si>
  <si>
    <t>Operational Highlights - 8546</t>
  </si>
  <si>
    <t xml:space="preserve">We are scheduled to go live with handling calls for Boeing and Bridgewater in P1 FY23. </t>
  </si>
  <si>
    <t xml:space="preserve">Perform customer service and dispatch services for the Facilities business. We are currently handling calls for the following clients: Ireland, Amcor, ACG, LEGO, FacilityFit Pro, Flowers, KDP, Citizen M Hotels, AB Inbev, My Eye Doctor, Catholic Charities, and Simon Properties. </t>
  </si>
  <si>
    <t>FY20 Actual</t>
  </si>
  <si>
    <t>FY20 KPI</t>
  </si>
  <si>
    <t>FY20 AVG QTD</t>
  </si>
  <si>
    <t>FY19 Goal</t>
  </si>
  <si>
    <t xml:space="preserve">We have one new hire (Windness Jones) who is scheduled to start on 10/17/22. The 11 remaining contact center employees will be transitioned to PC 8545 at the beginning of FY23. </t>
  </si>
  <si>
    <t xml:space="preserve">Forecast will continue to be adjusted in partnership with LOB finance team. </t>
  </si>
  <si>
    <t>KPI Metrics Graphical Analysis: Facilities</t>
  </si>
  <si>
    <t xml:space="preserve">Satisfaction continues to exceed KPI goal. </t>
  </si>
  <si>
    <t>ASA continues to exceed KPI goal.</t>
  </si>
  <si>
    <t>ABR continues to exceed KPI goal.</t>
  </si>
  <si>
    <t>SL continues to exceed KPI goal.</t>
  </si>
  <si>
    <t>Email Volume</t>
  </si>
  <si>
    <t>KPI Metrics Graphical Analysis: Ireland</t>
  </si>
  <si>
    <t>Incoming Calls Handled</t>
  </si>
  <si>
    <t>Incoming Calls Offered</t>
  </si>
  <si>
    <t xml:space="preserve">HR System Operations - Get 'Em Hired </t>
  </si>
  <si>
    <t>HR System Operations</t>
  </si>
  <si>
    <t>SEP FY-20</t>
  </si>
  <si>
    <t>OCT FY-21</t>
  </si>
  <si>
    <t>NOV FY-21</t>
  </si>
  <si>
    <t>DEC FY-21</t>
  </si>
  <si>
    <t>JAN FY-21</t>
  </si>
  <si>
    <t>FEB FY-21</t>
  </si>
  <si>
    <t>MAR FY-21</t>
  </si>
  <si>
    <t>APR FY-21</t>
  </si>
  <si>
    <t>MAY FY-21</t>
  </si>
  <si>
    <t>JUN FY-21</t>
  </si>
  <si>
    <t>JUL FY-21</t>
  </si>
  <si>
    <t>AUG FY-21</t>
  </si>
  <si>
    <t>SEP FY-21</t>
  </si>
  <si>
    <t>Operational Highlights - 7983</t>
  </si>
  <si>
    <t>11,359 cases closed Fiscal October 2020</t>
  </si>
  <si>
    <t>All lines of Business except AUS</t>
  </si>
  <si>
    <t>Maintenance Incident Resolution/EE Updates</t>
  </si>
  <si>
    <t># of  EE Changes/Updates</t>
  </si>
  <si>
    <t>FY21 Actual</t>
  </si>
  <si>
    <t>FY21 Qnty</t>
  </si>
  <si>
    <t>FY21 KPI</t>
  </si>
  <si>
    <t>FY21 AVG QTD</t>
  </si>
  <si>
    <t>FY21 Goal</t>
  </si>
  <si>
    <t>No change in staffing for Fiscal October.</t>
  </si>
  <si>
    <t>FY20</t>
  </si>
  <si>
    <t xml:space="preserve">FY21
Goal </t>
  </si>
  <si>
    <t>FY21</t>
  </si>
  <si>
    <t>Maintenance Incident Resolution/
EE Updates
Days to Resolve</t>
  </si>
  <si>
    <t>In process of combining of HR Ops and myHR Tier 1 team members to provide further support to better process requests in a timely manner.</t>
  </si>
  <si>
    <t>25,902 transactions were processed fiscal October '21, slight decrease over24,000 more transactions over fiscal October 2020. SLA at an acceptable lever, considering the volume.</t>
  </si>
  <si>
    <t xml:space="preserve">Function LED
Project/Scope </t>
  </si>
  <si>
    <t>Training Opportunities</t>
  </si>
  <si>
    <t>Cross-training of Tier 1 responsibilities</t>
  </si>
  <si>
    <t>In process</t>
  </si>
  <si>
    <t>Development Opportunities</t>
  </si>
  <si>
    <t>Departmental restructuring to implement an audit process.</t>
  </si>
  <si>
    <t>Respect &amp; Recognition</t>
  </si>
  <si>
    <t xml:space="preserve">Adjudication - Protect the Brand </t>
  </si>
  <si>
    <t>Operational Highlights - 7982, 7985</t>
  </si>
  <si>
    <t>The team adjudicated 4,515 background checks; 82% standard adjudication checks, 18% DSD background checks. The AVE handle time for SNOW tickets was under a half business day. Checkr went live 7/22; Contingent BG review program ended 7/31</t>
  </si>
  <si>
    <t xml:space="preserve">* All Lines of Business except *AUS internal promotions and transfers. </t>
  </si>
  <si>
    <t># of Tickets in Thousands</t>
  </si>
  <si>
    <t>% of SNow Incidents within SLA</t>
  </si>
  <si>
    <t>There are currently 2 open positions with 7982 and 2 open positions with 7985 that will be actively sourced for after the hiring freeze is over.</t>
  </si>
  <si>
    <t>Incident Resolution
% Meeting Service Level</t>
  </si>
  <si>
    <t xml:space="preserve">Overall volume is still down due to COVID19 related staffing delays in Higher Education, K-12, S&amp;E, and Business Dining. </t>
  </si>
  <si>
    <t>Same Day Initial Review
% Reviewed in 1 Day</t>
  </si>
  <si>
    <t>Overall volume of cases decreased due to new streamlined background check packages as compared to previous fiscal months post-covid.</t>
  </si>
  <si>
    <t># of Days for Background Checks 
(Order to Complete)</t>
  </si>
  <si>
    <t>Slight increase in turnaround time due to COVID-related closures</t>
  </si>
  <si>
    <t>Same Day Initial Review</t>
  </si>
  <si>
    <t># of Days to Complete Entry of New/Re Hire Employee Data 
% Reviewed in 1 Day</t>
  </si>
  <si>
    <t>AVE 132mins/day to process 154 integration errors. 2,829 HCMS records created through Equifax - &gt; HCMS integration</t>
  </si>
  <si>
    <t># of Background Checks in Thousands</t>
  </si>
  <si>
    <t>% of Initial Reviews Completed from True Screen within Same Day</t>
  </si>
  <si>
    <t>Average Handle Days - Background Checks</t>
  </si>
  <si>
    <t xml:space="preserve"># of Background Checks </t>
  </si>
  <si>
    <t xml:space="preserve"># of Days from BG Check Order to Completion </t>
  </si>
  <si>
    <t>Integration Mystaffing Hires</t>
  </si>
  <si>
    <t># Mystaffing Hires/rehires</t>
  </si>
  <si>
    <t xml:space="preserve"># of Days to Complete Entry of New/Re Hire Employee Data </t>
  </si>
  <si>
    <t>UPMC Provisional hire of externals</t>
  </si>
  <si>
    <t>The support for this account is in the sixth month.</t>
  </si>
  <si>
    <t>Ongoing monitoring of an additional new hires. * Client recently ceased PH, re-negotiating onboarding procedure</t>
  </si>
  <si>
    <t>Not meeting staffing demands</t>
  </si>
  <si>
    <t>Indefinite</t>
  </si>
  <si>
    <t>Project</t>
  </si>
  <si>
    <t>Paused</t>
  </si>
  <si>
    <t>Training and Development</t>
  </si>
  <si>
    <t>More interactive training, more job shadowing with other departments</t>
  </si>
  <si>
    <t>On-Going</t>
  </si>
  <si>
    <t>*Both HR Ops Integration and Contingent Labor team continue own the provisional hire pilot. Multiple shadowing opportunities have been set up between myHR, HR Ops and Adjudication.</t>
  </si>
  <si>
    <t>Employee of the month GBS initiative, monthly recognition in team meetings</t>
  </si>
  <si>
    <t xml:space="preserve">*Celebrated team birthdays; * Multiple team members received Encore! Encore! Recognition from various business partners. </t>
  </si>
  <si>
    <t>Engagement</t>
  </si>
  <si>
    <t>Monthly team engagement activities</t>
  </si>
  <si>
    <t xml:space="preserve">**Working with the rest of TA operations to create a broad engagement team that encompasses all of TA. Continue to hold video calls between team members and engagement activities to keep remote employees engaged. </t>
  </si>
  <si>
    <t>MyHR Tier 1</t>
  </si>
  <si>
    <t>Operational Highlights - 10200</t>
  </si>
  <si>
    <t>Centralized response to UI claim requests, team is now responding to involuntary termination requests. Team has been key in fielding and responding to UI inquiries from the field.</t>
  </si>
  <si>
    <t xml:space="preserve">Customer Satisfaction Score </t>
  </si>
  <si>
    <t>% of Favorable Customer Satisfaction Scores</t>
  </si>
  <si>
    <t>Provided customer service sessions and instructed to encourage participation in survey completion.</t>
  </si>
  <si>
    <t>Continue to monitor phone volumes and agent availability to maintain answer time.</t>
  </si>
  <si>
    <t>Decrease time off the phone across-the-board, more agents available at any given time.</t>
  </si>
  <si>
    <t>Below the goal; however, we encourage team members to address the issue at hand while on the phone, to listen and be empathetic with the caller, to stay on the line until all is address, regardless of time.</t>
  </si>
  <si>
    <r>
      <t xml:space="preserve"># of Incoming Calls </t>
    </r>
    <r>
      <rPr>
        <sz val="11"/>
        <color rgb="FFFF0000"/>
        <rFont val="Calibri"/>
        <family val="2"/>
        <scheme val="minor"/>
      </rPr>
      <t>Handled</t>
    </r>
    <r>
      <rPr>
        <sz val="11"/>
        <color theme="1"/>
        <rFont val="Calibri"/>
        <family val="2"/>
        <scheme val="minor"/>
      </rPr>
      <t xml:space="preserve"> in Thousands</t>
    </r>
  </si>
  <si>
    <t>Increased encouragement in survey participation to increase percentage.</t>
  </si>
  <si>
    <t>Volume down considerably due to COVID19 furloughs, driving the cost up. Expect to bring this down considerably over the coming months going into CY21.</t>
  </si>
  <si>
    <r>
      <t xml:space="preserve"># of Incoming Calls </t>
    </r>
    <r>
      <rPr>
        <sz val="11"/>
        <color rgb="FFFF0000"/>
        <rFont val="Calibri"/>
        <family val="2"/>
        <scheme val="minor"/>
      </rPr>
      <t>Offered</t>
    </r>
    <r>
      <rPr>
        <sz val="11"/>
        <color theme="1"/>
        <rFont val="Calibri"/>
        <family val="2"/>
        <scheme val="minor"/>
      </rPr>
      <t xml:space="preserve"> in Thousands</t>
    </r>
  </si>
  <si>
    <t>% of Abandoned Calls Received</t>
  </si>
  <si>
    <t>Customer service sessions provided to agents to increase overall field satisfaction and urged to encourage survey participation.</t>
  </si>
  <si>
    <t>Average Length of Active Call Time per Agent  (Team Average)</t>
  </si>
  <si>
    <t># of Handled Calls in Thousands</t>
  </si>
  <si>
    <t>Agents to regularly encourange participation in survey completion.</t>
  </si>
  <si>
    <t>Cost Per Contact</t>
  </si>
  <si>
    <t># of Handled Calls/Email in Thousands</t>
  </si>
  <si>
    <t>Cost Per Call</t>
  </si>
  <si>
    <t>No active PMO led projects at this time.</t>
  </si>
  <si>
    <t>No active function led projects at this time.</t>
  </si>
  <si>
    <t xml:space="preserve">Salaried Candidate Care - Seal the Deal </t>
  </si>
  <si>
    <t>Operational Highlights - 10201</t>
  </si>
  <si>
    <t>Closed 1407 Service Now cases for the month. Created 337 offer packets. Volume of offer packets have declined due to COVID.</t>
  </si>
  <si>
    <t>*Supports hiring managers, Talent Acquisition, and candidates
*Supports the hiring process for salaried candidates via pre-boarding offer related activities for Campus Recruiting and all US LOBs except AUS</t>
  </si>
  <si>
    <t>Offer Letters Issued Timely</t>
  </si>
  <si>
    <t xml:space="preserve"># of Offer Letters Created </t>
  </si>
  <si>
    <t># of Days to Create Offer Letter for Approval to Sending Offer Packet to Candidate</t>
  </si>
  <si>
    <t>Anjel Rosenthal termed 10/16/20</t>
  </si>
  <si>
    <t>Offer Letters Issued Timely
# of Days</t>
  </si>
  <si>
    <t>Decrease in volume as compared to FY19 due to COVID19.</t>
  </si>
  <si>
    <t>Pre-Boarding Activities
# of Days</t>
  </si>
  <si>
    <t xml:space="preserve">Decrease in pre-boarding activities KPI due to 90% of candidates taking action on packets within 3 days and a slight increase in volume (quantity) from previous month. </t>
  </si>
  <si>
    <t xml:space="preserve">Pre-Boarding Activities </t>
  </si>
  <si>
    <t># of Background Checks</t>
  </si>
  <si>
    <t xml:space="preserve"># of Days to Deliver Offer Packet to Initiation of the BG Check </t>
  </si>
  <si>
    <t>1. Training and coaching on how do you take charge of your development
2. Ongoing development opportunities available such as engagement committee, training committee, TA
collaboration committee, etc.                         3.  Upkeep T&amp;D material</t>
  </si>
  <si>
    <t>Ongoing</t>
  </si>
  <si>
    <t>In Progress</t>
  </si>
  <si>
    <t>1. Planning potential site visits  2. Identifying team members interest and capacity for  selected committees  3. Selecting two members to manage training materials  4. Team to create FAQs and email templates to streamline communication</t>
  </si>
  <si>
    <t>Employee Enablement</t>
  </si>
  <si>
    <t xml:space="preserve">1. Better use of knowledge, skills and abilities - survey of experience and skills prior to starting new projects or tasks
2. Support of recruiters and build relationship with other departments in TA/HR </t>
  </si>
  <si>
    <t>1. 1 on 1 discussions to identify KSAs  2. Keep team up to speed with any projects and new initiatives 2. Identify opportunities for team to support GBS recruiter with events</t>
  </si>
  <si>
    <t>Confidence in Leaders</t>
  </si>
  <si>
    <t>1. Implementation of consistent, cadenced communication
2. Piloting, testing, and feedback sessions of new processes and tasks before rolling them out to the full team</t>
  </si>
  <si>
    <t>1. Deliver planned communication of changes to team considering sensitivity of information  2. Equip team with support and tools to manage change 3. Enlist team members to work on new processes to identify SMEs</t>
  </si>
  <si>
    <t>Operational Highlights</t>
  </si>
  <si>
    <t>Customer Satisfaction
% of Favorable Surveys</t>
  </si>
  <si>
    <t>Average Answer Time
H:MM:SS</t>
  </si>
  <si>
    <t>Abandonment Rate
% of Calls Abandoned</t>
  </si>
  <si>
    <t>Inbound Email Efficiency
% Handled in 1 Business Day</t>
  </si>
  <si>
    <t>Inbound Email Efficiency</t>
  </si>
  <si>
    <t># of emails handled by PSCC in thousands</t>
  </si>
  <si>
    <t>Email Incidents resolved/escalated for resolution within 1 business day</t>
  </si>
  <si>
    <t>Human Resources Operation</t>
  </si>
  <si>
    <t>Average Service Score</t>
  </si>
  <si>
    <t>GBS Human Resources</t>
  </si>
  <si>
    <t>HR Sys Ops</t>
  </si>
  <si>
    <t>MyHR Tier 1 &amp; 2</t>
  </si>
  <si>
    <t>Closed Cases</t>
  </si>
  <si>
    <t>Incoming Calls  Handled</t>
  </si>
  <si>
    <t>Incoming Calls  Offered</t>
  </si>
  <si>
    <t>Service Level Agreement (Days)</t>
  </si>
  <si>
    <t>Average Speed of Answer (H:MM:SS)</t>
  </si>
  <si>
    <t>% of Calls Abandoned</t>
  </si>
  <si>
    <t>% of initial reviews completed from Chckr within same day</t>
  </si>
  <si>
    <t>Average # of days for background checks (Order to Complete)</t>
  </si>
  <si>
    <t>MYHR</t>
  </si>
  <si>
    <t>Hourly Talent Acquisition</t>
  </si>
  <si>
    <t xml:space="preserve">       Monthly Operations Review </t>
  </si>
  <si>
    <t>Operational Highlights - 7986</t>
  </si>
  <si>
    <t>Number of Hourly openings have remained around 6000 for this month. With the fluctuation of account openings and closures, the coordinators have been assigned to multiple special projects (ie: Calling candidates interested in our Leisure LOB, supporting the building of our Alumni talent pool, Facebook comment support, supporting skilltrade virtual hiring events, Allie support and more). We now have sight into hires that are a result of our candidate matching activity-- with 98 hires for October. Our hiring strategy has shifted to focus heavily on supporting K-12 accounts and soon to be Higher Education accounts. Lastly, we have continued to partner with TA Operations to shift "tier 1" activities to the contact center.</t>
  </si>
  <si>
    <t>*Supports the recruiting, talent pipelining, screening and presentation of hourly candidates for all LOBs except AUS and Refreshments 
*Coordinator focuses on screening and presentation of hourly candidates-- in addition to proactive sourcing activities and SNOW ticket management. Sourcing Specialist team focuses on the reactive attraction of candidates to open roles in the Hourly and SNE space.</t>
  </si>
  <si>
    <t xml:space="preserve">No change in headcount for this month. </t>
  </si>
  <si>
    <t>Budget is charged out to 000010407</t>
  </si>
  <si>
    <t>FY17</t>
  </si>
  <si>
    <t xml:space="preserve">FY18
Goal </t>
  </si>
  <si>
    <t>FY18</t>
  </si>
  <si>
    <t>FY17 Actual</t>
  </si>
  <si>
    <t>FY18 Actual</t>
  </si>
  <si>
    <t>FY17 KPI</t>
  </si>
  <si>
    <t>FY17 AVG QTD</t>
  </si>
  <si>
    <t>FY17 Goal</t>
  </si>
  <si>
    <t>FY18 Qnty</t>
  </si>
  <si>
    <t>FY18 KPI</t>
  </si>
  <si>
    <t>FY18 AVG QTD</t>
  </si>
  <si>
    <t>FY18 Goal</t>
  </si>
  <si>
    <t xml:space="preserve">GM 
Agenda </t>
  </si>
  <si>
    <t>Potential Metrics Under Review:</t>
  </si>
  <si>
    <t>Sourcing Metrics
·        # of Candidates Added to Talent Pools
·        # of Sourced Applicants
·        # of Sourced Hires
·        Time to Source
Coordinator Metrics
·        Time to Screen
         A.     Experienced Required Roles: Hourly Portal to Pending HM Presentation
         B.     No Experienced Required Roles: Hourly Portal to Pending HM Presentation
·        SNOW Ticket Response Times
·        Time to Offer
·        Candidates Matched to new Requisitions</t>
  </si>
  <si>
    <t>Operational Highlights - 18803</t>
  </si>
  <si>
    <r>
      <t xml:space="preserve">This team represents the standardized, operational processes within TA and consists of HRA's from Adjudication, Hourly Candidate Care members from SCCT/HHST, HCMS Integration members from HR OPS, and Interns from HRT.  </t>
    </r>
    <r>
      <rPr>
        <b/>
        <sz val="9"/>
        <rFont val="Arial"/>
        <family val="2"/>
      </rPr>
      <t>Completed 13,910 iCIMS/I3/SNOW transactions with a 97%SLA</t>
    </r>
  </si>
  <si>
    <t>Low risk background checks, iCIMS manual push reports, HCMS integration errors &amp; labor conversion, &amp; posting and approving job requisitions</t>
  </si>
  <si>
    <t xml:space="preserve"> 5 open positions to be filled after the COVID19/hiring freeze - 1 person hired on 9/28</t>
  </si>
  <si>
    <t>FY19</t>
  </si>
  <si>
    <t xml:space="preserve">FY20
Goal </t>
  </si>
  <si>
    <t>FY19 KPI</t>
  </si>
  <si>
    <t>FY19 AVG QTD</t>
  </si>
  <si>
    <t>FY20 Qnty</t>
  </si>
  <si>
    <t>FY20 Goal</t>
  </si>
  <si>
    <t>FY19 Actual</t>
  </si>
  <si>
    <t># of Tickets (in thousands)</t>
  </si>
  <si>
    <t>% of SNOW tickets within SLA</t>
  </si>
  <si>
    <t xml:space="preserve"> MyStaffing Contact Center</t>
  </si>
  <si>
    <t>Operational Highlights - 18804</t>
  </si>
  <si>
    <r>
      <t xml:space="preserve">This team represents our commitment to provide in-depth customer service to our field and internal business partners throughout the onboarding workflow. This team consists of new customer service employees, new ALLIE/AI support employees, and Data Entry Clerks from the Adjudication Team. Team went live 4/20/2020. </t>
    </r>
    <r>
      <rPr>
        <b/>
        <sz val="9"/>
        <rFont val="Arial"/>
        <family val="2"/>
      </rPr>
      <t>Completed 10,743 calls/SNOW tickets in October 2020 with a 98% SLA</t>
    </r>
  </si>
  <si>
    <t xml:space="preserve">Inquiries into new hire statuses, high-level pre-offer processes, in-depth post-offer process, as well as offering training and resource guides to field partners </t>
  </si>
  <si>
    <t>Average Answer Rate</t>
  </si>
  <si>
    <t># of incoming calls (in thousands)</t>
  </si>
  <si>
    <t>Average Speed of Answer for Incoming Calls</t>
  </si>
  <si>
    <t>3 open positions to be filled after COVID19/hiring freeze - 1 new hire on 9/28</t>
  </si>
  <si>
    <t>TS TATs are remaining consistent and comparable to last FM and last FY.</t>
  </si>
  <si>
    <t>Sterling Transition</t>
  </si>
  <si>
    <t>% of Abandoned Calls</t>
  </si>
  <si>
    <t>Vendor Control including new vendor setups &amp; vendor record maintenance
Field Invoice: manual processing of a variety of field and overhead invoices
Banking: manage payment cycles &amp; execute pay runs
Audit Recovery: duplicate invoice recovery &amp; bank statement reviews
marketPRO: supporting P2P project focused on IFC, exceptions manual entry of pre-deployment invoices</t>
  </si>
  <si>
    <t>OCT FY-24</t>
  </si>
  <si>
    <t>NOV FY-24</t>
  </si>
  <si>
    <t>DEC FY-24</t>
  </si>
  <si>
    <t>JAN FY-24</t>
  </si>
  <si>
    <t>FEB FY-24</t>
  </si>
  <si>
    <t>MAR FY-24</t>
  </si>
  <si>
    <t>APR FY-24</t>
  </si>
  <si>
    <t>MAY FY-24</t>
  </si>
  <si>
    <t>JUN FY-24</t>
  </si>
  <si>
    <t>JUL FY-24</t>
  </si>
  <si>
    <t>AUG FY-24</t>
  </si>
  <si>
    <t>SEP FY-24</t>
  </si>
  <si>
    <t>FY-24 Total</t>
  </si>
  <si>
    <t>Annualized Turnover (FY24)</t>
  </si>
  <si>
    <t>FY24</t>
  </si>
  <si>
    <t xml:space="preserve">FY24
Goal </t>
  </si>
  <si>
    <t>`</t>
  </si>
  <si>
    <t>FY24 Qnty</t>
  </si>
  <si>
    <t>FY24 KPI</t>
  </si>
  <si>
    <t>FY24 AVG QTD</t>
  </si>
  <si>
    <t>FY24 Goal</t>
  </si>
  <si>
    <t>FY24 Actual</t>
  </si>
  <si>
    <t>Cost Per Invoice</t>
  </si>
  <si>
    <t xml:space="preserve">Cost Per Payment Processed </t>
  </si>
  <si>
    <t>Cost per Vendor Setup</t>
  </si>
  <si>
    <t>AP Invoice Entry - Incident Resolution
(SLA 5 Days)</t>
  </si>
  <si>
    <t>AP Banking - Incident Resolution
(SLA 5 Days)</t>
  </si>
  <si>
    <t>AP Vendor Control - Incident Resolution
(SLA 5 Days)</t>
  </si>
  <si>
    <t>Labor Cost</t>
  </si>
  <si>
    <t>marketPRO</t>
  </si>
  <si>
    <t>M4A</t>
  </si>
  <si>
    <t>Manual</t>
  </si>
  <si>
    <t># of Vendor Setups (Proxy, Manual, VAR, myVendor)</t>
  </si>
  <si>
    <t>Recovered</t>
  </si>
  <si>
    <t>Audit Recovery Volume</t>
  </si>
  <si>
    <t>AP Invoice Entry SLA  (SLA 5 days)</t>
  </si>
  <si>
    <t>AP Banking Incident Resolution - SLA 5 Days</t>
  </si>
  <si>
    <t>AP Vendor Control Incident Resolution - SLA 5 Days</t>
  </si>
  <si>
    <t># Of Incidents resolved within 5 day SLA</t>
  </si>
  <si>
    <r>
      <rPr>
        <b/>
        <sz val="9"/>
        <rFont val="Calibri"/>
        <family val="2"/>
        <scheme val="minor"/>
      </rPr>
      <t>96.20%</t>
    </r>
    <r>
      <rPr>
        <sz val="9"/>
        <rFont val="Calibri"/>
        <family val="2"/>
        <scheme val="minor"/>
      </rPr>
      <t xml:space="preserve"> Direct Deposit. </t>
    </r>
    <r>
      <rPr>
        <b/>
        <sz val="9"/>
        <rFont val="Calibri"/>
        <family val="2"/>
        <scheme val="minor"/>
      </rPr>
      <t>122,699</t>
    </r>
    <r>
      <rPr>
        <sz val="9"/>
        <rFont val="Calibri"/>
        <family val="2"/>
        <scheme val="minor"/>
      </rPr>
      <t xml:space="preserve"> Employees Paid; </t>
    </r>
    <r>
      <rPr>
        <b/>
        <sz val="9"/>
        <rFont val="Calibri"/>
        <family val="2"/>
        <scheme val="minor"/>
      </rPr>
      <t>1,407</t>
    </r>
    <r>
      <rPr>
        <sz val="9"/>
        <rFont val="Calibri"/>
        <family val="2"/>
        <scheme val="minor"/>
      </rPr>
      <t xml:space="preserve"> myPay Pay Requests; Processed a total of</t>
    </r>
    <r>
      <rPr>
        <b/>
        <sz val="9"/>
        <rFont val="Calibri"/>
        <family val="2"/>
        <scheme val="minor"/>
      </rPr>
      <t xml:space="preserve"> 170 </t>
    </r>
    <r>
      <rPr>
        <sz val="9"/>
        <rFont val="Calibri"/>
        <family val="2"/>
        <scheme val="minor"/>
      </rPr>
      <t>payrolls &amp;</t>
    </r>
    <r>
      <rPr>
        <b/>
        <sz val="9"/>
        <rFont val="Calibri"/>
        <family val="2"/>
        <scheme val="minor"/>
      </rPr>
      <t xml:space="preserve"> 994</t>
    </r>
    <r>
      <rPr>
        <sz val="9"/>
        <rFont val="Calibri"/>
        <family val="2"/>
        <scheme val="minor"/>
      </rPr>
      <t xml:space="preserve"> off-cycle direct deposits -  Total pays processed this period </t>
    </r>
    <r>
      <rPr>
        <b/>
        <sz val="9"/>
        <rFont val="Calibri"/>
        <family val="2"/>
        <scheme val="minor"/>
      </rPr>
      <t>297,261</t>
    </r>
    <r>
      <rPr>
        <sz val="9"/>
        <rFont val="Calibri"/>
        <family val="2"/>
        <scheme val="minor"/>
      </rPr>
      <t xml:space="preserve">. </t>
    </r>
    <r>
      <rPr>
        <b/>
        <sz val="9"/>
        <rFont val="Calibri"/>
        <family val="2"/>
        <scheme val="minor"/>
      </rPr>
      <t xml:space="preserve">6.62% </t>
    </r>
    <r>
      <rPr>
        <sz val="9"/>
        <rFont val="Calibri"/>
        <family val="2"/>
        <scheme val="minor"/>
      </rPr>
      <t>of the Aramark population are Wisely Pay cardholders. Ongoing strategy will help us keep at over 95% electronic consistently.</t>
    </r>
  </si>
  <si>
    <r>
      <rPr>
        <b/>
        <sz val="7"/>
        <color rgb="FF7030A0"/>
        <rFont val="Calibri Light"/>
        <family val="2"/>
        <scheme val="major"/>
      </rPr>
      <t xml:space="preserve">Offers Accepted:
</t>
    </r>
    <r>
      <rPr>
        <b/>
        <sz val="7"/>
        <rFont val="Calibri Light"/>
        <family val="2"/>
        <scheme val="major"/>
      </rPr>
      <t xml:space="preserve">• Payroll Tax Manager
</t>
    </r>
    <r>
      <rPr>
        <b/>
        <sz val="7"/>
        <color rgb="FF7030A0"/>
        <rFont val="Calibri Light"/>
        <family val="2"/>
        <scheme val="major"/>
      </rPr>
      <t xml:space="preserve">
Employees termed during the fiscal month: </t>
    </r>
    <r>
      <rPr>
        <b/>
        <sz val="7"/>
        <rFont val="Calibri Light"/>
        <family val="2"/>
        <scheme val="major"/>
      </rPr>
      <t xml:space="preserve">
• Amber Hart - 10/18/2023</t>
    </r>
  </si>
  <si>
    <t>We are fully staffed</t>
  </si>
  <si>
    <t xml:space="preserve">We processed a total of 297,261 transactions which is approximately 62,000 less payments processed than previous month. Additionally, the labor cost reduced by approximately $54K. The proportionate decrease in the number of payments and the cost of labor led to the cost per payment to be status quo at $0.85 per payment. </t>
  </si>
  <si>
    <t>We resolved a total of 1,379 REQs out of 1,407 REQs received. Corrective measures have been implemented to ensure that every request is worked in a timely and accurate manner.</t>
  </si>
  <si>
    <t>The Team has been working diligently to service the tickets. We resolved 100% of 827 tickets received.</t>
  </si>
  <si>
    <t>One open position, new hire starting in Nov. Geetika Goyal transfered in from Canada in October so once fully staffed we will actually be over budget by 1  head</t>
  </si>
  <si>
    <t>Self Reported</t>
  </si>
  <si>
    <t>Cost per entry down versus prior month due September being a 5 week period.  Down versus prior year due to us not being fully staffed in FY24 but we were in FY23</t>
  </si>
  <si>
    <t>100% prepared and reviewed</t>
  </si>
  <si>
    <t xml:space="preserve">1 Open Accountant Role </t>
  </si>
  <si>
    <t>The Morton Arboretum ($2M), investment for White Pine, amortized upon completion of construction. Expected completion is APR  FY24. LMG Time Device Cost ($715K), costs for timeclocks that are capitalized as deployed. No activity for 4 months. Togwotee - Jackson Operations ($285K), snowmobiles not yet in service. Estimated in service date is DEC FY24. Removing all these CIP balances, the balance would be 1.96%</t>
  </si>
  <si>
    <t xml:space="preserve">Stale CIP balance </t>
  </si>
  <si>
    <t xml:space="preserve">CER's completed under 3 days </t>
  </si>
  <si>
    <t>Total of 3,684 transactions for OCT FY24</t>
  </si>
  <si>
    <t>Success in meeting Blackline goal</t>
  </si>
  <si>
    <t xml:space="preserve">Overall CIP increased due to large projects in Leisure &amp; Collegiate Hospitality </t>
  </si>
  <si>
    <t>Increase in  volume compared to prior year</t>
  </si>
  <si>
    <t>Increased reconciliation due to the addition of Franchise Fees &amp; Year End Accruals</t>
  </si>
  <si>
    <t>One reconciler role open.  Backfilled in NOV.</t>
  </si>
  <si>
    <t>Successfully met KPI</t>
  </si>
  <si>
    <t>Cost stable compared to prior month.</t>
  </si>
  <si>
    <t>Total Dollars $</t>
  </si>
  <si>
    <t>AP Approvals</t>
  </si>
  <si>
    <t>The total P1 call volume increased by 13.7% vPY. Calls handled do not include an additional 434 callbacks, each completed within an average time of 01:20 minutes.</t>
  </si>
  <si>
    <t xml:space="preserve">Provide Tier 1  Inbound Phone/Email Support for US and Canada FSS &amp; US Refreshment Services Payroll, Corporate/P-Card, Concur, AP Queries, &amp; HQ Concierge.  </t>
  </si>
  <si>
    <t>Strategic outlier management practices along with regular one-on-one coaching sessions were pivotal in driving significant sustained improvements.</t>
  </si>
  <si>
    <t>Our KPIs consistently surpass our established goals, reflecting our ongoing success. This accomplishment can be attributed to the continuous optimization of our Payment Services agents, who skillfully handle Business Support calls and other tasks throughout our contact center.</t>
  </si>
  <si>
    <t xml:space="preserve">Continuing to exceed expectations with sustained performance is contributed to consistent employee development and accountability efforts for their performance.  </t>
  </si>
  <si>
    <t xml:space="preserve">P1 call volume decreased by 3.8% overall compared to PY, while seeing an 8.5% increase in facilities volume vPY. Among iCare calls, 62% were service-related and 38% were sales-related. S&amp;E metrics exclude USO and Spurs web messenger volume. Messenger support saw 78 chats offered, with an ASA of 0:41 and a 5.1% abandonment rate. Ireland metrics, 1847 outbound Genesys email dispatch requests were excluded. A successful migration from Pureconnect to Genesys Cloud (Telephony) took place on 10/24/23. At the time of the migration, there was no disruption in service and support to our clients. </t>
  </si>
  <si>
    <t xml:space="preserve">* Handle sales and customer service phone/email support for Corrections iCare Gift Services program
* Handle customer email inquiries from the Contact Us page on Aramark.com
* Handle sales and customer service phone/email support for S&amp;E USTA US Open Shop, Spurs Fan Shop, and Sharks Pro Shop
* Handle maintenance dispatch requests and customer service phone/email support for the Facilities Management program
* Handle hotel reservations for Bridgewater Associates </t>
  </si>
  <si>
    <r>
      <t>Active HC -</t>
    </r>
    <r>
      <rPr>
        <sz val="9"/>
        <color rgb="FF000000"/>
        <rFont val="Calibri"/>
        <family val="2"/>
      </rPr>
      <t xml:space="preserve"> 63 (58 FT, 5 PT),</t>
    </r>
    <r>
      <rPr>
        <b/>
        <sz val="9"/>
        <color rgb="FF000000"/>
        <rFont val="Calibri"/>
        <family val="2"/>
      </rPr>
      <t xml:space="preserve"> Equivalent of 60.5 FTEs. Open Roles - 2 (2 FT)  
Hires - </t>
    </r>
    <r>
      <rPr>
        <sz val="9"/>
        <color rgb="FF000000"/>
        <rFont val="Calibri"/>
        <family val="2"/>
      </rPr>
      <t xml:space="preserve">11 (Adariel Hunter , Andrea Robinson, Angela Daily, Brayanne Ford , Diana Garrido, Jamila Dennis, Janet Edmondson, Kellie Whetsell, Madeline Rivera, Tyara Moore, Yvonne Woods) </t>
    </r>
    <r>
      <rPr>
        <b/>
        <sz val="9"/>
        <color rgb="FF000000"/>
        <rFont val="Calibri"/>
        <family val="2"/>
      </rPr>
      <t xml:space="preserve">
Terms - </t>
    </r>
    <r>
      <rPr>
        <sz val="9"/>
        <color rgb="FF000000"/>
        <rFont val="Calibri"/>
        <family val="2"/>
      </rPr>
      <t xml:space="preserve">3 (Andrea Robinson, Brayanne Ford, Yvonne Woods) </t>
    </r>
    <r>
      <rPr>
        <b/>
        <sz val="9"/>
        <color rgb="FF000000"/>
        <rFont val="Calibri"/>
        <family val="2"/>
      </rPr>
      <t xml:space="preserve">
LOA – In – </t>
    </r>
    <r>
      <rPr>
        <sz val="9"/>
        <color rgb="FF000000"/>
        <rFont val="Calibri"/>
        <family val="2"/>
      </rPr>
      <t>0</t>
    </r>
    <r>
      <rPr>
        <b/>
        <sz val="9"/>
        <color rgb="FF000000"/>
        <rFont val="Calibri"/>
        <family val="2"/>
      </rPr>
      <t xml:space="preserve"> 
LOA - Out  - </t>
    </r>
    <r>
      <rPr>
        <sz val="9"/>
        <color rgb="FF000000"/>
        <rFont val="Calibri"/>
        <family val="2"/>
      </rPr>
      <t>1  (Sabrina Perdue)</t>
    </r>
  </si>
  <si>
    <t>Our ongoing success in surpassing KPIs is attributed to continuous training, reduced handle time, improved agent expertise, and ongoing coaching for underperforming agents.</t>
  </si>
  <si>
    <t>Following the Genesys migration from PureConnect to Genesys Cloud, the satisfaction time frame spans from September 30th to October 23rd, 2023. There were 4 days worth of survey data only (from 10/24-10/28) due to system testing and reporting issues. Performance consistently exceeds the set KPI's.</t>
  </si>
  <si>
    <t>Following the Genesys migration from PureConnect to Genesys Cloud, the participation time frame spans from September 30th to October 23rd, 2023. There were 4 days worth of survey data only (from 10/24-10/28) due to system testing and reporting issues. Performance consistently exceeds the set KPI's.</t>
  </si>
  <si>
    <t>The total number of calls handled excludes 1,767 completed callbacks. These callbacks were resolved with an average completion time of 3 minutes and 58 seconds.</t>
  </si>
  <si>
    <t>Sustained efforts in identifying knowledge gaps aim to enhance call handling efficiency, decrease average handle time, and uphold a positive customer experience.</t>
  </si>
  <si>
    <t>Efforts dedicated to schedule optimization consistently yield results that exceed service level standards.</t>
  </si>
  <si>
    <t>Missed KPI, a result of: 1) Catching up from EOY volume 2) Training new hires</t>
  </si>
  <si>
    <t>Missed KPI, a result of: 1) Catching up from EOY Snow queue volume 2) Training new hires</t>
  </si>
  <si>
    <t>Cost per manual receipt is in line with prior year.</t>
  </si>
  <si>
    <t>Cost per SNow request is in line with prior year.</t>
  </si>
  <si>
    <t>Audit Recovery Rate</t>
  </si>
  <si>
    <t>Recovered $</t>
  </si>
  <si>
    <t>Prevented $</t>
  </si>
  <si>
    <t>Active</t>
  </si>
  <si>
    <t>FY24 metrics will include additional activity that was previously not captured; change in SLAs to standardize service across the department along with new metrics for Audit Recovery activity. 
Field Invoice activity decreased as Destinations begins to wind down for the season; myVendor saw 718 new vendor set-ups which also signals peak season tailing off; finally Banking is back to normal pay run cycles.</t>
  </si>
  <si>
    <t>Headcount flat to prior period</t>
  </si>
  <si>
    <t>CHANGE in SLA (added 3 days)  to accurately reflect process &amp; special handling requirements across the department
GOAL remains at 90%; will monitor &amp; adjust goal (increase) to ensure we are providing swift service to our businesses
Met goal this period</t>
  </si>
  <si>
    <t>CHANGE in SLA (added 1 day) to accurately reflect process &amp; special handling requirements across the department
GOAL remains at 90%; will monitor &amp; adjust goal (increase) to ensure we are providing swift service to our businesses
Missed goal this period; primary incident resolution resource was on extended vacation; discovered gap in ticket resolution; incident resolution training across entire team underway to cover future gaps</t>
  </si>
  <si>
    <t xml:space="preserve">NEW Goal established; Beginning in FY24 AP is using a cost calculator, resource allocation formula to accurately capture cost per metric; Overall vendor set-up volume decreased from prior period as we are exiting peak season; AP12 (1875 vendor deactivations) added to Manual volume count. </t>
  </si>
  <si>
    <t>CHANGE in SLA (reduced 5 days) to accurately reflect process &amp; special handling requirements across the department
GOAL remains at 90%; will monitor &amp; adjust goal (increase) to ensure we are providing swift service to our businesses
Missed goal this period, directly related to cutting SLA in half from previous months; volume still relatively high with opportunity to have improved Tier 1 resolution; weekly calls continue with PS CC seeking those improvements</t>
  </si>
  <si>
    <t xml:space="preserve">NEW KPI; designed to track effectiveness of team in recovering credit from total identified overpayments or duplicate payments within the period. Goal was created from average of past year performance. 
Exceeded goal for this period is a result of 2 FTE resources focused solely on this process as compared to previous periods. </t>
  </si>
  <si>
    <t>Variance in prior period/year metric directly related to how this KPI was calculated previously; beginning in FY24 AP is using a cost calculator, resource allocation formula to accurately capture cost per metric. Prior reporting also included manager/director salary and did not take into account other tasks related to payment processing. We will potentially adjust the goal within the FY.</t>
  </si>
  <si>
    <t xml:space="preserve">Similar graph as to prior MOR with adjustments to focus on recovered vs prevented success. This data will enable us to montor progress toward shifting from reactive (recovery) to preventing "suspect" payments from processing. </t>
  </si>
  <si>
    <t>Missing one non-BAI bank statement.  4 statements were incomplete due to bank conversion.</t>
  </si>
  <si>
    <t>Increase in volume due to including M4A and marketPRO invoices processed (i.e. exceptions) during the period. These counts are now included in the total invoice count for the first time directly contributing to the lower CPI providing a more accurate KPI.
Variance in prior period/year performance directly related to how this KPI was calculated; beginning in FY24 AP is using a cost calculator, resource allocation formula to accurately capture cost per metric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</si>
</sst>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7">
    <numFmt numFmtId="7" formatCode="&quot;$&quot;#,##0.00_);\(&quot;$&quot;#,##0.00\)"/>
    <numFmt numFmtId="8" formatCode="&quot;$&quot;#,##0.00_);[Red]\(&quot;$&quot;#,##0.00\)"/>
    <numFmt numFmtId="41" formatCode="_(* #,##0_);_(* \(#,##0\);_(* &quot;-&quot;_);_(@_)"/>
    <numFmt numFmtId="44" formatCode="_(&quot;$&quot;* #,##0.00_);_(&quot;$&quot;* \(#,##0.00\);_(&quot;$&quot;* &quot;-&quot;??_);_(@_)"/>
    <numFmt numFmtId="43" formatCode="_(* #,##0.00_);_(* \(#,##0.00\);_(* &quot;-&quot;??_);_(@_)"/>
    <numFmt numFmtId="164" formatCode="0.0%"/>
    <numFmt numFmtId="165" formatCode="_(* #,##0_);_(* \(#,##0\);_(* &quot;-&quot;??_);_(@_)"/>
    <numFmt numFmtId="166" formatCode="&quot;$&quot;#,##0.00"/>
    <numFmt numFmtId="167" formatCode="[$-F800]dddd\,\ mmmm\ dd\,\ yyyy"/>
    <numFmt numFmtId="168" formatCode="#,##0;[Red]#,##0"/>
    <numFmt numFmtId="169" formatCode="0.0"/>
    <numFmt numFmtId="170" formatCode="h:mm;@"/>
    <numFmt numFmtId="171" formatCode="h:mm:ss;@"/>
    <numFmt numFmtId="172" formatCode="_(&quot;$&quot;* #,##0_);_(&quot;$&quot;* \(#,##0\);_(&quot;$&quot;* &quot;-&quot;??_);_(@_)"/>
    <numFmt numFmtId="173" formatCode="0.0000000"/>
    <numFmt numFmtId="174" formatCode="m/d/yy;@"/>
    <numFmt numFmtId="175" formatCode="_(* #,##0.0_);_(* \(#,##0.0\);_(* &quot;-&quot;??_);_(@_)"/>
    <numFmt numFmtId="176" formatCode="_(&quot;$&quot;* #,##0.0_);_(&quot;$&quot;* \(#,##0.0\);_(&quot;$&quot;* &quot;-&quot;??_);_(@_)"/>
    <numFmt numFmtId="177" formatCode="0.000"/>
    <numFmt numFmtId="178" formatCode="_(* #,##0.000_);_(* \(#,##0.000\);_(* &quot;-&quot;??_);_(@_)"/>
    <numFmt numFmtId="179" formatCode="#,##0.000_);\(#,##0.000\)"/>
    <numFmt numFmtId="180" formatCode="0.0000"/>
    <numFmt numFmtId="181" formatCode="[h]:mm:ss;@"/>
    <numFmt numFmtId="182" formatCode="[$-409]mmmm\ yyyy;@"/>
    <numFmt numFmtId="183" formatCode="mm:ss;@"/>
    <numFmt numFmtId="184" formatCode="0.000000"/>
    <numFmt numFmtId="185" formatCode="&quot;$&quot;#,##0.0"/>
  </numFmts>
  <fonts count="107">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u/>
      <sz val="11"/>
      <color theme="1"/>
      <name val="Calibri"/>
      <family val="2"/>
      <scheme val="minor"/>
    </font>
    <font>
      <sz val="9"/>
      <color theme="1" tint="0.34998626667073579"/>
      <name val="Calibri"/>
      <family val="2"/>
      <scheme val="minor"/>
    </font>
    <font>
      <b/>
      <sz val="9"/>
      <color theme="1" tint="0.34998626667073579"/>
      <name val="Calibri"/>
      <family val="2"/>
      <scheme val="minor"/>
    </font>
    <font>
      <b/>
      <sz val="12"/>
      <color theme="2"/>
      <name val="Calibri"/>
      <family val="2"/>
      <scheme val="minor"/>
    </font>
    <font>
      <sz val="28"/>
      <color theme="1" tint="0.34998626667073579"/>
      <name val="Calibri Light"/>
      <family val="2"/>
      <scheme val="major"/>
    </font>
    <font>
      <b/>
      <sz val="10"/>
      <color theme="1"/>
      <name val="Arial"/>
      <family val="2"/>
    </font>
    <font>
      <sz val="9"/>
      <color theme="1" tint="0.34998626667073579"/>
      <name val="Arial"/>
      <family val="2"/>
    </font>
    <font>
      <b/>
      <sz val="12"/>
      <color rgb="FFFF0000"/>
      <name val="Arial"/>
      <family val="2"/>
    </font>
    <font>
      <b/>
      <sz val="10"/>
      <color rgb="FFDB1F30"/>
      <name val="Arial"/>
      <family val="2"/>
    </font>
    <font>
      <sz val="9"/>
      <color rgb="FF0070C0"/>
      <name val="Arial"/>
      <family val="2"/>
    </font>
    <font>
      <b/>
      <sz val="11"/>
      <color theme="1"/>
      <name val="Arial"/>
      <family val="2"/>
    </font>
    <font>
      <b/>
      <sz val="9"/>
      <color theme="0"/>
      <name val="Arial"/>
      <family val="2"/>
    </font>
    <font>
      <sz val="9"/>
      <color theme="0"/>
      <name val="Arial"/>
      <family val="2"/>
    </font>
    <font>
      <b/>
      <sz val="9"/>
      <color theme="1" tint="0.34998626667073579"/>
      <name val="Arial"/>
      <family val="2"/>
    </font>
    <font>
      <sz val="11"/>
      <color theme="1"/>
      <name val="Arial"/>
      <family val="2"/>
    </font>
    <font>
      <u/>
      <sz val="9"/>
      <color theme="1" tint="0.34998626667073579"/>
      <name val="Arial"/>
      <family val="2"/>
    </font>
    <font>
      <b/>
      <sz val="9"/>
      <color theme="1"/>
      <name val="Arial"/>
      <family val="2"/>
    </font>
    <font>
      <sz val="9"/>
      <color theme="1"/>
      <name val="Arial"/>
      <family val="2"/>
    </font>
    <font>
      <b/>
      <sz val="9"/>
      <name val="Arial"/>
      <family val="2"/>
    </font>
    <font>
      <sz val="7"/>
      <name val="Arial"/>
      <family val="2"/>
    </font>
    <font>
      <b/>
      <sz val="11"/>
      <color rgb="FFFF0000"/>
      <name val="Calibri"/>
      <family val="2"/>
      <scheme val="minor"/>
    </font>
    <font>
      <b/>
      <sz val="9"/>
      <color theme="0"/>
      <name val="Calibri"/>
      <family val="2"/>
      <scheme val="minor"/>
    </font>
    <font>
      <sz val="9"/>
      <color theme="0"/>
      <name val="Calibri"/>
      <family val="2"/>
      <scheme val="minor"/>
    </font>
    <font>
      <b/>
      <sz val="9"/>
      <color theme="1"/>
      <name val="Calibri"/>
      <family val="2"/>
      <scheme val="minor"/>
    </font>
    <font>
      <b/>
      <sz val="10"/>
      <color theme="1"/>
      <name val="Calibri"/>
      <family val="2"/>
      <scheme val="minor"/>
    </font>
    <font>
      <b/>
      <sz val="12"/>
      <color rgb="FFFF0000"/>
      <name val="Calibri"/>
      <family val="2"/>
      <scheme val="minor"/>
    </font>
    <font>
      <sz val="9"/>
      <color rgb="FF0070C0"/>
      <name val="Calibri"/>
      <family val="2"/>
      <scheme val="minor"/>
    </font>
    <font>
      <b/>
      <sz val="10"/>
      <color theme="1"/>
      <name val="Calibri Light"/>
      <family val="2"/>
      <scheme val="major"/>
    </font>
    <font>
      <u/>
      <sz val="8"/>
      <name val="Arial"/>
      <family val="2"/>
    </font>
    <font>
      <b/>
      <sz val="9"/>
      <color rgb="FFFF0000"/>
      <name val="Arial"/>
      <family val="2"/>
    </font>
    <font>
      <sz val="11"/>
      <color rgb="FF9C0006"/>
      <name val="Calibri"/>
      <family val="2"/>
      <scheme val="minor"/>
    </font>
    <font>
      <b/>
      <sz val="11"/>
      <color rgb="FFFA7D00"/>
      <name val="Calibri"/>
      <family val="2"/>
      <scheme val="minor"/>
    </font>
    <font>
      <b/>
      <sz val="24"/>
      <color theme="1"/>
      <name val="Calibri"/>
      <family val="2"/>
      <scheme val="minor"/>
    </font>
    <font>
      <b/>
      <sz val="28"/>
      <color theme="1"/>
      <name val="Calibri"/>
      <family val="2"/>
      <scheme val="minor"/>
    </font>
    <font>
      <b/>
      <sz val="10"/>
      <name val="Arial"/>
      <family val="2"/>
    </font>
    <font>
      <sz val="9"/>
      <name val="Arial"/>
      <family val="2"/>
    </font>
    <font>
      <u/>
      <sz val="11"/>
      <color theme="10"/>
      <name val="Calibri"/>
      <family val="2"/>
      <scheme val="minor"/>
    </font>
    <font>
      <sz val="11"/>
      <color rgb="FFFF0000"/>
      <name val="Calibri"/>
      <family val="2"/>
      <scheme val="minor"/>
    </font>
    <font>
      <sz val="11"/>
      <color rgb="FF006100"/>
      <name val="Calibri"/>
      <family val="2"/>
      <scheme val="minor"/>
    </font>
    <font>
      <b/>
      <sz val="13"/>
      <color theme="3"/>
      <name val="Calibri"/>
      <family val="2"/>
      <scheme val="minor"/>
    </font>
    <font>
      <b/>
      <sz val="11"/>
      <color theme="3"/>
      <name val="Calibri"/>
      <family val="2"/>
      <scheme val="minor"/>
    </font>
    <font>
      <b/>
      <u/>
      <sz val="9"/>
      <color theme="1" tint="0.34998626667073579"/>
      <name val="Arial"/>
      <family val="2"/>
    </font>
    <font>
      <sz val="11"/>
      <color theme="0"/>
      <name val="Calibri"/>
      <family val="2"/>
      <scheme val="minor"/>
    </font>
    <font>
      <sz val="9"/>
      <color indexed="81"/>
      <name val="Tahoma"/>
      <family val="2"/>
    </font>
    <font>
      <b/>
      <sz val="9"/>
      <color indexed="81"/>
      <name val="Tahoma"/>
      <family val="2"/>
    </font>
    <font>
      <b/>
      <sz val="11"/>
      <color rgb="FF9C0006"/>
      <name val="Calibri"/>
      <family val="2"/>
      <scheme val="minor"/>
    </font>
    <font>
      <b/>
      <sz val="11"/>
      <color theme="1" tint="0.34998626667073579"/>
      <name val="Calibri"/>
      <family val="2"/>
      <scheme val="minor"/>
    </font>
    <font>
      <b/>
      <sz val="9"/>
      <color rgb="FFDB1F30"/>
      <name val="Arial"/>
      <family val="2"/>
    </font>
    <font>
      <sz val="9"/>
      <color rgb="FFFF0000"/>
      <name val="Arial"/>
      <family val="2"/>
    </font>
    <font>
      <b/>
      <i/>
      <sz val="11"/>
      <color theme="1"/>
      <name val="Calibri"/>
      <family val="2"/>
      <scheme val="minor"/>
    </font>
    <font>
      <b/>
      <sz val="11"/>
      <name val="Calibri"/>
      <family val="2"/>
      <scheme val="minor"/>
    </font>
    <font>
      <sz val="10"/>
      <color theme="1"/>
      <name val="Calibri"/>
      <family val="2"/>
      <scheme val="minor"/>
    </font>
    <font>
      <sz val="11"/>
      <name val="Calibri"/>
      <family val="2"/>
      <scheme val="minor"/>
    </font>
    <font>
      <i/>
      <sz val="9"/>
      <color rgb="FFFF0000"/>
      <name val="Arial"/>
      <family val="2"/>
    </font>
    <font>
      <i/>
      <sz val="9"/>
      <color theme="1"/>
      <name val="Arial"/>
      <family val="2"/>
    </font>
    <font>
      <sz val="6"/>
      <color theme="1"/>
      <name val="Verdanapx"/>
    </font>
    <font>
      <sz val="11"/>
      <color indexed="8"/>
      <name val="Calibri"/>
      <family val="2"/>
      <scheme val="minor"/>
    </font>
    <font>
      <sz val="10"/>
      <name val="Arial"/>
      <family val="2"/>
    </font>
    <font>
      <sz val="10"/>
      <name val="Arial"/>
      <family val="2"/>
    </font>
    <font>
      <sz val="8"/>
      <color indexed="8"/>
      <name val="Tahoma"/>
      <family val="2"/>
    </font>
    <font>
      <sz val="9"/>
      <color indexed="8"/>
      <name val="Tahoma"/>
      <family val="2"/>
    </font>
    <font>
      <b/>
      <sz val="9"/>
      <color theme="1" tint="0.249977111117893"/>
      <name val="Arial"/>
      <family val="2"/>
    </font>
    <font>
      <sz val="11"/>
      <color rgb="FF000000"/>
      <name val="Calibri"/>
      <family val="2"/>
    </font>
    <font>
      <sz val="8"/>
      <name val="MS Sans Serif"/>
    </font>
    <font>
      <sz val="9"/>
      <color indexed="8"/>
      <name val="Calibri"/>
      <family val="2"/>
      <scheme val="minor"/>
    </font>
    <font>
      <sz val="10"/>
      <name val="Calibri"/>
      <family val="2"/>
      <scheme val="minor"/>
    </font>
    <font>
      <sz val="10"/>
      <color theme="1"/>
      <name val="Verdanapx"/>
    </font>
    <font>
      <sz val="10"/>
      <name val="Arial"/>
      <family val="2"/>
    </font>
    <font>
      <b/>
      <sz val="12"/>
      <color rgb="FFDB1F30"/>
      <name val="Calibri"/>
      <family val="2"/>
      <scheme val="minor"/>
    </font>
    <font>
      <b/>
      <i/>
      <sz val="14"/>
      <name val="Calibri"/>
      <family val="2"/>
      <scheme val="minor"/>
    </font>
    <font>
      <b/>
      <sz val="9"/>
      <name val="Calibri"/>
      <family val="2"/>
      <scheme val="minor"/>
    </font>
    <font>
      <b/>
      <sz val="9"/>
      <color theme="1" tint="0.249977111117893"/>
      <name val="Calibri"/>
      <family val="2"/>
      <scheme val="minor"/>
    </font>
    <font>
      <sz val="9"/>
      <color theme="1"/>
      <name val="Calibri"/>
      <family val="2"/>
      <scheme val="minor"/>
    </font>
    <font>
      <b/>
      <u/>
      <sz val="9"/>
      <color theme="1"/>
      <name val="Calibri"/>
      <family val="2"/>
      <scheme val="minor"/>
    </font>
    <font>
      <b/>
      <sz val="10"/>
      <name val="Calibri"/>
      <family val="2"/>
      <scheme val="minor"/>
    </font>
    <font>
      <b/>
      <sz val="10"/>
      <color rgb="FFDB1F30"/>
      <name val="Calibri"/>
      <family val="2"/>
      <scheme val="minor"/>
    </font>
    <font>
      <b/>
      <sz val="9"/>
      <color rgb="FFFA7D00"/>
      <name val="Calibri"/>
      <family val="2"/>
      <scheme val="minor"/>
    </font>
    <font>
      <sz val="9"/>
      <color rgb="FFFF0000"/>
      <name val="Calibri"/>
      <family val="2"/>
      <scheme val="minor"/>
    </font>
    <font>
      <b/>
      <sz val="9"/>
      <color rgb="FFFF0000"/>
      <name val="Calibri"/>
      <family val="2"/>
      <scheme val="minor"/>
    </font>
    <font>
      <sz val="9"/>
      <name val="Calibri"/>
      <family val="2"/>
      <scheme val="minor"/>
    </font>
    <font>
      <u/>
      <sz val="9"/>
      <color theme="1" tint="0.34998626667073579"/>
      <name val="Calibri"/>
      <family val="2"/>
      <scheme val="minor"/>
    </font>
    <font>
      <b/>
      <u/>
      <sz val="9"/>
      <color theme="1" tint="0.34998626667073579"/>
      <name val="Calibri"/>
      <family val="2"/>
      <scheme val="minor"/>
    </font>
    <font>
      <sz val="8"/>
      <color theme="1" tint="0.34998626667073579"/>
      <name val="Calibri"/>
      <family val="2"/>
      <scheme val="minor"/>
    </font>
    <font>
      <sz val="8"/>
      <color theme="1"/>
      <name val="Calibri"/>
      <family val="2"/>
      <scheme val="minor"/>
    </font>
    <font>
      <sz val="8"/>
      <name val="Calibri"/>
      <family val="2"/>
      <scheme val="minor"/>
    </font>
    <font>
      <b/>
      <i/>
      <sz val="22"/>
      <color theme="0"/>
      <name val="Calibri"/>
      <family val="2"/>
      <scheme val="minor"/>
    </font>
    <font>
      <b/>
      <sz val="12"/>
      <color theme="1"/>
      <name val="Calibri"/>
      <family val="2"/>
      <scheme val="minor"/>
    </font>
    <font>
      <b/>
      <sz val="22"/>
      <color theme="1"/>
      <name val="Calibri"/>
      <family val="2"/>
      <scheme val="minor"/>
    </font>
    <font>
      <b/>
      <sz val="26"/>
      <color theme="1"/>
      <name val="Calibri"/>
      <family val="2"/>
      <scheme val="minor"/>
    </font>
    <font>
      <b/>
      <i/>
      <sz val="14"/>
      <color theme="0"/>
      <name val="Calibri"/>
      <family val="2"/>
      <scheme val="minor"/>
    </font>
    <font>
      <b/>
      <sz val="12"/>
      <color theme="0"/>
      <name val="Calibri"/>
      <family val="2"/>
      <scheme val="minor"/>
    </font>
    <font>
      <b/>
      <sz val="10"/>
      <color theme="0"/>
      <name val="Calibri"/>
      <family val="2"/>
      <scheme val="minor"/>
    </font>
    <font>
      <b/>
      <i/>
      <sz val="18"/>
      <color theme="0"/>
      <name val="Calibri"/>
      <family val="2"/>
      <scheme val="minor"/>
    </font>
    <font>
      <i/>
      <sz val="11"/>
      <color theme="1"/>
      <name val="Calibri"/>
      <family val="2"/>
      <scheme val="minor"/>
    </font>
    <font>
      <b/>
      <i/>
      <sz val="11"/>
      <color rgb="FFEB002A"/>
      <name val="Calibri"/>
      <family val="2"/>
      <scheme val="minor"/>
    </font>
    <font>
      <sz val="9"/>
      <color rgb="FF00FF00"/>
      <name val="Arial"/>
      <family val="2"/>
    </font>
    <font>
      <b/>
      <sz val="9"/>
      <color rgb="FF006100"/>
      <name val="Calibri"/>
      <family val="2"/>
      <scheme val="minor"/>
    </font>
    <font>
      <sz val="9"/>
      <name val="Calibri"/>
      <family val="2"/>
    </font>
    <font>
      <b/>
      <sz val="9"/>
      <color rgb="FF000000"/>
      <name val="Calibri"/>
      <family val="2"/>
    </font>
    <font>
      <b/>
      <sz val="7"/>
      <name val="Calibri Light"/>
      <family val="2"/>
      <scheme val="major"/>
    </font>
    <font>
      <sz val="7"/>
      <name val="Calibri Light"/>
      <family val="2"/>
      <scheme val="major"/>
    </font>
    <font>
      <b/>
      <sz val="7"/>
      <color rgb="FF7030A0"/>
      <name val="Calibri Light"/>
      <family val="2"/>
      <scheme val="major"/>
    </font>
    <font>
      <sz val="9"/>
      <color rgb="FF000000"/>
      <name val="Calibri"/>
      <family val="2"/>
    </font>
  </fonts>
  <fills count="44">
    <fill>
      <patternFill patternType="none"/>
    </fill>
    <fill>
      <patternFill patternType="gray125"/>
    </fill>
    <fill>
      <patternFill patternType="solid">
        <fgColor theme="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499984740745262"/>
        <bgColor indexed="64"/>
      </patternFill>
    </fill>
    <fill>
      <patternFill patternType="solid">
        <fgColor theme="0"/>
        <bgColor indexed="64"/>
      </patternFill>
    </fill>
    <fill>
      <patternFill patternType="solid">
        <fgColor theme="1" tint="0.34998626667073579"/>
        <bgColor theme="1" tint="0.34998626667073579"/>
      </patternFill>
    </fill>
    <fill>
      <patternFill patternType="solid">
        <fgColor theme="0"/>
        <bgColor theme="1" tint="0.34998626667073579"/>
      </patternFill>
    </fill>
    <fill>
      <patternFill patternType="solid">
        <fgColor rgb="FFFFC7CE"/>
      </patternFill>
    </fill>
    <fill>
      <patternFill patternType="solid">
        <fgColor rgb="FFF2F2F2"/>
      </patternFill>
    </fill>
    <fill>
      <patternFill patternType="solid">
        <fgColor rgb="FFC6EFCE"/>
      </patternFill>
    </fill>
    <fill>
      <patternFill patternType="solid">
        <fgColor theme="0" tint="-0.34998626667073579"/>
        <bgColor indexed="64"/>
      </patternFill>
    </fill>
    <fill>
      <patternFill patternType="solid">
        <fgColor rgb="FFE7E7E7"/>
        <bgColor indexed="64"/>
      </patternFill>
    </fill>
    <fill>
      <patternFill patternType="solid">
        <fgColor rgb="FFCBCBCB"/>
        <bgColor indexed="64"/>
      </patternFill>
    </fill>
    <fill>
      <patternFill patternType="solid">
        <fgColor rgb="FFFFFF00"/>
        <bgColor indexed="64"/>
      </patternFill>
    </fill>
    <fill>
      <patternFill patternType="solid">
        <fgColor theme="3" tint="0.79998168889431442"/>
        <bgColor indexed="64"/>
      </patternFill>
    </fill>
    <fill>
      <patternFill patternType="solid">
        <fgColor rgb="FFD9D9D9"/>
        <bgColor indexed="64"/>
      </patternFill>
    </fill>
    <fill>
      <patternFill patternType="solid">
        <fgColor rgb="FFFF0000"/>
        <bgColor indexed="64"/>
      </patternFill>
    </fill>
    <fill>
      <patternFill patternType="solid">
        <fgColor rgb="FF00FF00"/>
        <bgColor indexed="64"/>
      </patternFill>
    </fill>
    <fill>
      <patternFill patternType="solid">
        <fgColor theme="4" tint="0.59999389629810485"/>
        <bgColor indexed="64"/>
      </patternFill>
    </fill>
    <fill>
      <patternFill patternType="solid">
        <fgColor rgb="FFF2F2F2"/>
        <bgColor indexed="64"/>
      </patternFill>
    </fill>
    <fill>
      <patternFill patternType="solid">
        <fgColor rgb="FFC0C0C0"/>
        <bgColor indexed="64"/>
      </patternFill>
    </fill>
    <fill>
      <patternFill patternType="solid">
        <fgColor theme="9" tint="0.79998168889431442"/>
        <bgColor indexed="64"/>
      </patternFill>
    </fill>
    <fill>
      <patternFill patternType="solid">
        <fgColor theme="0" tint="-0.14996795556505021"/>
        <bgColor indexed="64"/>
      </patternFill>
    </fill>
    <fill>
      <patternFill patternType="solid">
        <fgColor theme="2"/>
        <bgColor indexed="64"/>
      </patternFill>
    </fill>
    <fill>
      <patternFill patternType="solid">
        <fgColor rgb="FFFFE7E7"/>
        <bgColor indexed="64"/>
      </patternFill>
    </fill>
    <fill>
      <patternFill patternType="solid">
        <fgColor rgb="FFFFAFAF"/>
        <bgColor indexed="64"/>
      </patternFill>
    </fill>
    <fill>
      <patternFill patternType="solid">
        <fgColor theme="5"/>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1" tint="0.249977111117893"/>
        <bgColor indexed="64"/>
      </patternFill>
    </fill>
    <fill>
      <patternFill patternType="solid">
        <fgColor theme="1" tint="0.499984740745262"/>
        <bgColor indexed="64"/>
      </patternFill>
    </fill>
    <fill>
      <patternFill patternType="solid">
        <fgColor theme="7" tint="0.79998168889431442"/>
        <bgColor indexed="64"/>
      </patternFill>
    </fill>
    <fill>
      <patternFill patternType="solid">
        <fgColor theme="7" tint="0.79998168889431442"/>
        <bgColor rgb="FF000000"/>
      </patternFill>
    </fill>
    <fill>
      <patternFill patternType="solid">
        <fgColor rgb="FFEB002A"/>
        <bgColor indexed="64"/>
      </patternFill>
    </fill>
    <fill>
      <patternFill patternType="solid">
        <fgColor rgb="FF98999B"/>
        <bgColor indexed="64"/>
      </patternFill>
    </fill>
    <fill>
      <patternFill patternType="solid">
        <fgColor theme="2" tint="-0.749992370372631"/>
        <bgColor indexed="64"/>
      </patternFill>
    </fill>
    <fill>
      <patternFill patternType="solid">
        <fgColor rgb="FFC00000"/>
        <bgColor indexed="64"/>
      </patternFill>
    </fill>
    <fill>
      <patternFill patternType="solid">
        <fgColor theme="2" tint="-0.249977111117893"/>
        <bgColor indexed="64"/>
      </patternFill>
    </fill>
    <fill>
      <patternFill patternType="solid">
        <fgColor rgb="FFF2F2F2"/>
        <bgColor rgb="FF000000"/>
      </patternFill>
    </fill>
    <fill>
      <patternFill patternType="solid">
        <fgColor theme="6" tint="0.59999389629810485"/>
        <bgColor indexed="64"/>
      </patternFill>
    </fill>
    <fill>
      <patternFill patternType="solid">
        <fgColor rgb="FFFFEB9C"/>
        <bgColor indexed="64"/>
      </patternFill>
    </fill>
    <fill>
      <patternFill patternType="solid">
        <fgColor rgb="FFFFF2CC"/>
        <bgColor indexed="64"/>
      </patternFill>
    </fill>
  </fills>
  <borders count="86">
    <border>
      <left/>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theme="0"/>
      </left>
      <right style="thin">
        <color theme="0"/>
      </right>
      <top style="thin">
        <color theme="0"/>
      </top>
      <bottom style="thin">
        <color theme="0"/>
      </bottom>
      <diagonal/>
    </border>
    <border>
      <left/>
      <right style="thin">
        <color theme="0"/>
      </right>
      <top style="thin">
        <color theme="0"/>
      </top>
      <bottom style="thin">
        <color theme="0"/>
      </bottom>
      <diagonal/>
    </border>
    <border>
      <left/>
      <right/>
      <top style="thin">
        <color theme="0"/>
      </top>
      <bottom style="thin">
        <color theme="0"/>
      </bottom>
      <diagonal/>
    </border>
    <border>
      <left style="thin">
        <color theme="0"/>
      </left>
      <right/>
      <top style="thin">
        <color theme="0"/>
      </top>
      <bottom style="thin">
        <color theme="0"/>
      </bottom>
      <diagonal/>
    </border>
    <border>
      <left/>
      <right style="thin">
        <color theme="0"/>
      </right>
      <top/>
      <bottom style="thin">
        <color theme="0"/>
      </bottom>
      <diagonal/>
    </border>
    <border>
      <left/>
      <right/>
      <top/>
      <bottom style="thin">
        <color theme="0"/>
      </bottom>
      <diagonal/>
    </border>
    <border>
      <left style="thin">
        <color theme="0"/>
      </left>
      <right/>
      <top/>
      <bottom style="thin">
        <color theme="0"/>
      </bottom>
      <diagonal/>
    </border>
    <border>
      <left/>
      <right style="thin">
        <color theme="0"/>
      </right>
      <top/>
      <bottom/>
      <diagonal/>
    </border>
    <border>
      <left style="thin">
        <color theme="0"/>
      </left>
      <right/>
      <top/>
      <bottom/>
      <diagonal/>
    </border>
    <border>
      <left/>
      <right style="thin">
        <color theme="0"/>
      </right>
      <top style="thin">
        <color theme="0"/>
      </top>
      <bottom/>
      <diagonal/>
    </border>
    <border>
      <left/>
      <right/>
      <top style="thin">
        <color theme="0"/>
      </top>
      <bottom/>
      <diagonal/>
    </border>
    <border>
      <left style="thin">
        <color theme="0"/>
      </left>
      <right/>
      <top style="thin">
        <color theme="0"/>
      </top>
      <bottom/>
      <diagonal/>
    </border>
    <border>
      <left/>
      <right/>
      <top style="thin">
        <color indexed="64"/>
      </top>
      <bottom style="double">
        <color indexed="64"/>
      </bottom>
      <diagonal/>
    </border>
    <border>
      <left/>
      <right/>
      <top style="thin">
        <color rgb="FF7F7F7F"/>
      </top>
      <bottom style="thin">
        <color rgb="FF7F7F7F"/>
      </bottom>
      <diagonal/>
    </border>
    <border>
      <left/>
      <right/>
      <top/>
      <bottom style="thin">
        <color rgb="FF7F7F7F"/>
      </bottom>
      <diagonal/>
    </border>
    <border>
      <left style="thin">
        <color indexed="64"/>
      </left>
      <right/>
      <top/>
      <bottom/>
      <diagonal/>
    </border>
    <border>
      <left/>
      <right/>
      <top/>
      <bottom style="thick">
        <color theme="4" tint="0.499984740745262"/>
      </bottom>
      <diagonal/>
    </border>
    <border>
      <left/>
      <right/>
      <top/>
      <bottom style="medium">
        <color theme="4" tint="0.39997558519241921"/>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right/>
      <top/>
      <bottom style="thin">
        <color theme="0" tint="-0.499984740745262"/>
      </bottom>
      <diagonal/>
    </border>
    <border>
      <left style="thin">
        <color theme="0"/>
      </left>
      <right style="thin">
        <color theme="0"/>
      </right>
      <top style="thin">
        <color theme="0"/>
      </top>
      <bottom/>
      <diagonal/>
    </border>
    <border>
      <left style="thin">
        <color theme="0"/>
      </left>
      <right style="thin">
        <color theme="0"/>
      </right>
      <top/>
      <bottom/>
      <diagonal/>
    </border>
    <border>
      <left style="thin">
        <color theme="0"/>
      </left>
      <right style="thin">
        <color theme="0"/>
      </right>
      <top/>
      <bottom style="thin">
        <color theme="0"/>
      </bottom>
      <diagonal/>
    </border>
    <border>
      <left style="thick">
        <color theme="0"/>
      </left>
      <right style="thick">
        <color theme="0"/>
      </right>
      <top style="thick">
        <color theme="0"/>
      </top>
      <bottom/>
      <diagonal/>
    </border>
    <border>
      <left style="thick">
        <color theme="0"/>
      </left>
      <right style="thick">
        <color theme="0"/>
      </right>
      <top/>
      <bottom style="thin">
        <color theme="0"/>
      </bottom>
      <diagonal/>
    </border>
    <border>
      <left style="thick">
        <color theme="0"/>
      </left>
      <right/>
      <top style="thick">
        <color theme="0"/>
      </top>
      <bottom/>
      <diagonal/>
    </border>
    <border>
      <left/>
      <right style="thick">
        <color theme="0"/>
      </right>
      <top style="thick">
        <color theme="0"/>
      </top>
      <bottom/>
      <diagonal/>
    </border>
    <border>
      <left style="thick">
        <color theme="0"/>
      </left>
      <right/>
      <top/>
      <bottom style="thin">
        <color theme="0"/>
      </bottom>
      <diagonal/>
    </border>
    <border>
      <left/>
      <right style="thick">
        <color theme="0"/>
      </right>
      <top/>
      <bottom style="thin">
        <color theme="0"/>
      </bottom>
      <diagonal/>
    </border>
    <border>
      <left style="thick">
        <color theme="0"/>
      </left>
      <right style="thick">
        <color theme="0"/>
      </right>
      <top style="thin">
        <color theme="0" tint="-0.499984740745262"/>
      </top>
      <bottom/>
      <diagonal/>
    </border>
    <border>
      <left/>
      <right style="thick">
        <color theme="0"/>
      </right>
      <top style="thick">
        <color theme="0"/>
      </top>
      <bottom style="thick">
        <color theme="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thin">
        <color indexed="64"/>
      </bottom>
      <diagonal/>
    </border>
    <border>
      <left style="thin">
        <color rgb="FF7F7F7F"/>
      </left>
      <right style="thin">
        <color rgb="FF7F7F7F"/>
      </right>
      <top/>
      <bottom style="thin">
        <color rgb="FF7F7F7F"/>
      </bottom>
      <diagonal/>
    </border>
    <border>
      <left/>
      <right/>
      <top/>
      <bottom style="double">
        <color indexed="64"/>
      </bottom>
      <diagonal/>
    </border>
    <border>
      <left/>
      <right/>
      <top style="thin">
        <color rgb="FF7F7F7F"/>
      </top>
      <bottom/>
      <diagonal/>
    </border>
    <border>
      <left style="thin">
        <color indexed="64"/>
      </left>
      <right style="thin">
        <color indexed="64"/>
      </right>
      <top/>
      <bottom style="thin">
        <color indexed="64"/>
      </bottom>
      <diagonal/>
    </border>
    <border>
      <left/>
      <right/>
      <top style="thin">
        <color rgb="FF7F7F7F"/>
      </top>
      <bottom style="thin">
        <color indexed="64"/>
      </bottom>
      <diagonal/>
    </border>
    <border>
      <left style="thin">
        <color indexed="64"/>
      </left>
      <right style="thin">
        <color indexed="64"/>
      </right>
      <top/>
      <bottom/>
      <diagonal/>
    </border>
    <border>
      <left style="thin">
        <color rgb="FFBFBFBF"/>
      </left>
      <right/>
      <top style="thin">
        <color rgb="FFBFBFBF"/>
      </top>
      <bottom/>
      <diagonal/>
    </border>
    <border>
      <left/>
      <right/>
      <top style="thin">
        <color rgb="FFBFBFBF"/>
      </top>
      <bottom/>
      <diagonal/>
    </border>
    <border>
      <left style="thin">
        <color rgb="FFBFBFBF"/>
      </left>
      <right/>
      <top/>
      <bottom/>
      <diagonal/>
    </border>
    <border>
      <left/>
      <right style="thin">
        <color rgb="FFBFBFBF"/>
      </right>
      <top style="thin">
        <color rgb="FFBFBFBF"/>
      </top>
      <bottom/>
      <diagonal/>
    </border>
    <border>
      <left/>
      <right style="thin">
        <color rgb="FFBFBFBF"/>
      </right>
      <top/>
      <bottom/>
      <diagonal/>
    </border>
    <border>
      <left style="thin">
        <color rgb="FFBFBFBF"/>
      </left>
      <right/>
      <top/>
      <bottom style="thin">
        <color rgb="FFBFBFBF"/>
      </bottom>
      <diagonal/>
    </border>
    <border>
      <left/>
      <right/>
      <top/>
      <bottom style="thin">
        <color rgb="FFBFBFBF"/>
      </bottom>
      <diagonal/>
    </border>
    <border>
      <left/>
      <right style="thin">
        <color rgb="FFBFBFBF"/>
      </right>
      <top/>
      <bottom style="thin">
        <color rgb="FFBFBFBF"/>
      </bottom>
      <diagonal/>
    </border>
    <border>
      <left/>
      <right/>
      <top style="thin">
        <color indexed="64"/>
      </top>
      <bottom style="thin">
        <color indexed="64"/>
      </bottom>
      <diagonal/>
    </border>
    <border>
      <left/>
      <right/>
      <top style="thin">
        <color indexed="64"/>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s>
  <cellStyleXfs count="27">
    <xf numFmtId="0" fontId="0" fillId="0" borderId="0"/>
    <xf numFmtId="43" fontId="1" fillId="0" borderId="0" applyFont="0" applyFill="0" applyBorder="0" applyAlignment="0" applyProtection="0"/>
    <xf numFmtId="9" fontId="1" fillId="0" borderId="0" applyFont="0" applyFill="0" applyBorder="0" applyAlignment="0" applyProtection="0"/>
    <xf numFmtId="0" fontId="5" fillId="0" borderId="0">
      <alignment vertical="center"/>
    </xf>
    <xf numFmtId="166" fontId="1" fillId="0" borderId="0" applyFont="0" applyFill="0" applyBorder="0" applyProtection="0">
      <alignment vertical="center"/>
    </xf>
    <xf numFmtId="43" fontId="5" fillId="0" borderId="0" applyFont="0" applyFill="0" applyBorder="0" applyAlignment="0" applyProtection="0"/>
    <xf numFmtId="9" fontId="5" fillId="0" borderId="0" applyFont="0" applyFill="0" applyBorder="0" applyAlignment="0" applyProtection="0"/>
    <xf numFmtId="0" fontId="6" fillId="0" borderId="0" applyNumberFormat="0" applyFill="0" applyBorder="0" applyProtection="0">
      <alignment vertical="top"/>
    </xf>
    <xf numFmtId="14" fontId="7" fillId="7" borderId="2" applyBorder="0" applyProtection="0">
      <alignment horizontal="center" vertical="center"/>
    </xf>
    <xf numFmtId="0" fontId="8" fillId="0" borderId="0" applyNumberFormat="0" applyFill="0" applyBorder="0" applyAlignment="0" applyProtection="0"/>
    <xf numFmtId="44" fontId="1" fillId="0" borderId="0" applyFont="0" applyFill="0" applyBorder="0" applyAlignment="0" applyProtection="0"/>
    <xf numFmtId="166" fontId="1" fillId="0" borderId="0" applyFont="0" applyFill="0" applyBorder="0" applyProtection="0">
      <alignment vertical="center"/>
    </xf>
    <xf numFmtId="0" fontId="34" fillId="9" borderId="0" applyNumberFormat="0" applyBorder="0" applyAlignment="0" applyProtection="0"/>
    <xf numFmtId="0" fontId="35" fillId="10" borderId="2" applyNumberFormat="0" applyAlignment="0" applyProtection="0"/>
    <xf numFmtId="0" fontId="40" fillId="0" borderId="0" applyNumberFormat="0" applyFill="0" applyBorder="0" applyAlignment="0" applyProtection="0"/>
    <xf numFmtId="0" fontId="42" fillId="11" borderId="0" applyNumberFormat="0" applyBorder="0" applyAlignment="0" applyProtection="0"/>
    <xf numFmtId="0" fontId="43" fillId="0" borderId="19" applyNumberFormat="0" applyFill="0" applyAlignment="0" applyProtection="0"/>
    <xf numFmtId="0" fontId="44" fillId="0" borderId="20" applyNumberFormat="0" applyFill="0" applyAlignment="0" applyProtection="0"/>
    <xf numFmtId="0" fontId="44" fillId="0" borderId="0" applyNumberFormat="0" applyFill="0" applyBorder="0" applyAlignment="0" applyProtection="0"/>
    <xf numFmtId="0" fontId="61" fillId="0" borderId="0"/>
    <xf numFmtId="0" fontId="62" fillId="0" borderId="0"/>
    <xf numFmtId="0" fontId="61" fillId="0" borderId="0"/>
    <xf numFmtId="0" fontId="67" fillId="0" borderId="0" applyAlignment="0">
      <alignment vertical="top" wrapText="1"/>
      <protection locked="0"/>
    </xf>
    <xf numFmtId="0" fontId="60" fillId="0" borderId="0"/>
    <xf numFmtId="0" fontId="46" fillId="28" borderId="0" applyNumberFormat="0" applyBorder="0" applyAlignment="0" applyProtection="0"/>
    <xf numFmtId="0" fontId="71" fillId="0" borderId="0"/>
    <xf numFmtId="0" fontId="61" fillId="0" borderId="0"/>
  </cellStyleXfs>
  <cellXfs count="1844">
    <xf numFmtId="0" fontId="0" fillId="0" borderId="0" xfId="0"/>
    <xf numFmtId="0" fontId="3" fillId="0" borderId="0" xfId="0" applyFont="1"/>
    <xf numFmtId="0" fontId="0" fillId="0" borderId="0" xfId="0" applyAlignment="1">
      <alignment horizontal="center"/>
    </xf>
    <xf numFmtId="0" fontId="2" fillId="0" borderId="0" xfId="0" applyFont="1" applyAlignment="1">
      <alignment horizontal="center"/>
    </xf>
    <xf numFmtId="0" fontId="3" fillId="0" borderId="0" xfId="0" applyFont="1" applyAlignment="1">
      <alignment horizontal="left"/>
    </xf>
    <xf numFmtId="0" fontId="9" fillId="6" borderId="0" xfId="3" applyFont="1" applyFill="1" applyAlignment="1">
      <alignment horizontal="left" vertical="center"/>
    </xf>
    <xf numFmtId="0" fontId="10" fillId="0" borderId="0" xfId="3" applyFont="1">
      <alignment vertical="center"/>
    </xf>
    <xf numFmtId="0" fontId="9" fillId="6" borderId="0" xfId="9" applyFont="1" applyFill="1" applyAlignment="1">
      <alignment horizontal="left" vertical="center"/>
    </xf>
    <xf numFmtId="167" fontId="13" fillId="8" borderId="0" xfId="8" applyNumberFormat="1" applyFont="1" applyFill="1" applyBorder="1">
      <alignment horizontal="center" vertical="center"/>
    </xf>
    <xf numFmtId="3" fontId="13" fillId="8" borderId="0" xfId="8" applyNumberFormat="1" applyFont="1" applyFill="1" applyBorder="1">
      <alignment horizontal="center" vertical="center"/>
    </xf>
    <xf numFmtId="168" fontId="13" fillId="8" borderId="0" xfId="8" applyNumberFormat="1" applyFont="1" applyFill="1" applyBorder="1">
      <alignment horizontal="center" vertical="center"/>
    </xf>
    <xf numFmtId="0" fontId="16" fillId="2" borderId="0" xfId="3" applyFont="1" applyFill="1">
      <alignment vertical="center"/>
    </xf>
    <xf numFmtId="0" fontId="15" fillId="2" borderId="0" xfId="3" applyFont="1" applyFill="1" applyAlignment="1"/>
    <xf numFmtId="0" fontId="16" fillId="2" borderId="0" xfId="3" applyFont="1" applyFill="1" applyAlignment="1">
      <alignment horizontal="center"/>
    </xf>
    <xf numFmtId="0" fontId="17" fillId="0" borderId="0" xfId="3" applyFont="1" applyAlignment="1"/>
    <xf numFmtId="0" fontId="10" fillId="0" borderId="0" xfId="3" applyFont="1" applyAlignment="1"/>
    <xf numFmtId="0" fontId="10" fillId="0" borderId="0" xfId="3" applyFont="1" applyAlignment="1">
      <alignment horizontal="center"/>
    </xf>
    <xf numFmtId="0" fontId="16" fillId="2" borderId="0" xfId="3" applyFont="1" applyFill="1" applyAlignment="1"/>
    <xf numFmtId="166" fontId="16" fillId="2" borderId="0" xfId="4" applyFont="1" applyFill="1" applyAlignment="1">
      <alignment horizontal="center"/>
    </xf>
    <xf numFmtId="0" fontId="10" fillId="0" borderId="0" xfId="3" applyFont="1" applyAlignment="1">
      <alignment vertical="top"/>
    </xf>
    <xf numFmtId="0" fontId="17" fillId="0" borderId="0" xfId="3" applyFont="1" applyAlignment="1">
      <alignment horizontal="center"/>
    </xf>
    <xf numFmtId="0" fontId="10" fillId="0" borderId="0" xfId="3" applyFont="1" applyAlignment="1">
      <alignment horizontal="center" vertical="center"/>
    </xf>
    <xf numFmtId="14" fontId="10" fillId="0" borderId="0" xfId="3" applyNumberFormat="1" applyFont="1" applyAlignment="1">
      <alignment horizontal="center" vertical="center"/>
    </xf>
    <xf numFmtId="0" fontId="5" fillId="0" borderId="0" xfId="3" applyAlignment="1">
      <alignment horizontal="center"/>
    </xf>
    <xf numFmtId="166" fontId="0" fillId="0" borderId="0" xfId="4" applyFont="1" applyBorder="1" applyAlignment="1">
      <alignment horizontal="center"/>
    </xf>
    <xf numFmtId="0" fontId="5" fillId="0" borderId="0" xfId="3" applyAlignment="1"/>
    <xf numFmtId="0" fontId="6" fillId="0" borderId="0" xfId="3" applyFont="1" applyAlignment="1"/>
    <xf numFmtId="0" fontId="26" fillId="2" borderId="0" xfId="3" applyFont="1" applyFill="1" applyAlignment="1">
      <alignment horizontal="center"/>
    </xf>
    <xf numFmtId="0" fontId="25" fillId="2" borderId="0" xfId="3" applyFont="1" applyFill="1" applyAlignment="1"/>
    <xf numFmtId="166" fontId="26" fillId="2" borderId="0" xfId="4" applyFont="1" applyFill="1" applyAlignment="1">
      <alignment horizontal="center"/>
    </xf>
    <xf numFmtId="0" fontId="26" fillId="2" borderId="0" xfId="3" applyFont="1" applyFill="1" applyAlignment="1"/>
    <xf numFmtId="0" fontId="28" fillId="6" borderId="0" xfId="3" applyFont="1" applyFill="1" applyAlignment="1">
      <alignment horizontal="left" vertical="center"/>
    </xf>
    <xf numFmtId="167" fontId="28" fillId="8" borderId="0" xfId="8" applyNumberFormat="1" applyFont="1" applyFill="1" applyBorder="1">
      <alignment horizontal="center" vertical="center"/>
    </xf>
    <xf numFmtId="168" fontId="30" fillId="8" borderId="0" xfId="8" applyNumberFormat="1" applyFont="1" applyFill="1" applyBorder="1">
      <alignment horizontal="center" vertical="center"/>
    </xf>
    <xf numFmtId="3" fontId="30" fillId="8" borderId="0" xfId="8" applyNumberFormat="1" applyFont="1" applyFill="1" applyBorder="1">
      <alignment horizontal="center" vertical="center"/>
    </xf>
    <xf numFmtId="167" fontId="30" fillId="8" borderId="0" xfId="8" applyNumberFormat="1" applyFont="1" applyFill="1" applyBorder="1">
      <alignment horizontal="center" vertical="center"/>
    </xf>
    <xf numFmtId="0" fontId="31" fillId="6" borderId="0" xfId="9" applyFont="1" applyFill="1" applyAlignment="1">
      <alignment horizontal="left" vertical="center"/>
    </xf>
    <xf numFmtId="0" fontId="5" fillId="0" borderId="0" xfId="3">
      <alignment vertical="center"/>
    </xf>
    <xf numFmtId="0" fontId="26" fillId="2" borderId="0" xfId="3" applyFont="1" applyFill="1">
      <alignment vertical="center"/>
    </xf>
    <xf numFmtId="0" fontId="20" fillId="6" borderId="0" xfId="3" applyFont="1" applyFill="1" applyAlignment="1">
      <alignment horizontal="left" vertical="center"/>
    </xf>
    <xf numFmtId="0" fontId="20" fillId="6" borderId="0" xfId="9" applyFont="1" applyFill="1" applyAlignment="1">
      <alignment horizontal="left" vertical="center"/>
    </xf>
    <xf numFmtId="167" fontId="20" fillId="8" borderId="0" xfId="8" applyNumberFormat="1" applyFont="1" applyFill="1" applyBorder="1">
      <alignment horizontal="center" vertical="center"/>
    </xf>
    <xf numFmtId="166" fontId="21" fillId="0" borderId="0" xfId="4" applyFont="1" applyBorder="1" applyAlignment="1">
      <alignment horizontal="center"/>
    </xf>
    <xf numFmtId="0" fontId="10" fillId="0" borderId="0" xfId="3" applyFont="1" applyAlignment="1">
      <alignment horizontal="left" vertical="top" wrapText="1"/>
    </xf>
    <xf numFmtId="0" fontId="17" fillId="0" borderId="0" xfId="3" applyFont="1">
      <alignment vertical="center"/>
    </xf>
    <xf numFmtId="0" fontId="15" fillId="2" borderId="0" xfId="3" applyFont="1" applyFill="1">
      <alignment vertical="center"/>
    </xf>
    <xf numFmtId="0" fontId="16" fillId="2" borderId="0" xfId="3" applyFont="1" applyFill="1" applyAlignment="1">
      <alignment horizontal="center" vertical="center"/>
    </xf>
    <xf numFmtId="166" fontId="18" fillId="0" borderId="0" xfId="4" applyFont="1" applyBorder="1" applyAlignment="1">
      <alignment horizontal="center" vertical="center"/>
    </xf>
    <xf numFmtId="166" fontId="16" fillId="2" borderId="0" xfId="4" applyFont="1" applyFill="1" applyAlignment="1">
      <alignment horizontal="center" vertical="center"/>
    </xf>
    <xf numFmtId="0" fontId="32" fillId="0" borderId="6" xfId="3" applyFont="1" applyBorder="1" applyAlignment="1">
      <alignment horizontal="left" vertical="center"/>
    </xf>
    <xf numFmtId="0" fontId="23" fillId="0" borderId="5" xfId="3" applyFont="1" applyBorder="1" applyAlignment="1">
      <alignment horizontal="left" vertical="center"/>
    </xf>
    <xf numFmtId="0" fontId="23" fillId="0" borderId="4" xfId="3" applyFont="1" applyBorder="1" applyAlignment="1">
      <alignment horizontal="left" vertical="center"/>
    </xf>
    <xf numFmtId="0" fontId="34" fillId="9" borderId="0" xfId="12" applyBorder="1" applyAlignment="1">
      <alignment vertical="center"/>
    </xf>
    <xf numFmtId="0" fontId="11" fillId="6" borderId="0" xfId="3" applyFont="1" applyFill="1">
      <alignment vertical="center"/>
    </xf>
    <xf numFmtId="0" fontId="27" fillId="0" borderId="0" xfId="0" applyFont="1"/>
    <xf numFmtId="0" fontId="0" fillId="0" borderId="18" xfId="0" applyBorder="1"/>
    <xf numFmtId="0" fontId="40" fillId="0" borderId="0" xfId="14" applyAlignment="1">
      <alignment horizontal="center"/>
    </xf>
    <xf numFmtId="0" fontId="33" fillId="6" borderId="0" xfId="3" applyFont="1" applyFill="1">
      <alignment vertical="center"/>
    </xf>
    <xf numFmtId="0" fontId="29" fillId="6" borderId="0" xfId="3" applyFont="1" applyFill="1">
      <alignment vertical="center"/>
    </xf>
    <xf numFmtId="0" fontId="10" fillId="2" borderId="0" xfId="3" applyFont="1" applyFill="1">
      <alignment vertical="center"/>
    </xf>
    <xf numFmtId="0" fontId="15" fillId="2" borderId="0" xfId="3" applyFont="1" applyFill="1" applyAlignment="1">
      <alignment horizontal="left" vertical="center"/>
    </xf>
    <xf numFmtId="0" fontId="17" fillId="2" borderId="0" xfId="3" applyFont="1" applyFill="1" applyAlignment="1">
      <alignment horizontal="left" vertical="center"/>
    </xf>
    <xf numFmtId="166" fontId="18" fillId="2" borderId="0" xfId="4" applyFont="1" applyFill="1" applyBorder="1" applyAlignment="1">
      <alignment horizontal="center" vertical="center"/>
    </xf>
    <xf numFmtId="0" fontId="10" fillId="2" borderId="0" xfId="3" applyFont="1" applyFill="1" applyAlignment="1">
      <alignment horizontal="center" vertical="center"/>
    </xf>
    <xf numFmtId="0" fontId="10" fillId="0" borderId="0" xfId="3" applyFont="1" applyAlignment="1">
      <alignment horizontal="left" vertical="center"/>
    </xf>
    <xf numFmtId="0" fontId="17" fillId="0" borderId="0" xfId="3" applyFont="1" applyAlignment="1">
      <alignment horizontal="left" vertical="center"/>
    </xf>
    <xf numFmtId="166" fontId="16" fillId="2" borderId="0" xfId="4" applyFont="1" applyFill="1" applyBorder="1" applyAlignment="1">
      <alignment horizontal="center" vertical="center"/>
    </xf>
    <xf numFmtId="165" fontId="21" fillId="0" borderId="0" xfId="5" applyNumberFormat="1" applyFont="1" applyBorder="1" applyAlignment="1">
      <alignment vertical="center"/>
    </xf>
    <xf numFmtId="0" fontId="0" fillId="0" borderId="0" xfId="0" applyAlignment="1">
      <alignment horizontal="left" vertical="center"/>
    </xf>
    <xf numFmtId="167" fontId="13" fillId="0" borderId="0" xfId="8" applyNumberFormat="1" applyFont="1" applyFill="1" applyBorder="1">
      <alignment horizontal="center" vertical="center"/>
    </xf>
    <xf numFmtId="3" fontId="13" fillId="0" borderId="0" xfId="8" applyNumberFormat="1" applyFont="1" applyFill="1" applyBorder="1">
      <alignment horizontal="center" vertical="center"/>
    </xf>
    <xf numFmtId="168" fontId="13" fillId="0" borderId="0" xfId="8" applyNumberFormat="1" applyFont="1" applyFill="1" applyBorder="1">
      <alignment horizontal="center" vertical="center"/>
    </xf>
    <xf numFmtId="0" fontId="10" fillId="0" borderId="0" xfId="3" applyFont="1" applyAlignment="1">
      <alignment vertical="center" wrapText="1"/>
    </xf>
    <xf numFmtId="173" fontId="10" fillId="0" borderId="0" xfId="3" applyNumberFormat="1" applyFont="1">
      <alignment vertical="center"/>
    </xf>
    <xf numFmtId="0" fontId="3" fillId="0" borderId="0" xfId="0" applyFont="1" applyAlignment="1">
      <alignment horizontal="center" vertical="center"/>
    </xf>
    <xf numFmtId="0" fontId="44" fillId="0" borderId="20" xfId="17" applyAlignment="1">
      <alignment horizontal="left" vertical="center"/>
    </xf>
    <xf numFmtId="0" fontId="43" fillId="0" borderId="19" xfId="16" applyAlignment="1">
      <alignment horizontal="left" vertical="center"/>
    </xf>
    <xf numFmtId="1" fontId="10" fillId="0" borderId="0" xfId="3" applyNumberFormat="1" applyFont="1" applyAlignment="1">
      <alignment horizontal="center" vertical="center"/>
    </xf>
    <xf numFmtId="0" fontId="10" fillId="0" borderId="0" xfId="3" applyFont="1" applyAlignment="1">
      <alignment horizontal="right" vertical="center"/>
    </xf>
    <xf numFmtId="0" fontId="10" fillId="0" borderId="18" xfId="3" applyFont="1" applyBorder="1">
      <alignment vertical="center"/>
    </xf>
    <xf numFmtId="0" fontId="10" fillId="0" borderId="21" xfId="3" applyFont="1" applyBorder="1">
      <alignment vertical="center"/>
    </xf>
    <xf numFmtId="0" fontId="10" fillId="0" borderId="22" xfId="3" applyFont="1" applyBorder="1">
      <alignment vertical="center"/>
    </xf>
    <xf numFmtId="0" fontId="10" fillId="0" borderId="1" xfId="3" applyFont="1" applyBorder="1" applyAlignment="1">
      <alignment horizontal="right" vertical="center"/>
    </xf>
    <xf numFmtId="1" fontId="10" fillId="0" borderId="1" xfId="3" applyNumberFormat="1" applyFont="1" applyBorder="1" applyAlignment="1">
      <alignment horizontal="center" vertical="center"/>
    </xf>
    <xf numFmtId="0" fontId="10" fillId="0" borderId="23" xfId="3" applyFont="1" applyBorder="1">
      <alignment vertical="center"/>
    </xf>
    <xf numFmtId="0" fontId="10" fillId="0" borderId="21" xfId="3" applyFont="1" applyBorder="1" applyAlignment="1">
      <alignment horizontal="left" vertical="center"/>
    </xf>
    <xf numFmtId="0" fontId="10" fillId="0" borderId="23" xfId="3" applyFont="1" applyBorder="1" applyAlignment="1">
      <alignment horizontal="left" vertical="center"/>
    </xf>
    <xf numFmtId="0" fontId="15" fillId="0" borderId="0" xfId="3" applyFont="1">
      <alignment vertical="center"/>
    </xf>
    <xf numFmtId="165" fontId="21" fillId="0" borderId="0" xfId="5" applyNumberFormat="1" applyFont="1" applyBorder="1" applyAlignment="1">
      <alignment horizontal="left" vertical="center"/>
    </xf>
    <xf numFmtId="0" fontId="19" fillId="0" borderId="0" xfId="3" applyFont="1" applyAlignment="1">
      <alignment horizontal="left" vertical="center"/>
    </xf>
    <xf numFmtId="0" fontId="20" fillId="0" borderId="0" xfId="3" applyFont="1" applyAlignment="1">
      <alignment horizontal="left" vertical="center"/>
    </xf>
    <xf numFmtId="0" fontId="21" fillId="0" borderId="0" xfId="3" applyFont="1" applyAlignment="1">
      <alignment horizontal="left" vertical="center"/>
    </xf>
    <xf numFmtId="166" fontId="20" fillId="0" borderId="0" xfId="4" applyFont="1" applyFill="1" applyBorder="1" applyAlignment="1">
      <alignment horizontal="left" vertical="center"/>
    </xf>
    <xf numFmtId="1" fontId="10" fillId="0" borderId="15" xfId="3" applyNumberFormat="1" applyFont="1" applyBorder="1" applyAlignment="1">
      <alignment horizontal="center" vertical="center"/>
    </xf>
    <xf numFmtId="0" fontId="0" fillId="0" borderId="0" xfId="0" applyAlignment="1">
      <alignment vertical="center"/>
    </xf>
    <xf numFmtId="1" fontId="46" fillId="0" borderId="0" xfId="0" applyNumberFormat="1" applyFont="1" applyAlignment="1">
      <alignment horizontal="center" vertical="center" shrinkToFit="1"/>
    </xf>
    <xf numFmtId="0" fontId="49" fillId="0" borderId="0" xfId="0" applyFont="1" applyAlignment="1">
      <alignment vertical="center"/>
    </xf>
    <xf numFmtId="0" fontId="0" fillId="0" borderId="0" xfId="0" applyAlignment="1">
      <alignment horizontal="right" vertical="center"/>
    </xf>
    <xf numFmtId="1" fontId="0" fillId="0" borderId="0" xfId="0" applyNumberFormat="1" applyAlignment="1">
      <alignment vertical="center"/>
    </xf>
    <xf numFmtId="0" fontId="44" fillId="0" borderId="0" xfId="18" applyAlignment="1">
      <alignment horizontal="center" vertical="center"/>
    </xf>
    <xf numFmtId="165" fontId="0" fillId="0" borderId="0" xfId="1" applyNumberFormat="1" applyFont="1" applyAlignment="1">
      <alignment horizontal="center"/>
    </xf>
    <xf numFmtId="165" fontId="35" fillId="10" borderId="2" xfId="13" applyNumberFormat="1" applyAlignment="1">
      <alignment horizontal="center"/>
    </xf>
    <xf numFmtId="0" fontId="0" fillId="3" borderId="0" xfId="0" applyFill="1" applyAlignment="1">
      <alignment horizontal="left" vertical="center"/>
    </xf>
    <xf numFmtId="0" fontId="3" fillId="0" borderId="0" xfId="0" applyFont="1" applyAlignment="1">
      <alignment horizontal="right" vertical="center"/>
    </xf>
    <xf numFmtId="0" fontId="10" fillId="3" borderId="0" xfId="3" applyFont="1" applyFill="1">
      <alignment vertical="center"/>
    </xf>
    <xf numFmtId="0" fontId="22" fillId="0" borderId="0" xfId="3" applyFont="1">
      <alignment vertical="center"/>
    </xf>
    <xf numFmtId="0" fontId="51" fillId="0" borderId="0" xfId="9" applyFont="1" applyFill="1" applyBorder="1" applyAlignment="1">
      <alignment vertical="center"/>
    </xf>
    <xf numFmtId="0" fontId="20" fillId="0" borderId="0" xfId="9" applyFont="1" applyFill="1" applyBorder="1" applyAlignment="1">
      <alignment horizontal="left" vertical="center"/>
    </xf>
    <xf numFmtId="167" fontId="20" fillId="0" borderId="0" xfId="8" applyNumberFormat="1" applyFont="1" applyFill="1" applyBorder="1">
      <alignment horizontal="center" vertical="center"/>
    </xf>
    <xf numFmtId="0" fontId="33" fillId="0" borderId="0" xfId="3" applyFont="1">
      <alignment vertical="center"/>
    </xf>
    <xf numFmtId="0" fontId="20" fillId="3" borderId="0" xfId="9" applyFont="1" applyFill="1" applyBorder="1" applyAlignment="1">
      <alignment vertical="center"/>
    </xf>
    <xf numFmtId="167" fontId="20" fillId="3" borderId="0" xfId="8" applyNumberFormat="1" applyFont="1" applyFill="1" applyBorder="1">
      <alignment horizontal="center" vertical="center"/>
    </xf>
    <xf numFmtId="0" fontId="21" fillId="0" borderId="0" xfId="0" applyFont="1" applyAlignment="1">
      <alignment horizontal="left" vertical="center"/>
    </xf>
    <xf numFmtId="0" fontId="21" fillId="0" borderId="0" xfId="0" applyFont="1" applyAlignment="1">
      <alignment horizontal="center" vertical="center"/>
    </xf>
    <xf numFmtId="0" fontId="20" fillId="3" borderId="0" xfId="9" applyFont="1" applyFill="1" applyBorder="1" applyAlignment="1">
      <alignment horizontal="right" vertical="center"/>
    </xf>
    <xf numFmtId="0" fontId="21" fillId="0" borderId="0" xfId="0" applyFont="1"/>
    <xf numFmtId="0" fontId="15" fillId="2" borderId="36" xfId="0" applyFont="1" applyFill="1" applyBorder="1" applyAlignment="1">
      <alignment horizontal="left" vertical="center"/>
    </xf>
    <xf numFmtId="0" fontId="15" fillId="2" borderId="37" xfId="0" applyFont="1" applyFill="1" applyBorder="1" applyAlignment="1">
      <alignment horizontal="center" vertical="center"/>
    </xf>
    <xf numFmtId="0" fontId="15" fillId="2" borderId="38" xfId="0" applyFont="1" applyFill="1" applyBorder="1" applyAlignment="1">
      <alignment horizontal="left" vertical="center"/>
    </xf>
    <xf numFmtId="0" fontId="15" fillId="2" borderId="39" xfId="0" applyFont="1" applyFill="1" applyBorder="1" applyAlignment="1">
      <alignment horizontal="left" vertical="center"/>
    </xf>
    <xf numFmtId="0" fontId="15" fillId="2" borderId="42" xfId="0" applyFont="1" applyFill="1" applyBorder="1" applyAlignment="1">
      <alignment horizontal="center" vertical="center"/>
    </xf>
    <xf numFmtId="0" fontId="15" fillId="2" borderId="38" xfId="0" applyFont="1" applyFill="1" applyBorder="1" applyAlignment="1">
      <alignment horizontal="center" vertical="center" shrinkToFit="1"/>
    </xf>
    <xf numFmtId="3" fontId="21" fillId="13" borderId="33" xfId="0" applyNumberFormat="1" applyFont="1" applyFill="1" applyBorder="1" applyAlignment="1">
      <alignment horizontal="left" indent="1"/>
    </xf>
    <xf numFmtId="3" fontId="21" fillId="13" borderId="35" xfId="0" applyNumberFormat="1" applyFont="1" applyFill="1" applyBorder="1" applyAlignment="1">
      <alignment horizontal="left" vertical="top" indent="1"/>
    </xf>
    <xf numFmtId="3" fontId="21" fillId="14" borderId="33" xfId="0" applyNumberFormat="1" applyFont="1" applyFill="1" applyBorder="1" applyAlignment="1">
      <alignment horizontal="left" indent="1"/>
    </xf>
    <xf numFmtId="3" fontId="21" fillId="14" borderId="35" xfId="0" applyNumberFormat="1" applyFont="1" applyFill="1" applyBorder="1" applyAlignment="1">
      <alignment horizontal="left" vertical="top" indent="1"/>
    </xf>
    <xf numFmtId="0" fontId="22" fillId="0" borderId="0" xfId="0" applyFont="1" applyAlignment="1">
      <alignment horizontal="center" vertical="center"/>
    </xf>
    <xf numFmtId="9" fontId="21" fillId="0" borderId="0" xfId="2" applyFont="1" applyBorder="1" applyAlignment="1">
      <alignment horizontal="left" vertical="center"/>
    </xf>
    <xf numFmtId="0" fontId="20" fillId="0" borderId="0" xfId="3" quotePrefix="1" applyFont="1" applyAlignment="1">
      <alignment horizontal="left" vertical="center" indent="2"/>
    </xf>
    <xf numFmtId="0" fontId="24" fillId="0" borderId="0" xfId="0" applyFont="1" applyAlignment="1">
      <alignment horizontal="left" vertical="center"/>
    </xf>
    <xf numFmtId="0" fontId="52" fillId="0" borderId="0" xfId="0" applyFont="1" applyAlignment="1">
      <alignment horizontal="left" vertical="center"/>
    </xf>
    <xf numFmtId="0" fontId="39" fillId="0" borderId="0" xfId="0" applyFont="1" applyAlignment="1">
      <alignment horizontal="left" vertical="center"/>
    </xf>
    <xf numFmtId="164" fontId="21" fillId="0" borderId="0" xfId="2" applyNumberFormat="1" applyFont="1" applyBorder="1" applyAlignment="1">
      <alignment horizontal="left" vertical="center"/>
    </xf>
    <xf numFmtId="0" fontId="54" fillId="0" borderId="2" xfId="13" applyFont="1" applyFill="1" applyAlignment="1">
      <alignment horizontal="center"/>
    </xf>
    <xf numFmtId="0" fontId="54" fillId="0" borderId="48" xfId="13" applyFont="1" applyFill="1" applyBorder="1" applyAlignment="1">
      <alignment horizontal="center"/>
    </xf>
    <xf numFmtId="0" fontId="4" fillId="0" borderId="0" xfId="0" applyFont="1" applyAlignment="1">
      <alignment horizontal="center" wrapText="1"/>
    </xf>
    <xf numFmtId="2" fontId="0" fillId="0" borderId="0" xfId="0" applyNumberFormat="1"/>
    <xf numFmtId="170" fontId="0" fillId="0" borderId="0" xfId="0" applyNumberFormat="1"/>
    <xf numFmtId="164" fontId="2" fillId="2" borderId="16" xfId="13" applyNumberFormat="1" applyFont="1" applyFill="1" applyBorder="1" applyAlignment="1">
      <alignment horizontal="center"/>
    </xf>
    <xf numFmtId="164" fontId="2" fillId="2" borderId="16" xfId="2" applyNumberFormat="1" applyFont="1" applyFill="1" applyBorder="1" applyAlignment="1">
      <alignment horizontal="center"/>
    </xf>
    <xf numFmtId="2" fontId="2" fillId="2" borderId="16" xfId="2" applyNumberFormat="1" applyFont="1" applyFill="1" applyBorder="1" applyAlignment="1">
      <alignment horizontal="center"/>
    </xf>
    <xf numFmtId="44" fontId="2" fillId="2" borderId="16" xfId="10" applyFont="1" applyFill="1" applyBorder="1" applyAlignment="1">
      <alignment horizontal="center"/>
    </xf>
    <xf numFmtId="171" fontId="2" fillId="2" borderId="16" xfId="2" applyNumberFormat="1" applyFont="1" applyFill="1" applyBorder="1" applyAlignment="1">
      <alignment horizontal="center"/>
    </xf>
    <xf numFmtId="1" fontId="35" fillId="10" borderId="48" xfId="13" applyNumberFormat="1" applyBorder="1" applyAlignment="1">
      <alignment horizontal="center"/>
    </xf>
    <xf numFmtId="0" fontId="10" fillId="0" borderId="49" xfId="3" applyFont="1" applyBorder="1">
      <alignment vertical="center"/>
    </xf>
    <xf numFmtId="0" fontId="21" fillId="0" borderId="0" xfId="0" applyFont="1" applyAlignment="1">
      <alignment horizontal="right" vertical="center"/>
    </xf>
    <xf numFmtId="0" fontId="22" fillId="16" borderId="0" xfId="0" applyFont="1" applyFill="1" applyAlignment="1">
      <alignment horizontal="center" vertical="center"/>
    </xf>
    <xf numFmtId="0" fontId="21" fillId="0" borderId="0" xfId="0" applyFont="1" applyAlignment="1">
      <alignment vertical="center" wrapText="1"/>
    </xf>
    <xf numFmtId="0" fontId="57" fillId="0" borderId="0" xfId="0" applyFont="1" applyAlignment="1">
      <alignment horizontal="left" vertical="center"/>
    </xf>
    <xf numFmtId="0" fontId="58" fillId="0" borderId="0" xfId="0" applyFont="1" applyAlignment="1">
      <alignment horizontal="left" vertical="center"/>
    </xf>
    <xf numFmtId="0" fontId="20" fillId="0" borderId="0" xfId="0" applyFont="1" applyAlignment="1">
      <alignment horizontal="left" vertical="center"/>
    </xf>
    <xf numFmtId="0" fontId="3" fillId="0" borderId="0" xfId="0" applyFont="1" applyAlignment="1">
      <alignment horizontal="left" vertical="center"/>
    </xf>
    <xf numFmtId="177" fontId="10" fillId="0" borderId="0" xfId="3" applyNumberFormat="1" applyFont="1">
      <alignment vertical="center"/>
    </xf>
    <xf numFmtId="178" fontId="0" fillId="0" borderId="0" xfId="0" applyNumberFormat="1" applyAlignment="1">
      <alignment horizontal="center"/>
    </xf>
    <xf numFmtId="0" fontId="3" fillId="19" borderId="1" xfId="0" applyFont="1" applyFill="1" applyBorder="1" applyAlignment="1">
      <alignment horizontal="center" vertical="center"/>
    </xf>
    <xf numFmtId="0" fontId="3" fillId="15" borderId="1" xfId="0" applyFont="1" applyFill="1" applyBorder="1" applyAlignment="1">
      <alignment horizontal="center" vertical="center"/>
    </xf>
    <xf numFmtId="165" fontId="3" fillId="0" borderId="15" xfId="0" applyNumberFormat="1" applyFont="1" applyBorder="1" applyAlignment="1">
      <alignment horizontal="left" vertical="center"/>
    </xf>
    <xf numFmtId="0" fontId="2" fillId="18" borderId="1" xfId="0" applyFont="1" applyFill="1" applyBorder="1" applyAlignment="1">
      <alignment horizontal="center" vertical="center"/>
    </xf>
    <xf numFmtId="165" fontId="54" fillId="0" borderId="15" xfId="0" applyNumberFormat="1" applyFont="1" applyBorder="1" applyAlignment="1">
      <alignment horizontal="left" vertical="center"/>
    </xf>
    <xf numFmtId="0" fontId="10" fillId="0" borderId="0" xfId="3" applyFont="1" applyAlignment="1">
      <alignment horizontal="left" vertical="center" wrapText="1"/>
    </xf>
    <xf numFmtId="165" fontId="10" fillId="17" borderId="0" xfId="1" applyNumberFormat="1" applyFont="1" applyFill="1" applyAlignment="1">
      <alignment horizontal="center" vertical="center"/>
    </xf>
    <xf numFmtId="0" fontId="40" fillId="0" borderId="0" xfId="14" applyFill="1" applyAlignment="1">
      <alignment horizontal="center"/>
    </xf>
    <xf numFmtId="0" fontId="3" fillId="20" borderId="47" xfId="0" applyFont="1" applyFill="1" applyBorder="1" applyAlignment="1">
      <alignment horizontal="center" vertical="center"/>
    </xf>
    <xf numFmtId="0" fontId="44" fillId="0" borderId="20" xfId="17" quotePrefix="1" applyAlignment="1">
      <alignment horizontal="left" vertical="center"/>
    </xf>
    <xf numFmtId="0" fontId="4" fillId="0" borderId="51" xfId="0" applyFont="1" applyBorder="1" applyAlignment="1">
      <alignment horizontal="center"/>
    </xf>
    <xf numFmtId="0" fontId="0" fillId="0" borderId="16" xfId="0" applyBorder="1" applyAlignment="1">
      <alignment horizontal="left"/>
    </xf>
    <xf numFmtId="0" fontId="0" fillId="0" borderId="17" xfId="0" applyBorder="1" applyAlignment="1">
      <alignment horizontal="left"/>
    </xf>
    <xf numFmtId="0" fontId="39" fillId="6" borderId="5" xfId="3" applyFont="1" applyFill="1" applyBorder="1" applyAlignment="1">
      <alignment horizontal="left" vertical="center" wrapText="1"/>
    </xf>
    <xf numFmtId="169" fontId="4" fillId="0" borderId="51" xfId="0" applyNumberFormat="1" applyFont="1" applyBorder="1" applyAlignment="1">
      <alignment horizontal="center"/>
    </xf>
    <xf numFmtId="2" fontId="4" fillId="0" borderId="51" xfId="0" applyNumberFormat="1" applyFont="1" applyBorder="1" applyAlignment="1">
      <alignment horizontal="center"/>
    </xf>
    <xf numFmtId="165" fontId="0" fillId="0" borderId="0" xfId="0" applyNumberFormat="1" applyAlignment="1">
      <alignment horizontal="left" vertical="center"/>
    </xf>
    <xf numFmtId="1" fontId="0" fillId="0" borderId="0" xfId="0" applyNumberFormat="1" applyAlignment="1">
      <alignment horizontal="left" vertical="center"/>
    </xf>
    <xf numFmtId="0" fontId="0" fillId="0" borderId="0" xfId="0" applyAlignment="1">
      <alignment horizontal="center" vertical="center"/>
    </xf>
    <xf numFmtId="0" fontId="38" fillId="0" borderId="0" xfId="3" applyFont="1" applyAlignment="1">
      <alignment horizontal="center" vertical="center" wrapText="1"/>
    </xf>
    <xf numFmtId="167" fontId="9" fillId="8" borderId="0" xfId="8" applyNumberFormat="1" applyFont="1" applyFill="1" applyBorder="1">
      <alignment horizontal="center" vertical="center"/>
    </xf>
    <xf numFmtId="0" fontId="0" fillId="0" borderId="47" xfId="0" applyBorder="1" applyAlignment="1">
      <alignment horizontal="center" vertical="center" wrapText="1"/>
    </xf>
    <xf numFmtId="2" fontId="0" fillId="0" borderId="0" xfId="2" applyNumberFormat="1" applyFont="1" applyFill="1" applyBorder="1" applyAlignment="1">
      <alignment horizontal="center"/>
    </xf>
    <xf numFmtId="0" fontId="56" fillId="0" borderId="0" xfId="0" applyFont="1"/>
    <xf numFmtId="0" fontId="54" fillId="23" borderId="0" xfId="0" applyFont="1" applyFill="1"/>
    <xf numFmtId="0" fontId="54" fillId="0" borderId="0" xfId="0" applyFont="1"/>
    <xf numFmtId="169" fontId="1" fillId="0" borderId="0" xfId="13" applyNumberFormat="1" applyFont="1" applyFill="1" applyBorder="1" applyAlignment="1">
      <alignment horizontal="center"/>
    </xf>
    <xf numFmtId="44" fontId="0" fillId="0" borderId="0" xfId="10" applyFont="1" applyFill="1"/>
    <xf numFmtId="0" fontId="10" fillId="6" borderId="0" xfId="3" applyFont="1" applyFill="1">
      <alignment vertical="center"/>
    </xf>
    <xf numFmtId="0" fontId="16" fillId="6" borderId="0" xfId="3" applyFont="1" applyFill="1">
      <alignment vertical="center"/>
    </xf>
    <xf numFmtId="0" fontId="15" fillId="6" borderId="0" xfId="3" applyFont="1" applyFill="1">
      <alignment vertical="center"/>
    </xf>
    <xf numFmtId="0" fontId="16" fillId="6" borderId="0" xfId="3" applyFont="1" applyFill="1" applyAlignment="1">
      <alignment horizontal="center" vertical="center"/>
    </xf>
    <xf numFmtId="1" fontId="10" fillId="6" borderId="0" xfId="3" applyNumberFormat="1" applyFont="1" applyFill="1" applyAlignment="1">
      <alignment horizontal="center" vertical="center"/>
    </xf>
    <xf numFmtId="0" fontId="0" fillId="6" borderId="0" xfId="0" applyFill="1"/>
    <xf numFmtId="166" fontId="16" fillId="6" borderId="0" xfId="4" applyFont="1" applyFill="1" applyAlignment="1">
      <alignment horizontal="center" vertical="center"/>
    </xf>
    <xf numFmtId="0" fontId="10" fillId="6" borderId="0" xfId="3" applyFont="1" applyFill="1" applyAlignment="1">
      <alignment horizontal="left" vertical="center" wrapText="1"/>
    </xf>
    <xf numFmtId="0" fontId="0" fillId="6" borderId="0" xfId="0" applyFill="1" applyAlignment="1">
      <alignment vertical="center"/>
    </xf>
    <xf numFmtId="1" fontId="10" fillId="0" borderId="49" xfId="3" applyNumberFormat="1" applyFont="1" applyBorder="1">
      <alignment vertical="center"/>
    </xf>
    <xf numFmtId="37" fontId="0" fillId="0" borderId="0" xfId="1" applyNumberFormat="1" applyFont="1" applyFill="1" applyBorder="1" applyAlignment="1">
      <alignment horizontal="center"/>
    </xf>
    <xf numFmtId="165" fontId="3" fillId="19" borderId="0" xfId="1" applyNumberFormat="1" applyFont="1" applyFill="1" applyAlignment="1">
      <alignment horizontal="left" vertical="center"/>
    </xf>
    <xf numFmtId="165" fontId="3" fillId="15" borderId="0" xfId="1" applyNumberFormat="1" applyFont="1" applyFill="1" applyAlignment="1">
      <alignment horizontal="left" vertical="center"/>
    </xf>
    <xf numFmtId="165" fontId="2" fillId="18" borderId="0" xfId="1" applyNumberFormat="1" applyFont="1" applyFill="1" applyAlignment="1">
      <alignment horizontal="left" vertical="center"/>
    </xf>
    <xf numFmtId="165" fontId="3" fillId="20" borderId="0" xfId="1" applyNumberFormat="1" applyFont="1" applyFill="1" applyAlignment="1">
      <alignment horizontal="left" vertical="center"/>
    </xf>
    <xf numFmtId="0" fontId="16" fillId="0" borderId="0" xfId="3" applyFont="1">
      <alignment vertical="center"/>
    </xf>
    <xf numFmtId="0" fontId="15" fillId="0" borderId="4" xfId="3" applyFont="1" applyBorder="1">
      <alignment vertical="center"/>
    </xf>
    <xf numFmtId="166" fontId="15" fillId="0" borderId="7" xfId="4" applyFont="1" applyFill="1" applyBorder="1" applyAlignment="1">
      <alignment vertical="center" wrapText="1"/>
    </xf>
    <xf numFmtId="0" fontId="39" fillId="0" borderId="4" xfId="3" applyFont="1" applyBorder="1" applyAlignment="1">
      <alignment vertical="center" wrapText="1"/>
    </xf>
    <xf numFmtId="166" fontId="56" fillId="0" borderId="7" xfId="15" applyNumberFormat="1" applyFont="1" applyFill="1" applyBorder="1" applyAlignment="1">
      <alignment vertical="center" wrapText="1"/>
    </xf>
    <xf numFmtId="49" fontId="0" fillId="0" borderId="13" xfId="0" applyNumberFormat="1" applyBorder="1" applyAlignment="1">
      <alignment vertical="center" shrinkToFit="1"/>
    </xf>
    <xf numFmtId="0" fontId="40" fillId="0" borderId="0" xfId="14" applyAlignment="1">
      <alignment horizontal="center" vertical="center"/>
    </xf>
    <xf numFmtId="165" fontId="0" fillId="0" borderId="0" xfId="1" applyNumberFormat="1" applyFont="1" applyFill="1" applyAlignment="1">
      <alignment horizontal="center" vertical="center"/>
    </xf>
    <xf numFmtId="1" fontId="0" fillId="0" borderId="0" xfId="0" applyNumberFormat="1" applyAlignment="1">
      <alignment horizontal="center" vertical="center"/>
    </xf>
    <xf numFmtId="0" fontId="39" fillId="0" borderId="0" xfId="3" applyFont="1" applyAlignment="1">
      <alignment vertical="center" wrapText="1"/>
    </xf>
    <xf numFmtId="166" fontId="39" fillId="0" borderId="7" xfId="4" applyFont="1" applyFill="1" applyBorder="1" applyAlignment="1">
      <alignment vertical="center" wrapText="1"/>
    </xf>
    <xf numFmtId="0" fontId="10" fillId="0" borderId="3" xfId="3" applyFont="1" applyBorder="1">
      <alignment vertical="center"/>
    </xf>
    <xf numFmtId="0" fontId="22" fillId="6" borderId="0" xfId="3" applyFont="1" applyFill="1" applyAlignment="1">
      <alignment horizontal="center" vertical="center" wrapText="1"/>
    </xf>
    <xf numFmtId="0" fontId="39" fillId="6" borderId="0" xfId="3" applyFont="1" applyFill="1" applyAlignment="1">
      <alignment horizontal="left" vertical="center" wrapText="1"/>
    </xf>
    <xf numFmtId="0" fontId="39" fillId="6" borderId="0" xfId="3" applyFont="1" applyFill="1" applyAlignment="1">
      <alignment horizontal="center" vertical="center" wrapText="1"/>
    </xf>
    <xf numFmtId="166" fontId="39" fillId="6" borderId="0" xfId="4" applyFont="1" applyFill="1" applyBorder="1" applyAlignment="1">
      <alignment horizontal="center" vertical="center" wrapText="1"/>
    </xf>
    <xf numFmtId="3" fontId="0" fillId="0" borderId="0" xfId="0" applyNumberFormat="1" applyAlignment="1">
      <alignment horizontal="left" vertical="center"/>
    </xf>
    <xf numFmtId="0" fontId="55" fillId="0" borderId="0" xfId="0" applyFont="1"/>
    <xf numFmtId="0" fontId="4" fillId="0" borderId="0" xfId="0" applyFont="1" applyAlignment="1">
      <alignment horizontal="center"/>
    </xf>
    <xf numFmtId="169" fontId="4" fillId="0" borderId="0" xfId="0" applyNumberFormat="1" applyFont="1" applyAlignment="1">
      <alignment horizontal="center"/>
    </xf>
    <xf numFmtId="2" fontId="3" fillId="0" borderId="0" xfId="2" applyNumberFormat="1" applyFont="1" applyFill="1" applyBorder="1" applyAlignment="1">
      <alignment horizontal="center"/>
    </xf>
    <xf numFmtId="1" fontId="0" fillId="0" borderId="0" xfId="2" applyNumberFormat="1" applyFont="1" applyFill="1" applyAlignment="1">
      <alignment horizontal="center"/>
    </xf>
    <xf numFmtId="0" fontId="44" fillId="0" borderId="0" xfId="17" applyBorder="1" applyAlignment="1">
      <alignment horizontal="left" vertical="center"/>
    </xf>
    <xf numFmtId="1" fontId="0" fillId="26" borderId="1" xfId="2" applyNumberFormat="1" applyFont="1" applyFill="1" applyBorder="1" applyAlignment="1">
      <alignment horizontal="center"/>
    </xf>
    <xf numFmtId="172" fontId="0" fillId="0" borderId="0" xfId="10" applyNumberFormat="1" applyFont="1" applyBorder="1" applyAlignment="1">
      <alignment horizontal="center" vertical="center"/>
    </xf>
    <xf numFmtId="165" fontId="3" fillId="27" borderId="0" xfId="1" applyNumberFormat="1" applyFont="1" applyFill="1" applyAlignment="1">
      <alignment horizontal="left" vertical="center"/>
    </xf>
    <xf numFmtId="165" fontId="10" fillId="0" borderId="0" xfId="1" applyNumberFormat="1" applyFont="1" applyFill="1" applyAlignment="1">
      <alignment horizontal="center" vertical="center"/>
    </xf>
    <xf numFmtId="165" fontId="10" fillId="0" borderId="0" xfId="1" applyNumberFormat="1" applyFont="1" applyFill="1" applyBorder="1" applyAlignment="1">
      <alignment horizontal="center" vertical="center"/>
    </xf>
    <xf numFmtId="0" fontId="46" fillId="6" borderId="0" xfId="0" applyFont="1" applyFill="1"/>
    <xf numFmtId="9" fontId="2" fillId="2" borderId="16" xfId="2" applyFont="1" applyFill="1" applyBorder="1" applyAlignment="1">
      <alignment horizontal="center"/>
    </xf>
    <xf numFmtId="9" fontId="10" fillId="0" borderId="0" xfId="2" applyFont="1" applyAlignment="1">
      <alignment vertical="center"/>
    </xf>
    <xf numFmtId="0" fontId="0" fillId="0" borderId="52" xfId="0" applyBorder="1" applyAlignment="1">
      <alignment horizontal="left"/>
    </xf>
    <xf numFmtId="3" fontId="21" fillId="30" borderId="33" xfId="0" applyNumberFormat="1" applyFont="1" applyFill="1" applyBorder="1" applyAlignment="1">
      <alignment horizontal="left" indent="1"/>
    </xf>
    <xf numFmtId="3" fontId="21" fillId="30" borderId="35" xfId="0" applyNumberFormat="1" applyFont="1" applyFill="1" applyBorder="1" applyAlignment="1">
      <alignment horizontal="left" vertical="top" indent="1"/>
    </xf>
    <xf numFmtId="3" fontId="21" fillId="25" borderId="33" xfId="0" applyNumberFormat="1" applyFont="1" applyFill="1" applyBorder="1" applyAlignment="1">
      <alignment horizontal="left" indent="1"/>
    </xf>
    <xf numFmtId="3" fontId="21" fillId="25" borderId="35" xfId="0" applyNumberFormat="1" applyFont="1" applyFill="1" applyBorder="1" applyAlignment="1">
      <alignment horizontal="left" vertical="top" indent="1"/>
    </xf>
    <xf numFmtId="175" fontId="0" fillId="0" borderId="0" xfId="1" applyNumberFormat="1" applyFont="1" applyFill="1" applyBorder="1"/>
    <xf numFmtId="169" fontId="0" fillId="0" borderId="0" xfId="2" applyNumberFormat="1" applyFont="1" applyFill="1" applyBorder="1" applyAlignment="1">
      <alignment horizontal="center"/>
    </xf>
    <xf numFmtId="0" fontId="16" fillId="6" borderId="0" xfId="0" applyFont="1" applyFill="1" applyAlignment="1">
      <alignment horizontal="left" vertical="center"/>
    </xf>
    <xf numFmtId="0" fontId="16" fillId="6" borderId="0" xfId="0" applyFont="1" applyFill="1" applyAlignment="1">
      <alignment horizontal="right" vertical="center"/>
    </xf>
    <xf numFmtId="0" fontId="16" fillId="6" borderId="0" xfId="0" applyFont="1" applyFill="1" applyAlignment="1">
      <alignment vertical="center"/>
    </xf>
    <xf numFmtId="1" fontId="16" fillId="6" borderId="0" xfId="0" applyNumberFormat="1" applyFont="1" applyFill="1" applyAlignment="1">
      <alignment vertical="center"/>
    </xf>
    <xf numFmtId="0" fontId="46" fillId="6" borderId="0" xfId="0" applyFont="1" applyFill="1" applyAlignment="1">
      <alignment vertical="center"/>
    </xf>
    <xf numFmtId="0" fontId="46" fillId="6" borderId="0" xfId="0" applyFont="1" applyFill="1" applyAlignment="1">
      <alignment horizontal="right" vertical="center"/>
    </xf>
    <xf numFmtId="1" fontId="46" fillId="6" borderId="0" xfId="0" applyNumberFormat="1" applyFont="1" applyFill="1" applyAlignment="1">
      <alignment vertical="center"/>
    </xf>
    <xf numFmtId="0" fontId="49" fillId="6" borderId="0" xfId="0" applyFont="1" applyFill="1" applyAlignment="1">
      <alignment vertical="center"/>
    </xf>
    <xf numFmtId="1" fontId="0" fillId="0" borderId="0" xfId="0" applyNumberFormat="1" applyAlignment="1">
      <alignment horizontal="right" vertical="center"/>
    </xf>
    <xf numFmtId="164" fontId="0" fillId="0" borderId="0" xfId="0" applyNumberFormat="1"/>
    <xf numFmtId="10" fontId="10" fillId="0" borderId="0" xfId="3" applyNumberFormat="1" applyFont="1" applyAlignment="1">
      <alignment horizontal="left" vertical="top" wrapText="1"/>
    </xf>
    <xf numFmtId="0" fontId="10" fillId="6" borderId="0" xfId="3" applyFont="1" applyFill="1" applyAlignment="1">
      <alignment horizontal="left" vertical="top" wrapText="1"/>
    </xf>
    <xf numFmtId="0" fontId="27" fillId="6" borderId="0" xfId="0" applyFont="1" applyFill="1"/>
    <xf numFmtId="0" fontId="5" fillId="6" borderId="0" xfId="3" applyFill="1">
      <alignment vertical="center"/>
    </xf>
    <xf numFmtId="165" fontId="10" fillId="6" borderId="0" xfId="1" applyNumberFormat="1" applyFont="1" applyFill="1" applyAlignment="1">
      <alignment horizontal="center" vertical="center"/>
    </xf>
    <xf numFmtId="0" fontId="27" fillId="6" borderId="0" xfId="0" applyFont="1" applyFill="1" applyAlignment="1">
      <alignment horizontal="left"/>
    </xf>
    <xf numFmtId="0" fontId="25" fillId="6" borderId="0" xfId="0" applyFont="1" applyFill="1" applyAlignment="1">
      <alignment horizontal="center"/>
    </xf>
    <xf numFmtId="0" fontId="76" fillId="6" borderId="0" xfId="0" applyFont="1" applyFill="1"/>
    <xf numFmtId="0" fontId="77" fillId="6" borderId="51" xfId="0" applyFont="1" applyFill="1" applyBorder="1" applyAlignment="1">
      <alignment horizontal="center"/>
    </xf>
    <xf numFmtId="0" fontId="77" fillId="6" borderId="0" xfId="0" applyFont="1" applyFill="1" applyAlignment="1">
      <alignment horizontal="center" wrapText="1"/>
    </xf>
    <xf numFmtId="169" fontId="77" fillId="6" borderId="51" xfId="0" applyNumberFormat="1" applyFont="1" applyFill="1" applyBorder="1" applyAlignment="1">
      <alignment horizontal="center"/>
    </xf>
    <xf numFmtId="2" fontId="76" fillId="6" borderId="0" xfId="0" applyNumberFormat="1" applyFont="1" applyFill="1"/>
    <xf numFmtId="0" fontId="76" fillId="6" borderId="0" xfId="0" applyFont="1" applyFill="1" applyAlignment="1">
      <alignment horizontal="center"/>
    </xf>
    <xf numFmtId="178" fontId="76" fillId="6" borderId="0" xfId="0" applyNumberFormat="1" applyFont="1" applyFill="1" applyAlignment="1">
      <alignment horizontal="center"/>
    </xf>
    <xf numFmtId="0" fontId="39" fillId="6" borderId="6" xfId="3" applyFont="1" applyFill="1" applyBorder="1" applyAlignment="1">
      <alignment horizontal="left" vertical="center" wrapText="1"/>
    </xf>
    <xf numFmtId="0" fontId="73" fillId="6" borderId="0" xfId="3" applyFont="1" applyFill="1" applyAlignment="1">
      <alignment horizontal="left" vertical="center"/>
    </xf>
    <xf numFmtId="0" fontId="72" fillId="6" borderId="0" xfId="9" applyFont="1" applyFill="1" applyAlignment="1">
      <alignment horizontal="left" vertical="center"/>
    </xf>
    <xf numFmtId="177" fontId="0" fillId="6" borderId="0" xfId="0" applyNumberFormat="1" applyFill="1"/>
    <xf numFmtId="166" fontId="76" fillId="6" borderId="0" xfId="0" applyNumberFormat="1" applyFont="1" applyFill="1"/>
    <xf numFmtId="0" fontId="40" fillId="0" borderId="0" xfId="14"/>
    <xf numFmtId="0" fontId="0" fillId="0" borderId="0" xfId="0" applyAlignment="1">
      <alignment horizontal="right"/>
    </xf>
    <xf numFmtId="0" fontId="0" fillId="15" borderId="0" xfId="0" applyFill="1" applyAlignment="1">
      <alignment horizontal="center" vertical="center"/>
    </xf>
    <xf numFmtId="0" fontId="6" fillId="0" borderId="0" xfId="3" applyFont="1">
      <alignment vertical="center"/>
    </xf>
    <xf numFmtId="165" fontId="0" fillId="0" borderId="0" xfId="0" applyNumberFormat="1" applyAlignment="1">
      <alignment horizontal="center" vertical="center"/>
    </xf>
    <xf numFmtId="43" fontId="0" fillId="0" borderId="0" xfId="0" applyNumberFormat="1" applyAlignment="1">
      <alignment horizontal="center"/>
    </xf>
    <xf numFmtId="0" fontId="76" fillId="0" borderId="0" xfId="0" applyFont="1"/>
    <xf numFmtId="0" fontId="76" fillId="0" borderId="0" xfId="0" applyFont="1" applyAlignment="1">
      <alignment horizontal="left" vertical="center"/>
    </xf>
    <xf numFmtId="0" fontId="27" fillId="0" borderId="0" xfId="0" applyFont="1" applyAlignment="1">
      <alignment horizontal="left"/>
    </xf>
    <xf numFmtId="0" fontId="27" fillId="0" borderId="0" xfId="0" applyFont="1" applyAlignment="1">
      <alignment horizontal="center" vertical="center"/>
    </xf>
    <xf numFmtId="0" fontId="27" fillId="0" borderId="0" xfId="0" applyFont="1" applyAlignment="1">
      <alignment horizontal="left" vertical="center"/>
    </xf>
    <xf numFmtId="1" fontId="80" fillId="10" borderId="48" xfId="13" applyNumberFormat="1" applyFont="1" applyBorder="1" applyAlignment="1">
      <alignment horizontal="center"/>
    </xf>
    <xf numFmtId="0" fontId="25" fillId="0" borderId="0" xfId="0" applyFont="1" applyAlignment="1">
      <alignment horizontal="center"/>
    </xf>
    <xf numFmtId="0" fontId="76" fillId="0" borderId="0" xfId="0" applyFont="1" applyAlignment="1">
      <alignment horizontal="center"/>
    </xf>
    <xf numFmtId="0" fontId="77" fillId="0" borderId="0" xfId="0" applyFont="1" applyAlignment="1">
      <alignment horizontal="center" wrapText="1"/>
    </xf>
    <xf numFmtId="0" fontId="77" fillId="0" borderId="51" xfId="0" applyFont="1" applyBorder="1" applyAlignment="1">
      <alignment horizontal="center"/>
    </xf>
    <xf numFmtId="169" fontId="77" fillId="0" borderId="51" xfId="0" applyNumberFormat="1" applyFont="1" applyBorder="1" applyAlignment="1">
      <alignment horizontal="center"/>
    </xf>
    <xf numFmtId="164" fontId="25" fillId="2" borderId="16" xfId="2" applyNumberFormat="1" applyFont="1" applyFill="1" applyBorder="1" applyAlignment="1">
      <alignment horizontal="center"/>
    </xf>
    <xf numFmtId="164" fontId="76" fillId="0" borderId="0" xfId="2" applyNumberFormat="1" applyFont="1" applyFill="1"/>
    <xf numFmtId="0" fontId="76" fillId="0" borderId="16" xfId="0" applyFont="1" applyBorder="1" applyAlignment="1">
      <alignment horizontal="left"/>
    </xf>
    <xf numFmtId="171" fontId="25" fillId="2" borderId="16" xfId="2" applyNumberFormat="1" applyFont="1" applyFill="1" applyBorder="1" applyAlignment="1">
      <alignment horizontal="center"/>
    </xf>
    <xf numFmtId="170" fontId="76" fillId="0" borderId="0" xfId="0" applyNumberFormat="1" applyFont="1"/>
    <xf numFmtId="171" fontId="76" fillId="0" borderId="0" xfId="0" applyNumberFormat="1" applyFont="1"/>
    <xf numFmtId="0" fontId="76" fillId="0" borderId="17" xfId="0" applyFont="1" applyBorder="1" applyAlignment="1">
      <alignment horizontal="left"/>
    </xf>
    <xf numFmtId="0" fontId="76" fillId="0" borderId="50" xfId="0" applyFont="1" applyBorder="1" applyAlignment="1">
      <alignment horizontal="left"/>
    </xf>
    <xf numFmtId="2" fontId="25" fillId="2" borderId="16" xfId="2" applyNumberFormat="1" applyFont="1" applyFill="1" applyBorder="1" applyAlignment="1">
      <alignment horizontal="center"/>
    </xf>
    <xf numFmtId="2" fontId="76" fillId="0" borderId="0" xfId="0" applyNumberFormat="1" applyFont="1"/>
    <xf numFmtId="0" fontId="76" fillId="6" borderId="0" xfId="0" applyFont="1" applyFill="1" applyAlignment="1">
      <alignment horizontal="left" vertical="center"/>
    </xf>
    <xf numFmtId="0" fontId="76" fillId="0" borderId="0" xfId="0" applyFont="1" applyAlignment="1">
      <alignment horizontal="left"/>
    </xf>
    <xf numFmtId="169" fontId="76" fillId="0" borderId="0" xfId="13" applyNumberFormat="1" applyFont="1" applyFill="1" applyBorder="1" applyAlignment="1">
      <alignment horizontal="center"/>
    </xf>
    <xf numFmtId="9" fontId="76" fillId="0" borderId="0" xfId="2" applyFont="1" applyFill="1" applyBorder="1" applyAlignment="1">
      <alignment horizontal="center"/>
    </xf>
    <xf numFmtId="9" fontId="27" fillId="0" borderId="0" xfId="2" applyFont="1" applyFill="1" applyBorder="1" applyAlignment="1">
      <alignment horizontal="center"/>
    </xf>
    <xf numFmtId="37" fontId="76" fillId="0" borderId="0" xfId="1" applyNumberFormat="1" applyFont="1" applyFill="1" applyBorder="1" applyAlignment="1">
      <alignment horizontal="center"/>
    </xf>
    <xf numFmtId="43" fontId="76" fillId="0" borderId="0" xfId="1" applyFont="1" applyFill="1" applyBorder="1" applyAlignment="1">
      <alignment horizontal="center"/>
    </xf>
    <xf numFmtId="0" fontId="27" fillId="0" borderId="0" xfId="2" applyNumberFormat="1" applyFont="1" applyFill="1" applyBorder="1" applyAlignment="1">
      <alignment horizontal="center"/>
    </xf>
    <xf numFmtId="164" fontId="76" fillId="0" borderId="0" xfId="2" applyNumberFormat="1" applyFont="1" applyFill="1" applyBorder="1" applyAlignment="1">
      <alignment horizontal="center"/>
    </xf>
    <xf numFmtId="2" fontId="27" fillId="0" borderId="0" xfId="10" applyNumberFormat="1" applyFont="1" applyFill="1" applyBorder="1" applyAlignment="1">
      <alignment horizontal="center"/>
    </xf>
    <xf numFmtId="0" fontId="25" fillId="2" borderId="0" xfId="3" applyFont="1" applyFill="1">
      <alignment vertical="center"/>
    </xf>
    <xf numFmtId="0" fontId="5" fillId="0" borderId="0" xfId="3" applyAlignment="1">
      <alignment horizontal="left" vertical="center"/>
    </xf>
    <xf numFmtId="165" fontId="76" fillId="0" borderId="0" xfId="5" applyNumberFormat="1" applyFont="1" applyBorder="1" applyAlignment="1">
      <alignment vertical="center"/>
    </xf>
    <xf numFmtId="165" fontId="76" fillId="0" borderId="0" xfId="5" applyNumberFormat="1" applyFont="1" applyBorder="1" applyAlignment="1">
      <alignment horizontal="left" vertical="center"/>
    </xf>
    <xf numFmtId="0" fontId="6" fillId="0" borderId="0" xfId="3" applyFont="1" applyAlignment="1">
      <alignment horizontal="left" vertical="center"/>
    </xf>
    <xf numFmtId="0" fontId="84" fillId="0" borderId="0" xfId="3" applyFont="1" applyAlignment="1">
      <alignment horizontal="left" vertical="center"/>
    </xf>
    <xf numFmtId="0" fontId="27" fillId="0" borderId="0" xfId="3" applyFont="1" applyAlignment="1">
      <alignment horizontal="left" vertical="center"/>
    </xf>
    <xf numFmtId="0" fontId="76" fillId="0" borderId="0" xfId="3" applyFont="1" applyAlignment="1">
      <alignment horizontal="left" vertical="center"/>
    </xf>
    <xf numFmtId="166" fontId="27" fillId="0" borderId="0" xfId="4" applyFont="1" applyFill="1" applyBorder="1" applyAlignment="1">
      <alignment horizontal="left" vertical="center"/>
    </xf>
    <xf numFmtId="0" fontId="1" fillId="0" borderId="0" xfId="0" applyFont="1" applyAlignment="1">
      <alignment horizontal="center" vertical="center"/>
    </xf>
    <xf numFmtId="0" fontId="1" fillId="0" borderId="0" xfId="0" applyFont="1" applyAlignment="1">
      <alignment horizontal="left" vertical="center"/>
    </xf>
    <xf numFmtId="0" fontId="5" fillId="0" borderId="0" xfId="3" applyAlignment="1">
      <alignment horizontal="right" vertical="center"/>
    </xf>
    <xf numFmtId="1" fontId="5" fillId="0" borderId="0" xfId="3" applyNumberFormat="1" applyAlignment="1">
      <alignment horizontal="center" vertical="center"/>
    </xf>
    <xf numFmtId="0" fontId="26" fillId="6" borderId="0" xfId="3" applyFont="1" applyFill="1">
      <alignment vertical="center"/>
    </xf>
    <xf numFmtId="0" fontId="26" fillId="6" borderId="0" xfId="0" applyFont="1" applyFill="1" applyAlignment="1">
      <alignment horizontal="left" vertical="center"/>
    </xf>
    <xf numFmtId="0" fontId="26" fillId="6" borderId="0" xfId="0" applyFont="1" applyFill="1" applyAlignment="1">
      <alignment horizontal="right" vertical="center"/>
    </xf>
    <xf numFmtId="0" fontId="5" fillId="0" borderId="18" xfId="3" applyBorder="1">
      <alignment vertical="center"/>
    </xf>
    <xf numFmtId="0" fontId="5" fillId="0" borderId="21" xfId="3" applyBorder="1">
      <alignment vertical="center"/>
    </xf>
    <xf numFmtId="0" fontId="5" fillId="0" borderId="21" xfId="3" applyBorder="1" applyAlignment="1">
      <alignment horizontal="left" vertical="center"/>
    </xf>
    <xf numFmtId="0" fontId="1" fillId="0" borderId="0" xfId="0" applyFont="1" applyAlignment="1">
      <alignment horizontal="right" vertical="center"/>
    </xf>
    <xf numFmtId="0" fontId="5" fillId="0" borderId="22" xfId="3" applyBorder="1">
      <alignment vertical="center"/>
    </xf>
    <xf numFmtId="0" fontId="5" fillId="0" borderId="1" xfId="3" applyBorder="1" applyAlignment="1">
      <alignment horizontal="right" vertical="center"/>
    </xf>
    <xf numFmtId="1" fontId="5" fillId="0" borderId="1" xfId="3" applyNumberFormat="1" applyBorder="1" applyAlignment="1">
      <alignment horizontal="center" vertical="center"/>
    </xf>
    <xf numFmtId="0" fontId="5" fillId="0" borderId="23" xfId="3" applyBorder="1">
      <alignment vertical="center"/>
    </xf>
    <xf numFmtId="0" fontId="5" fillId="0" borderId="23" xfId="3" applyBorder="1" applyAlignment="1">
      <alignment horizontal="left" vertical="center"/>
    </xf>
    <xf numFmtId="0" fontId="1" fillId="0" borderId="0" xfId="0" applyFont="1" applyAlignment="1">
      <alignment vertical="center"/>
    </xf>
    <xf numFmtId="1" fontId="5" fillId="0" borderId="15" xfId="3" applyNumberFormat="1" applyBorder="1" applyAlignment="1">
      <alignment horizontal="center" vertical="center"/>
    </xf>
    <xf numFmtId="0" fontId="26" fillId="6" borderId="0" xfId="0" applyFont="1" applyFill="1" applyAlignment="1">
      <alignment vertical="center"/>
    </xf>
    <xf numFmtId="0" fontId="5" fillId="0" borderId="49" xfId="3" applyBorder="1">
      <alignment vertical="center"/>
    </xf>
    <xf numFmtId="0" fontId="76" fillId="0" borderId="0" xfId="0" applyFont="1" applyAlignment="1">
      <alignment horizontal="right" vertical="center"/>
    </xf>
    <xf numFmtId="1" fontId="26" fillId="6" borderId="0" xfId="0" applyNumberFormat="1" applyFont="1" applyFill="1" applyAlignment="1">
      <alignment vertical="center"/>
    </xf>
    <xf numFmtId="1" fontId="1" fillId="0" borderId="0" xfId="0" applyNumberFormat="1" applyFont="1" applyAlignment="1">
      <alignment vertical="center"/>
    </xf>
    <xf numFmtId="172" fontId="1" fillId="0" borderId="0" xfId="10" applyNumberFormat="1" applyFont="1" applyBorder="1" applyAlignment="1">
      <alignment horizontal="center" vertical="center"/>
    </xf>
    <xf numFmtId="0" fontId="25" fillId="0" borderId="0" xfId="3" applyFont="1">
      <alignment vertical="center"/>
    </xf>
    <xf numFmtId="0" fontId="26" fillId="2" borderId="0" xfId="3" applyFont="1" applyFill="1" applyAlignment="1">
      <alignment horizontal="center" vertical="center"/>
    </xf>
    <xf numFmtId="0" fontId="1" fillId="0" borderId="0" xfId="0" applyFont="1"/>
    <xf numFmtId="0" fontId="5" fillId="0" borderId="0" xfId="3" applyAlignment="1">
      <alignment horizontal="center" vertical="center"/>
    </xf>
    <xf numFmtId="14" fontId="5" fillId="0" borderId="0" xfId="3" applyNumberFormat="1" applyAlignment="1">
      <alignment horizontal="center" vertical="center"/>
    </xf>
    <xf numFmtId="0" fontId="74" fillId="0" borderId="9" xfId="3" applyFont="1" applyBorder="1" applyAlignment="1">
      <alignment vertical="center" wrapText="1"/>
    </xf>
    <xf numFmtId="0" fontId="74" fillId="0" borderId="8" xfId="3" applyFont="1" applyBorder="1" applyAlignment="1">
      <alignment vertical="center" wrapText="1"/>
    </xf>
    <xf numFmtId="0" fontId="74" fillId="0" borderId="7" xfId="3" applyFont="1" applyBorder="1" applyAlignment="1">
      <alignment vertical="center" wrapText="1"/>
    </xf>
    <xf numFmtId="0" fontId="83" fillId="0" borderId="6" xfId="3" applyFont="1" applyBorder="1" applyAlignment="1">
      <alignment vertical="center" wrapText="1"/>
    </xf>
    <xf numFmtId="0" fontId="83" fillId="0" borderId="5" xfId="3" applyFont="1" applyBorder="1" applyAlignment="1">
      <alignment vertical="center" wrapText="1"/>
    </xf>
    <xf numFmtId="0" fontId="83" fillId="0" borderId="4" xfId="3" applyFont="1" applyBorder="1" applyAlignment="1">
      <alignment vertical="center" wrapText="1"/>
    </xf>
    <xf numFmtId="0" fontId="83" fillId="0" borderId="9" xfId="3" applyFont="1" applyBorder="1" applyAlignment="1">
      <alignment vertical="center" wrapText="1"/>
    </xf>
    <xf numFmtId="0" fontId="83" fillId="0" borderId="8" xfId="3" applyFont="1" applyBorder="1" applyAlignment="1">
      <alignment vertical="center" wrapText="1"/>
    </xf>
    <xf numFmtId="0" fontId="83" fillId="0" borderId="7" xfId="3" applyFont="1" applyBorder="1" applyAlignment="1">
      <alignment vertical="center" wrapText="1"/>
    </xf>
    <xf numFmtId="166" fontId="83" fillId="0" borderId="9" xfId="4" applyFont="1" applyFill="1" applyBorder="1" applyAlignment="1">
      <alignment vertical="center" wrapText="1"/>
    </xf>
    <xf numFmtId="166" fontId="83" fillId="0" borderId="8" xfId="4" applyFont="1" applyFill="1" applyBorder="1" applyAlignment="1">
      <alignment vertical="center" wrapText="1"/>
    </xf>
    <xf numFmtId="166" fontId="83" fillId="0" borderId="7" xfId="4" applyFont="1" applyFill="1" applyBorder="1" applyAlignment="1">
      <alignment vertical="center" wrapText="1"/>
    </xf>
    <xf numFmtId="0" fontId="74" fillId="0" borderId="3" xfId="3" applyFont="1" applyBorder="1">
      <alignment vertical="center"/>
    </xf>
    <xf numFmtId="0" fontId="5" fillId="0" borderId="3" xfId="3" applyBorder="1">
      <alignment vertical="center"/>
    </xf>
    <xf numFmtId="0" fontId="6" fillId="0" borderId="3" xfId="3" applyFont="1" applyBorder="1" applyAlignment="1">
      <alignment vertical="center" wrapText="1"/>
    </xf>
    <xf numFmtId="0" fontId="25" fillId="0" borderId="9" xfId="3" applyFont="1" applyBorder="1" applyAlignment="1">
      <alignment vertical="center" wrapText="1"/>
    </xf>
    <xf numFmtId="0" fontId="25" fillId="0" borderId="8" xfId="3" applyFont="1" applyBorder="1" applyAlignment="1">
      <alignment vertical="center" wrapText="1"/>
    </xf>
    <xf numFmtId="0" fontId="25" fillId="0" borderId="7" xfId="3" applyFont="1" applyBorder="1" applyAlignment="1">
      <alignment vertical="center" wrapText="1"/>
    </xf>
    <xf numFmtId="0" fontId="25" fillId="0" borderId="6" xfId="3" applyFont="1" applyBorder="1">
      <alignment vertical="center"/>
    </xf>
    <xf numFmtId="0" fontId="25" fillId="0" borderId="5" xfId="3" applyFont="1" applyBorder="1">
      <alignment vertical="center"/>
    </xf>
    <xf numFmtId="0" fontId="25" fillId="0" borderId="4" xfId="3" applyFont="1" applyBorder="1">
      <alignment vertical="center"/>
    </xf>
    <xf numFmtId="0" fontId="25" fillId="0" borderId="9" xfId="3" applyFont="1" applyBorder="1">
      <alignment vertical="center"/>
    </xf>
    <xf numFmtId="0" fontId="25" fillId="0" borderId="8" xfId="3" applyFont="1" applyBorder="1">
      <alignment vertical="center"/>
    </xf>
    <xf numFmtId="0" fontId="25" fillId="0" borderId="7" xfId="3" applyFont="1" applyBorder="1">
      <alignment vertical="center"/>
    </xf>
    <xf numFmtId="166" fontId="25" fillId="0" borderId="9" xfId="4" applyFont="1" applyFill="1" applyBorder="1" applyAlignment="1">
      <alignment vertical="center" wrapText="1"/>
    </xf>
    <xf numFmtId="166" fontId="25" fillId="0" borderId="8" xfId="4" applyFont="1" applyFill="1" applyBorder="1" applyAlignment="1">
      <alignment vertical="center" wrapText="1"/>
    </xf>
    <xf numFmtId="166" fontId="25" fillId="0" borderId="7" xfId="4" applyFont="1" applyFill="1" applyBorder="1" applyAlignment="1">
      <alignment vertical="center" wrapText="1"/>
    </xf>
    <xf numFmtId="174" fontId="83" fillId="0" borderId="9" xfId="3" applyNumberFormat="1" applyFont="1" applyBorder="1" applyAlignment="1">
      <alignment vertical="center" wrapText="1"/>
    </xf>
    <xf numFmtId="174" fontId="83" fillId="0" borderId="8" xfId="3" applyNumberFormat="1" applyFont="1" applyBorder="1" applyAlignment="1">
      <alignment vertical="center" wrapText="1"/>
    </xf>
    <xf numFmtId="174" fontId="83" fillId="0" borderId="7" xfId="3" applyNumberFormat="1" applyFont="1" applyBorder="1" applyAlignment="1">
      <alignment vertical="center" wrapText="1"/>
    </xf>
    <xf numFmtId="49" fontId="1" fillId="0" borderId="14" xfId="0" applyNumberFormat="1" applyFont="1" applyBorder="1" applyAlignment="1">
      <alignment vertical="center" shrinkToFit="1"/>
    </xf>
    <xf numFmtId="49" fontId="1" fillId="0" borderId="13" xfId="0" applyNumberFormat="1" applyFont="1" applyBorder="1" applyAlignment="1">
      <alignment vertical="center" shrinkToFit="1"/>
    </xf>
    <xf numFmtId="14" fontId="83" fillId="0" borderId="9" xfId="3" applyNumberFormat="1" applyFont="1" applyBorder="1" applyAlignment="1">
      <alignment vertical="center" wrapText="1"/>
    </xf>
    <xf numFmtId="166" fontId="76" fillId="0" borderId="0" xfId="4" applyFont="1" applyFill="1" applyBorder="1" applyAlignment="1">
      <alignment horizontal="center"/>
    </xf>
    <xf numFmtId="0" fontId="26" fillId="0" borderId="0" xfId="3" applyFont="1">
      <alignment vertical="center"/>
    </xf>
    <xf numFmtId="166" fontId="26" fillId="0" borderId="0" xfId="4" applyFont="1" applyFill="1" applyBorder="1" applyAlignment="1">
      <alignment horizontal="center" vertical="center"/>
    </xf>
    <xf numFmtId="0" fontId="26" fillId="0" borderId="0" xfId="3" applyFont="1" applyAlignment="1">
      <alignment horizontal="center" vertical="center"/>
    </xf>
    <xf numFmtId="14" fontId="83" fillId="0" borderId="5" xfId="3" applyNumberFormat="1" applyFont="1" applyBorder="1" applyAlignment="1">
      <alignment vertical="center" wrapText="1"/>
    </xf>
    <xf numFmtId="14" fontId="83" fillId="0" borderId="4" xfId="3" applyNumberFormat="1" applyFont="1" applyBorder="1" applyAlignment="1">
      <alignment vertical="center" wrapText="1"/>
    </xf>
    <xf numFmtId="0" fontId="83" fillId="0" borderId="6" xfId="3" quotePrefix="1" applyFont="1" applyBorder="1" applyAlignment="1">
      <alignment vertical="center" wrapText="1"/>
    </xf>
    <xf numFmtId="0" fontId="83" fillId="0" borderId="5" xfId="3" quotePrefix="1" applyFont="1" applyBorder="1" applyAlignment="1">
      <alignment vertical="center" wrapText="1"/>
    </xf>
    <xf numFmtId="0" fontId="83" fillId="0" borderId="4" xfId="3" quotePrefix="1" applyFont="1" applyBorder="1" applyAlignment="1">
      <alignment vertical="center" wrapText="1"/>
    </xf>
    <xf numFmtId="0" fontId="74" fillId="0" borderId="0" xfId="3" applyFont="1" applyAlignment="1">
      <alignment vertical="center" wrapText="1"/>
    </xf>
    <xf numFmtId="0" fontId="83" fillId="0" borderId="0" xfId="3" applyFont="1" applyAlignment="1">
      <alignment vertical="center" wrapText="1"/>
    </xf>
    <xf numFmtId="0" fontId="83" fillId="0" borderId="0" xfId="3" applyFont="1">
      <alignment vertical="center"/>
    </xf>
    <xf numFmtId="174" fontId="83" fillId="0" borderId="0" xfId="3" applyNumberFormat="1" applyFont="1" applyAlignment="1">
      <alignment vertical="center" wrapText="1"/>
    </xf>
    <xf numFmtId="14" fontId="83" fillId="0" borderId="0" xfId="3" applyNumberFormat="1" applyFont="1" applyAlignment="1">
      <alignment vertical="center" wrapText="1"/>
    </xf>
    <xf numFmtId="0" fontId="5" fillId="0" borderId="0" xfId="3" applyAlignment="1">
      <alignment vertical="center" wrapText="1"/>
    </xf>
    <xf numFmtId="0" fontId="25" fillId="0" borderId="0" xfId="3" applyFont="1" applyAlignment="1">
      <alignment vertical="center" wrapText="1"/>
    </xf>
    <xf numFmtId="166" fontId="25" fillId="0" borderId="0" xfId="4" applyFont="1" applyFill="1" applyBorder="1" applyAlignment="1">
      <alignment vertical="center" wrapText="1"/>
    </xf>
    <xf numFmtId="166" fontId="26" fillId="2" borderId="0" xfId="4" applyFont="1" applyFill="1" applyBorder="1" applyAlignment="1">
      <alignment horizontal="center" vertical="center"/>
    </xf>
    <xf numFmtId="0" fontId="5" fillId="0" borderId="0" xfId="3" applyAlignment="1">
      <alignment horizontal="left" vertical="center" wrapText="1"/>
    </xf>
    <xf numFmtId="0" fontId="6" fillId="6" borderId="0" xfId="3" applyFont="1" applyFill="1">
      <alignment vertical="center"/>
    </xf>
    <xf numFmtId="0" fontId="25" fillId="6" borderId="0" xfId="3" applyFont="1" applyFill="1">
      <alignment vertical="center"/>
    </xf>
    <xf numFmtId="0" fontId="76" fillId="0" borderId="18" xfId="0" applyFont="1" applyBorder="1"/>
    <xf numFmtId="0" fontId="76" fillId="6" borderId="0" xfId="0" applyFont="1" applyFill="1" applyAlignment="1">
      <alignment horizontal="center" vertical="center"/>
    </xf>
    <xf numFmtId="166" fontId="76" fillId="0" borderId="0" xfId="4" applyFont="1" applyBorder="1" applyAlignment="1">
      <alignment horizontal="center"/>
    </xf>
    <xf numFmtId="9" fontId="25" fillId="0" borderId="0" xfId="2" applyFont="1" applyFill="1" applyAlignment="1">
      <alignment horizontal="center"/>
    </xf>
    <xf numFmtId="164" fontId="27" fillId="0" borderId="0" xfId="13" applyNumberFormat="1" applyFont="1" applyFill="1" applyBorder="1" applyAlignment="1">
      <alignment horizontal="center"/>
    </xf>
    <xf numFmtId="0" fontId="76" fillId="0" borderId="0" xfId="0" applyFont="1" applyAlignment="1">
      <alignment wrapText="1"/>
    </xf>
    <xf numFmtId="176" fontId="83" fillId="0" borderId="0" xfId="10" applyNumberFormat="1" applyFont="1" applyFill="1" applyBorder="1" applyAlignment="1">
      <alignment horizontal="center"/>
    </xf>
    <xf numFmtId="175" fontId="83" fillId="0" borderId="0" xfId="1" applyNumberFormat="1" applyFont="1" applyFill="1" applyBorder="1" applyAlignment="1">
      <alignment horizontal="center"/>
    </xf>
    <xf numFmtId="44" fontId="76" fillId="0" borderId="0" xfId="13" applyNumberFormat="1" applyFont="1" applyFill="1" applyBorder="1" applyAlignment="1">
      <alignment horizontal="center"/>
    </xf>
    <xf numFmtId="171" fontId="5" fillId="0" borderId="0" xfId="3" applyNumberFormat="1">
      <alignment vertical="center"/>
    </xf>
    <xf numFmtId="43" fontId="5" fillId="0" borderId="0" xfId="3" applyNumberFormat="1">
      <alignment vertical="center"/>
    </xf>
    <xf numFmtId="171" fontId="76" fillId="0" borderId="0" xfId="0" applyNumberFormat="1" applyFont="1" applyAlignment="1">
      <alignment horizontal="center"/>
    </xf>
    <xf numFmtId="169" fontId="76" fillId="6" borderId="0" xfId="13" applyNumberFormat="1" applyFont="1" applyFill="1" applyBorder="1" applyAlignment="1">
      <alignment horizontal="center"/>
    </xf>
    <xf numFmtId="2" fontId="76" fillId="0" borderId="0" xfId="2" applyNumberFormat="1" applyFont="1" applyFill="1" applyBorder="1" applyAlignment="1">
      <alignment horizontal="center"/>
    </xf>
    <xf numFmtId="0" fontId="0" fillId="6" borderId="0" xfId="0" applyFill="1" applyAlignment="1">
      <alignment horizontal="left" vertical="center"/>
    </xf>
    <xf numFmtId="167" fontId="28" fillId="6" borderId="0" xfId="8" applyNumberFormat="1" applyFont="1" applyFill="1" applyBorder="1">
      <alignment horizontal="center" vertical="center"/>
    </xf>
    <xf numFmtId="0" fontId="78" fillId="6" borderId="0" xfId="3" applyFont="1" applyFill="1">
      <alignment vertical="center"/>
    </xf>
    <xf numFmtId="0" fontId="4" fillId="6" borderId="0" xfId="0" applyFont="1" applyFill="1" applyAlignment="1">
      <alignment horizontal="left" vertical="center"/>
    </xf>
    <xf numFmtId="0" fontId="3" fillId="6" borderId="1" xfId="0" applyFont="1" applyFill="1" applyBorder="1" applyAlignment="1">
      <alignment horizontal="center"/>
    </xf>
    <xf numFmtId="0" fontId="3" fillId="6" borderId="1" xfId="0" applyFont="1" applyFill="1" applyBorder="1" applyAlignment="1">
      <alignment horizontal="center" wrapText="1"/>
    </xf>
    <xf numFmtId="0" fontId="3" fillId="6" borderId="0" xfId="0" applyFont="1" applyFill="1" applyAlignment="1">
      <alignment horizontal="center" wrapText="1"/>
    </xf>
    <xf numFmtId="165" fontId="0" fillId="6" borderId="0" xfId="1" applyNumberFormat="1" applyFont="1" applyFill="1" applyAlignment="1">
      <alignment horizontal="left" vertical="center"/>
    </xf>
    <xf numFmtId="165" fontId="3" fillId="6" borderId="0" xfId="1" applyNumberFormat="1" applyFont="1" applyFill="1" applyAlignment="1">
      <alignment horizontal="left" vertical="center"/>
    </xf>
    <xf numFmtId="165" fontId="0" fillId="6" borderId="0" xfId="0" applyNumberFormat="1" applyFill="1" applyAlignment="1">
      <alignment horizontal="left" vertical="center"/>
    </xf>
    <xf numFmtId="0" fontId="3" fillId="6" borderId="0" xfId="0" applyFont="1" applyFill="1" applyAlignment="1">
      <alignment horizontal="right" vertical="center"/>
    </xf>
    <xf numFmtId="0" fontId="3" fillId="6" borderId="1" xfId="0" applyFont="1" applyFill="1" applyBorder="1" applyAlignment="1">
      <alignment horizontal="center" vertical="center"/>
    </xf>
    <xf numFmtId="0" fontId="0" fillId="6" borderId="0" xfId="0" applyFill="1" applyAlignment="1">
      <alignment horizontal="center" vertical="center"/>
    </xf>
    <xf numFmtId="0" fontId="3" fillId="6" borderId="0" xfId="0" applyFont="1" applyFill="1" applyAlignment="1">
      <alignment horizontal="left" vertical="center" indent="1"/>
    </xf>
    <xf numFmtId="0" fontId="3" fillId="6" borderId="0" xfId="0" applyFont="1" applyFill="1" applyAlignment="1">
      <alignment horizontal="left" vertical="center"/>
    </xf>
    <xf numFmtId="165" fontId="3" fillId="6" borderId="15" xfId="0" applyNumberFormat="1" applyFont="1" applyFill="1" applyBorder="1" applyAlignment="1">
      <alignment horizontal="left" vertical="center"/>
    </xf>
    <xf numFmtId="0" fontId="4" fillId="6" borderId="0" xfId="0" applyFont="1" applyFill="1" applyAlignment="1">
      <alignment horizontal="center" vertical="center"/>
    </xf>
    <xf numFmtId="0" fontId="0" fillId="6" borderId="0" xfId="0" applyFill="1" applyAlignment="1">
      <alignment horizontal="right" vertical="center"/>
    </xf>
    <xf numFmtId="0" fontId="3" fillId="6" borderId="0" xfId="0" applyFont="1" applyFill="1" applyAlignment="1">
      <alignment horizontal="center" vertical="center"/>
    </xf>
    <xf numFmtId="165" fontId="24" fillId="6" borderId="0" xfId="1" applyNumberFormat="1" applyFont="1" applyFill="1" applyAlignment="1">
      <alignment horizontal="left" vertical="center"/>
    </xf>
    <xf numFmtId="165" fontId="3" fillId="6" borderId="15" xfId="1" applyNumberFormat="1" applyFont="1" applyFill="1" applyBorder="1" applyAlignment="1">
      <alignment horizontal="left" vertical="center"/>
    </xf>
    <xf numFmtId="0" fontId="36" fillId="0" borderId="0" xfId="0" applyFont="1" applyAlignment="1">
      <alignment horizontal="left" vertical="center"/>
    </xf>
    <xf numFmtId="0" fontId="0" fillId="36" borderId="0" xfId="0" applyFill="1"/>
    <xf numFmtId="0" fontId="93" fillId="35" borderId="0" xfId="3" applyFont="1" applyFill="1" applyAlignment="1">
      <alignment horizontal="left" vertical="center"/>
    </xf>
    <xf numFmtId="0" fontId="94" fillId="35" borderId="0" xfId="9" applyFont="1" applyFill="1" applyAlignment="1">
      <alignment horizontal="left" vertical="center"/>
    </xf>
    <xf numFmtId="168" fontId="26" fillId="35" borderId="0" xfId="8" applyNumberFormat="1" applyFont="1" applyFill="1" applyBorder="1">
      <alignment horizontal="center" vertical="center"/>
    </xf>
    <xf numFmtId="167" fontId="95" fillId="35" borderId="0" xfId="8" applyNumberFormat="1" applyFont="1" applyFill="1" applyBorder="1">
      <alignment horizontal="center" vertical="center"/>
    </xf>
    <xf numFmtId="0" fontId="0" fillId="36" borderId="0" xfId="0" applyFill="1" applyAlignment="1">
      <alignment horizontal="left" vertical="center"/>
    </xf>
    <xf numFmtId="178" fontId="76" fillId="0" borderId="0" xfId="0" applyNumberFormat="1" applyFont="1"/>
    <xf numFmtId="0" fontId="0" fillId="35" borderId="0" xfId="0" applyFill="1" applyAlignment="1">
      <alignment horizontal="left" vertical="center"/>
    </xf>
    <xf numFmtId="0" fontId="73" fillId="35" borderId="0" xfId="3" applyFont="1" applyFill="1" applyAlignment="1">
      <alignment horizontal="left" vertical="center"/>
    </xf>
    <xf numFmtId="0" fontId="72" fillId="35" borderId="0" xfId="9" applyFont="1" applyFill="1" applyAlignment="1">
      <alignment horizontal="left" vertical="center"/>
    </xf>
    <xf numFmtId="168" fontId="30" fillId="35" borderId="0" xfId="8" applyNumberFormat="1" applyFont="1" applyFill="1" applyBorder="1">
      <alignment horizontal="center" vertical="center"/>
    </xf>
    <xf numFmtId="167" fontId="28" fillId="35" borderId="0" xfId="8" applyNumberFormat="1" applyFont="1" applyFill="1" applyBorder="1">
      <alignment horizontal="center" vertical="center"/>
    </xf>
    <xf numFmtId="0" fontId="53" fillId="6" borderId="0" xfId="0" applyFont="1" applyFill="1" applyAlignment="1">
      <alignment horizontal="left" vertical="center"/>
    </xf>
    <xf numFmtId="0" fontId="46" fillId="6" borderId="0" xfId="0" applyFont="1" applyFill="1" applyAlignment="1">
      <alignment horizontal="left" vertical="center"/>
    </xf>
    <xf numFmtId="0" fontId="2" fillId="37" borderId="0" xfId="9" applyFont="1" applyFill="1" applyAlignment="1">
      <alignment vertical="center"/>
    </xf>
    <xf numFmtId="0" fontId="95" fillId="37" borderId="0" xfId="9" applyFont="1" applyFill="1" applyAlignment="1">
      <alignment vertical="center"/>
    </xf>
    <xf numFmtId="0" fontId="95" fillId="37" borderId="0" xfId="9" applyFont="1" applyFill="1" applyAlignment="1">
      <alignment horizontal="right" vertical="center"/>
    </xf>
    <xf numFmtId="0" fontId="0" fillId="37" borderId="0" xfId="0" applyFill="1"/>
    <xf numFmtId="0" fontId="2" fillId="37" borderId="0" xfId="0" applyFont="1" applyFill="1"/>
    <xf numFmtId="0" fontId="2" fillId="37" borderId="0" xfId="0" applyFont="1" applyFill="1" applyAlignment="1">
      <alignment horizontal="right"/>
    </xf>
    <xf numFmtId="165" fontId="0" fillId="6" borderId="0" xfId="1" applyNumberFormat="1" applyFont="1" applyFill="1" applyBorder="1" applyAlignment="1">
      <alignment horizontal="left" vertical="center"/>
    </xf>
    <xf numFmtId="165" fontId="0" fillId="6" borderId="0" xfId="1" applyNumberFormat="1" applyFont="1" applyFill="1" applyAlignment="1">
      <alignment horizontal="right" vertical="center"/>
    </xf>
    <xf numFmtId="165" fontId="0" fillId="6" borderId="15" xfId="0" applyNumberFormat="1" applyFill="1" applyBorder="1" applyAlignment="1">
      <alignment horizontal="left" vertical="center"/>
    </xf>
    <xf numFmtId="1" fontId="0" fillId="6" borderId="0" xfId="1" applyNumberFormat="1" applyFont="1" applyFill="1" applyAlignment="1">
      <alignment horizontal="right" vertical="center"/>
    </xf>
    <xf numFmtId="0" fontId="55" fillId="6" borderId="0" xfId="0" applyFont="1" applyFill="1" applyAlignment="1">
      <alignment vertical="center" wrapText="1"/>
    </xf>
    <xf numFmtId="165" fontId="41" fillId="6" borderId="0" xfId="0" applyNumberFormat="1" applyFont="1" applyFill="1" applyAlignment="1">
      <alignment horizontal="left" vertical="center"/>
    </xf>
    <xf numFmtId="0" fontId="3" fillId="6" borderId="0" xfId="0" applyFont="1" applyFill="1" applyAlignment="1">
      <alignment horizontal="left"/>
    </xf>
    <xf numFmtId="0" fontId="3" fillId="6" borderId="0" xfId="0" applyFont="1" applyFill="1" applyAlignment="1">
      <alignment horizontal="center"/>
    </xf>
    <xf numFmtId="165" fontId="3" fillId="6" borderId="0" xfId="1" applyNumberFormat="1" applyFont="1" applyFill="1" applyAlignment="1">
      <alignment horizontal="left"/>
    </xf>
    <xf numFmtId="0" fontId="3" fillId="6" borderId="1" xfId="0" applyFont="1" applyFill="1" applyBorder="1" applyAlignment="1">
      <alignment horizontal="left"/>
    </xf>
    <xf numFmtId="0" fontId="0" fillId="6" borderId="1" xfId="0" applyFill="1" applyBorder="1" applyAlignment="1">
      <alignment horizontal="left" vertical="center"/>
    </xf>
    <xf numFmtId="0" fontId="0" fillId="6" borderId="1" xfId="0" applyFill="1" applyBorder="1" applyAlignment="1">
      <alignment horizontal="center" vertical="center"/>
    </xf>
    <xf numFmtId="0" fontId="85" fillId="6" borderId="0" xfId="3" applyFont="1" applyFill="1">
      <alignment vertical="center"/>
    </xf>
    <xf numFmtId="0" fontId="0" fillId="4" borderId="0" xfId="0" applyFill="1" applyAlignment="1">
      <alignment horizontal="left" vertical="center"/>
    </xf>
    <xf numFmtId="0" fontId="0" fillId="4" borderId="0" xfId="0" applyFill="1" applyAlignment="1">
      <alignment horizontal="center" vertical="center"/>
    </xf>
    <xf numFmtId="165" fontId="0" fillId="4" borderId="0" xfId="1" applyNumberFormat="1" applyFont="1" applyFill="1" applyAlignment="1">
      <alignment horizontal="left" vertical="center"/>
    </xf>
    <xf numFmtId="165" fontId="0" fillId="4" borderId="0" xfId="1" applyNumberFormat="1" applyFont="1" applyFill="1" applyBorder="1" applyAlignment="1">
      <alignment horizontal="left" vertical="center"/>
    </xf>
    <xf numFmtId="165" fontId="0" fillId="4" borderId="0" xfId="1" applyNumberFormat="1" applyFont="1" applyFill="1" applyAlignment="1">
      <alignment horizontal="right" vertical="center"/>
    </xf>
    <xf numFmtId="0" fontId="0" fillId="4" borderId="0" xfId="0" applyFill="1" applyAlignment="1">
      <alignment horizontal="right" vertical="center"/>
    </xf>
    <xf numFmtId="165" fontId="3" fillId="6" borderId="0" xfId="0" applyNumberFormat="1" applyFont="1" applyFill="1" applyAlignment="1">
      <alignment horizontal="left" vertical="center"/>
    </xf>
    <xf numFmtId="0" fontId="0" fillId="33" borderId="53" xfId="0" applyFill="1" applyBorder="1" applyAlignment="1">
      <alignment vertical="top" wrapText="1"/>
    </xf>
    <xf numFmtId="0" fontId="0" fillId="33" borderId="51" xfId="0" applyFill="1" applyBorder="1" applyAlignment="1">
      <alignment horizontal="left" vertical="top" wrapText="1"/>
    </xf>
    <xf numFmtId="0" fontId="0" fillId="33" borderId="53" xfId="0" applyFill="1" applyBorder="1" applyAlignment="1">
      <alignment horizontal="center" vertical="center"/>
    </xf>
    <xf numFmtId="0" fontId="0" fillId="33" borderId="53" xfId="0" applyFill="1" applyBorder="1" applyAlignment="1">
      <alignment horizontal="left" vertical="center"/>
    </xf>
    <xf numFmtId="0" fontId="0" fillId="33" borderId="53" xfId="0" applyFill="1" applyBorder="1" applyAlignment="1">
      <alignment horizontal="left" vertical="center" wrapText="1"/>
    </xf>
    <xf numFmtId="0" fontId="0" fillId="33" borderId="51" xfId="0" applyFill="1" applyBorder="1" applyAlignment="1">
      <alignment horizontal="left" vertical="center"/>
    </xf>
    <xf numFmtId="0" fontId="78" fillId="35" borderId="0" xfId="3" applyFont="1" applyFill="1" applyAlignment="1">
      <alignment horizontal="left" vertical="center"/>
    </xf>
    <xf numFmtId="0" fontId="79" fillId="35" borderId="0" xfId="9" applyFont="1" applyFill="1" applyAlignment="1">
      <alignment horizontal="left" vertical="center"/>
    </xf>
    <xf numFmtId="0" fontId="28" fillId="35" borderId="0" xfId="3" applyFont="1" applyFill="1" applyAlignment="1">
      <alignment horizontal="left" vertical="center"/>
    </xf>
    <xf numFmtId="0" fontId="95" fillId="37" borderId="0" xfId="3" applyFont="1" applyFill="1" applyAlignment="1">
      <alignment horizontal="left" vertical="center"/>
    </xf>
    <xf numFmtId="0" fontId="53" fillId="6" borderId="0" xfId="0" applyFont="1" applyFill="1" applyAlignment="1">
      <alignment horizontal="right" vertical="center"/>
    </xf>
    <xf numFmtId="0" fontId="78" fillId="6" borderId="0" xfId="3" applyFont="1" applyFill="1" applyAlignment="1">
      <alignment horizontal="left" vertical="center"/>
    </xf>
    <xf numFmtId="0" fontId="5" fillId="6" borderId="0" xfId="3" applyFill="1" applyAlignment="1">
      <alignment horizontal="left" vertical="center"/>
    </xf>
    <xf numFmtId="0" fontId="79" fillId="6" borderId="0" xfId="9" applyFont="1" applyFill="1" applyAlignment="1">
      <alignment horizontal="left" vertical="center"/>
    </xf>
    <xf numFmtId="9" fontId="0" fillId="6" borderId="0" xfId="2" applyFont="1" applyFill="1" applyAlignment="1">
      <alignment horizontal="right" vertical="center"/>
    </xf>
    <xf numFmtId="0" fontId="3" fillId="6" borderId="1" xfId="0" applyFont="1" applyFill="1" applyBorder="1" applyAlignment="1">
      <alignment horizontal="left" vertical="center"/>
    </xf>
    <xf numFmtId="9" fontId="0" fillId="4" borderId="0" xfId="2" applyFont="1" applyFill="1" applyAlignment="1">
      <alignment horizontal="right" vertical="center"/>
    </xf>
    <xf numFmtId="0" fontId="6" fillId="4" borderId="0" xfId="3" applyFont="1" applyFill="1">
      <alignment vertical="center"/>
    </xf>
    <xf numFmtId="0" fontId="6" fillId="6" borderId="1" xfId="3" applyFont="1" applyFill="1" applyBorder="1">
      <alignment vertical="center"/>
    </xf>
    <xf numFmtId="165" fontId="0" fillId="6" borderId="1" xfId="1" applyNumberFormat="1" applyFont="1" applyFill="1" applyBorder="1" applyAlignment="1">
      <alignment horizontal="left" vertical="center"/>
    </xf>
    <xf numFmtId="0" fontId="2" fillId="32" borderId="15" xfId="0" applyFont="1" applyFill="1" applyBorder="1" applyAlignment="1">
      <alignment horizontal="left" vertical="center" indent="1"/>
    </xf>
    <xf numFmtId="0" fontId="46" fillId="32" borderId="15" xfId="0" applyFont="1" applyFill="1" applyBorder="1" applyAlignment="1">
      <alignment horizontal="left" vertical="center"/>
    </xf>
    <xf numFmtId="165" fontId="2" fillId="32" borderId="15" xfId="1" applyNumberFormat="1" applyFont="1" applyFill="1" applyBorder="1" applyAlignment="1">
      <alignment horizontal="left" vertical="center"/>
    </xf>
    <xf numFmtId="9" fontId="2" fillId="32" borderId="15" xfId="2" applyFont="1" applyFill="1" applyBorder="1" applyAlignment="1">
      <alignment horizontal="right" vertical="center"/>
    </xf>
    <xf numFmtId="0" fontId="2" fillId="5" borderId="15" xfId="0" applyFont="1" applyFill="1" applyBorder="1" applyAlignment="1">
      <alignment horizontal="left" vertical="center" indent="1"/>
    </xf>
    <xf numFmtId="0" fontId="46" fillId="5" borderId="15" xfId="0" applyFont="1" applyFill="1" applyBorder="1" applyAlignment="1">
      <alignment horizontal="left" vertical="center"/>
    </xf>
    <xf numFmtId="0" fontId="25" fillId="5" borderId="15" xfId="3" applyFont="1" applyFill="1" applyBorder="1">
      <alignment vertical="center"/>
    </xf>
    <xf numFmtId="165" fontId="2" fillId="5" borderId="15" xfId="1" applyNumberFormat="1" applyFont="1" applyFill="1" applyBorder="1" applyAlignment="1">
      <alignment horizontal="left" vertical="center"/>
    </xf>
    <xf numFmtId="0" fontId="0" fillId="6" borderId="8" xfId="0" applyFill="1" applyBorder="1" applyAlignment="1">
      <alignment vertical="center"/>
    </xf>
    <xf numFmtId="0" fontId="0" fillId="6" borderId="3" xfId="0" applyFill="1" applyBorder="1" applyAlignment="1">
      <alignment horizontal="left" vertical="center"/>
    </xf>
    <xf numFmtId="0" fontId="0" fillId="6" borderId="6" xfId="0" applyFill="1" applyBorder="1" applyAlignment="1">
      <alignment horizontal="left" vertical="center"/>
    </xf>
    <xf numFmtId="0" fontId="2" fillId="6" borderId="0" xfId="0" applyFont="1" applyFill="1" applyAlignment="1">
      <alignment horizontal="center"/>
    </xf>
    <xf numFmtId="1" fontId="0" fillId="6" borderId="0" xfId="2" applyNumberFormat="1" applyFont="1" applyFill="1" applyAlignment="1">
      <alignment horizontal="center"/>
    </xf>
    <xf numFmtId="0" fontId="3" fillId="6" borderId="0" xfId="0" applyFont="1" applyFill="1"/>
    <xf numFmtId="0" fontId="0" fillId="6" borderId="0" xfId="0" applyFill="1" applyAlignment="1">
      <alignment horizontal="center"/>
    </xf>
    <xf numFmtId="0" fontId="4" fillId="6" borderId="0" xfId="0" applyFont="1" applyFill="1" applyAlignment="1">
      <alignment horizontal="center"/>
    </xf>
    <xf numFmtId="0" fontId="4" fillId="6" borderId="0" xfId="0" applyFont="1" applyFill="1" applyAlignment="1">
      <alignment horizontal="center" shrinkToFit="1"/>
    </xf>
    <xf numFmtId="0" fontId="0" fillId="6" borderId="18" xfId="0" applyFill="1" applyBorder="1" applyAlignment="1">
      <alignment horizontal="center"/>
    </xf>
    <xf numFmtId="1" fontId="0" fillId="6" borderId="0" xfId="2" applyNumberFormat="1" applyFont="1" applyFill="1" applyBorder="1" applyAlignment="1">
      <alignment horizontal="center"/>
    </xf>
    <xf numFmtId="0" fontId="0" fillId="6" borderId="18" xfId="0" applyFill="1" applyBorder="1"/>
    <xf numFmtId="1" fontId="0" fillId="6" borderId="21" xfId="2" applyNumberFormat="1" applyFont="1" applyFill="1" applyBorder="1" applyAlignment="1">
      <alignment horizontal="center"/>
    </xf>
    <xf numFmtId="1" fontId="56" fillId="6" borderId="21" xfId="2" applyNumberFormat="1" applyFont="1" applyFill="1" applyBorder="1" applyAlignment="1">
      <alignment horizontal="center"/>
    </xf>
    <xf numFmtId="1" fontId="56" fillId="6" borderId="0" xfId="2" applyNumberFormat="1" applyFont="1" applyFill="1" applyBorder="1" applyAlignment="1">
      <alignment horizontal="center"/>
    </xf>
    <xf numFmtId="0" fontId="0" fillId="6" borderId="22" xfId="0" applyFill="1" applyBorder="1" applyAlignment="1">
      <alignment horizontal="center"/>
    </xf>
    <xf numFmtId="1" fontId="0" fillId="6" borderId="1" xfId="2" applyNumberFormat="1" applyFont="1" applyFill="1" applyBorder="1" applyAlignment="1">
      <alignment horizontal="center"/>
    </xf>
    <xf numFmtId="1" fontId="0" fillId="6" borderId="23" xfId="2" applyNumberFormat="1" applyFont="1" applyFill="1" applyBorder="1" applyAlignment="1">
      <alignment horizontal="center"/>
    </xf>
    <xf numFmtId="0" fontId="25" fillId="6" borderId="0" xfId="0" applyFont="1" applyFill="1" applyAlignment="1">
      <alignment vertical="center"/>
    </xf>
    <xf numFmtId="0" fontId="86" fillId="6" borderId="0" xfId="3" applyFont="1" applyFill="1" applyAlignment="1">
      <alignment vertical="top" wrapText="1"/>
    </xf>
    <xf numFmtId="0" fontId="0" fillId="6" borderId="0" xfId="0" applyFill="1" applyAlignment="1">
      <alignment vertical="center" wrapText="1"/>
    </xf>
    <xf numFmtId="0" fontId="87" fillId="6" borderId="0" xfId="0" applyFont="1" applyFill="1" applyAlignment="1">
      <alignment vertical="center"/>
    </xf>
    <xf numFmtId="0" fontId="76" fillId="6" borderId="0" xfId="0" applyFont="1" applyFill="1" applyAlignment="1">
      <alignment horizontal="center" vertical="center" wrapText="1"/>
    </xf>
    <xf numFmtId="0" fontId="25" fillId="37" borderId="0" xfId="0" applyFont="1" applyFill="1" applyAlignment="1">
      <alignment horizontal="left" vertical="center"/>
    </xf>
    <xf numFmtId="0" fontId="95" fillId="37" borderId="0" xfId="0" applyFont="1" applyFill="1" applyAlignment="1">
      <alignment horizontal="left" vertical="center"/>
    </xf>
    <xf numFmtId="0" fontId="25" fillId="32" borderId="0" xfId="3" applyFont="1" applyFill="1" applyAlignment="1"/>
    <xf numFmtId="0" fontId="26" fillId="32" borderId="0" xfId="3" applyFont="1" applyFill="1" applyAlignment="1">
      <alignment horizontal="center"/>
    </xf>
    <xf numFmtId="0" fontId="26" fillId="32" borderId="0" xfId="3" applyFont="1" applyFill="1" applyAlignment="1"/>
    <xf numFmtId="166" fontId="26" fillId="32" borderId="0" xfId="4" applyFont="1" applyFill="1" applyAlignment="1">
      <alignment horizontal="center"/>
    </xf>
    <xf numFmtId="0" fontId="26" fillId="32" borderId="0" xfId="3" applyFont="1" applyFill="1">
      <alignment vertical="center"/>
    </xf>
    <xf numFmtId="0" fontId="90" fillId="0" borderId="1" xfId="0" applyFont="1" applyBorder="1" applyAlignment="1">
      <alignment horizontal="left"/>
    </xf>
    <xf numFmtId="0" fontId="0" fillId="0" borderId="1" xfId="0" applyBorder="1"/>
    <xf numFmtId="0" fontId="3" fillId="0" borderId="1" xfId="0" applyFont="1" applyBorder="1" applyAlignment="1">
      <alignment horizontal="left"/>
    </xf>
    <xf numFmtId="0" fontId="3" fillId="0" borderId="1" xfId="0" applyFont="1" applyBorder="1"/>
    <xf numFmtId="0" fontId="25" fillId="37" borderId="0" xfId="3" applyFont="1" applyFill="1">
      <alignment vertical="center"/>
    </xf>
    <xf numFmtId="0" fontId="26" fillId="37" borderId="0" xfId="3" applyFont="1" applyFill="1">
      <alignment vertical="center"/>
    </xf>
    <xf numFmtId="0" fontId="26" fillId="37" borderId="0" xfId="3" applyFont="1" applyFill="1" applyAlignment="1">
      <alignment horizontal="center" vertical="center"/>
    </xf>
    <xf numFmtId="0" fontId="25" fillId="37" borderId="0" xfId="3" applyFont="1" applyFill="1" applyAlignment="1">
      <alignment horizontal="left" vertical="center"/>
    </xf>
    <xf numFmtId="0" fontId="6" fillId="37" borderId="0" xfId="3" applyFont="1" applyFill="1" applyAlignment="1">
      <alignment horizontal="left" vertical="center"/>
    </xf>
    <xf numFmtId="166" fontId="1" fillId="37" borderId="0" xfId="4" applyFont="1" applyFill="1" applyBorder="1" applyAlignment="1">
      <alignment horizontal="center" vertical="center"/>
    </xf>
    <xf numFmtId="0" fontId="5" fillId="37" borderId="0" xfId="3" applyFill="1" applyAlignment="1">
      <alignment horizontal="center" vertical="center"/>
    </xf>
    <xf numFmtId="0" fontId="5" fillId="37" borderId="0" xfId="3" applyFill="1">
      <alignment vertical="center"/>
    </xf>
    <xf numFmtId="166" fontId="26" fillId="37" borderId="0" xfId="4" applyFont="1" applyFill="1" applyAlignment="1">
      <alignment horizontal="center" vertical="center"/>
    </xf>
    <xf numFmtId="166" fontId="46" fillId="37" borderId="0" xfId="4" applyFont="1" applyFill="1" applyBorder="1" applyAlignment="1">
      <alignment horizontal="center" vertical="center"/>
    </xf>
    <xf numFmtId="0" fontId="25" fillId="37" borderId="0" xfId="3" applyFont="1" applyFill="1" applyAlignment="1"/>
    <xf numFmtId="0" fontId="26" fillId="37" borderId="0" xfId="3" applyFont="1" applyFill="1" applyAlignment="1">
      <alignment horizontal="center"/>
    </xf>
    <xf numFmtId="0" fontId="26" fillId="37" borderId="0" xfId="3" applyFont="1" applyFill="1" applyAlignment="1"/>
    <xf numFmtId="166" fontId="26" fillId="37" borderId="0" xfId="11" applyFont="1" applyFill="1" applyAlignment="1">
      <alignment horizontal="center"/>
    </xf>
    <xf numFmtId="166" fontId="26" fillId="37" borderId="0" xfId="4" applyFont="1" applyFill="1" applyAlignment="1">
      <alignment horizontal="center"/>
    </xf>
    <xf numFmtId="43" fontId="0" fillId="6" borderId="0" xfId="0" applyNumberFormat="1" applyFill="1"/>
    <xf numFmtId="0" fontId="0" fillId="6" borderId="21" xfId="0" applyFill="1" applyBorder="1" applyAlignment="1">
      <alignment horizontal="center"/>
    </xf>
    <xf numFmtId="0" fontId="0" fillId="6" borderId="21" xfId="0" applyFill="1" applyBorder="1"/>
    <xf numFmtId="0" fontId="0" fillId="6" borderId="1" xfId="0" applyFill="1" applyBorder="1" applyAlignment="1">
      <alignment horizontal="center"/>
    </xf>
    <xf numFmtId="0" fontId="25" fillId="6" borderId="5" xfId="3" applyFont="1" applyFill="1" applyBorder="1">
      <alignment vertical="center"/>
    </xf>
    <xf numFmtId="14" fontId="83" fillId="6" borderId="5" xfId="3" applyNumberFormat="1" applyFont="1" applyFill="1" applyBorder="1" applyAlignment="1">
      <alignment vertical="center" wrapText="1"/>
    </xf>
    <xf numFmtId="0" fontId="34" fillId="6" borderId="0" xfId="12" applyFill="1" applyBorder="1" applyAlignment="1">
      <alignment vertical="center"/>
    </xf>
    <xf numFmtId="0" fontId="25" fillId="6" borderId="0" xfId="3" applyFont="1" applyFill="1" applyAlignment="1">
      <alignment horizontal="center" vertical="center"/>
    </xf>
    <xf numFmtId="0" fontId="26" fillId="6" borderId="0" xfId="3" applyFont="1" applyFill="1" applyAlignment="1">
      <alignment horizontal="center"/>
    </xf>
    <xf numFmtId="0" fontId="5" fillId="6" borderId="0" xfId="3" applyFill="1" applyAlignment="1">
      <alignment horizontal="center" vertical="center"/>
    </xf>
    <xf numFmtId="0" fontId="26" fillId="6" borderId="0" xfId="3" applyFont="1" applyFill="1" applyAlignment="1"/>
    <xf numFmtId="166" fontId="26" fillId="6" borderId="0" xfId="11" applyFont="1" applyFill="1" applyBorder="1" applyAlignment="1">
      <alignment horizontal="center"/>
    </xf>
    <xf numFmtId="0" fontId="25" fillId="6" borderId="0" xfId="3" applyFont="1" applyFill="1" applyAlignment="1">
      <alignment horizontal="center" vertical="center" wrapText="1"/>
    </xf>
    <xf numFmtId="0" fontId="74" fillId="6" borderId="0" xfId="3" applyFont="1" applyFill="1" applyAlignment="1">
      <alignment horizontal="center" vertical="center" wrapText="1"/>
    </xf>
    <xf numFmtId="177" fontId="6" fillId="6" borderId="0" xfId="2" applyNumberFormat="1" applyFont="1" applyFill="1" applyBorder="1" applyAlignment="1">
      <alignment horizontal="center" vertical="center" wrapText="1"/>
    </xf>
    <xf numFmtId="177" fontId="75" fillId="6" borderId="0" xfId="3" applyNumberFormat="1" applyFont="1" applyFill="1" applyAlignment="1">
      <alignment horizontal="center" vertical="center"/>
    </xf>
    <xf numFmtId="1" fontId="25" fillId="2" borderId="16" xfId="2" applyNumberFormat="1" applyFont="1" applyFill="1" applyBorder="1" applyAlignment="1">
      <alignment horizontal="center"/>
    </xf>
    <xf numFmtId="1" fontId="76" fillId="0" borderId="0" xfId="0" applyNumberFormat="1" applyFont="1"/>
    <xf numFmtId="0" fontId="86" fillId="0" borderId="0" xfId="3" applyFont="1" applyAlignment="1">
      <alignment vertical="top"/>
    </xf>
    <xf numFmtId="1" fontId="5" fillId="0" borderId="49" xfId="3" applyNumberFormat="1" applyBorder="1">
      <alignment vertical="center"/>
    </xf>
    <xf numFmtId="0" fontId="5" fillId="0" borderId="0" xfId="3" applyAlignment="1">
      <alignment horizontal="left" vertical="top"/>
    </xf>
    <xf numFmtId="0" fontId="25" fillId="38" borderId="44" xfId="0" applyFont="1" applyFill="1" applyBorder="1" applyAlignment="1">
      <alignment horizontal="center"/>
    </xf>
    <xf numFmtId="0" fontId="25" fillId="38" borderId="45" xfId="0" applyFont="1" applyFill="1" applyBorder="1" applyAlignment="1">
      <alignment horizontal="center"/>
    </xf>
    <xf numFmtId="0" fontId="25" fillId="38" borderId="46" xfId="0" applyFont="1" applyFill="1" applyBorder="1" applyAlignment="1">
      <alignment horizontal="center"/>
    </xf>
    <xf numFmtId="171" fontId="76" fillId="0" borderId="0" xfId="2" applyNumberFormat="1" applyFont="1" applyFill="1" applyBorder="1" applyAlignment="1">
      <alignment horizontal="center"/>
    </xf>
    <xf numFmtId="178" fontId="76" fillId="0" borderId="0" xfId="1" applyNumberFormat="1" applyFont="1" applyFill="1" applyBorder="1" applyAlignment="1">
      <alignment horizontal="center"/>
    </xf>
    <xf numFmtId="178" fontId="76" fillId="0" borderId="0" xfId="1" applyNumberFormat="1" applyFont="1" applyFill="1" applyBorder="1" applyAlignment="1">
      <alignment horizontal="right"/>
    </xf>
    <xf numFmtId="21" fontId="76" fillId="0" borderId="0" xfId="1" applyNumberFormat="1" applyFont="1" applyFill="1" applyBorder="1" applyAlignment="1">
      <alignment horizontal="right"/>
    </xf>
    <xf numFmtId="183" fontId="76" fillId="0" borderId="0" xfId="2" applyNumberFormat="1" applyFont="1" applyFill="1" applyBorder="1" applyAlignment="1">
      <alignment horizontal="center"/>
    </xf>
    <xf numFmtId="183" fontId="27" fillId="0" borderId="0" xfId="2" applyNumberFormat="1" applyFont="1" applyFill="1" applyBorder="1" applyAlignment="1">
      <alignment horizontal="center"/>
    </xf>
    <xf numFmtId="0" fontId="5" fillId="0" borderId="0" xfId="3" applyAlignment="1">
      <alignment vertical="top"/>
    </xf>
    <xf numFmtId="0" fontId="88" fillId="0" borderId="0" xfId="3" applyFont="1" applyAlignment="1">
      <alignment horizontal="left" vertical="top" wrapText="1"/>
    </xf>
    <xf numFmtId="0" fontId="76" fillId="6" borderId="16" xfId="0" applyFont="1" applyFill="1" applyBorder="1" applyAlignment="1">
      <alignment horizontal="left"/>
    </xf>
    <xf numFmtId="0" fontId="76" fillId="6" borderId="17" xfId="0" applyFont="1" applyFill="1" applyBorder="1" applyAlignment="1">
      <alignment horizontal="left"/>
    </xf>
    <xf numFmtId="3" fontId="0" fillId="0" borderId="62" xfId="2" applyNumberFormat="1" applyFont="1" applyBorder="1" applyAlignment="1">
      <alignment horizontal="center"/>
    </xf>
    <xf numFmtId="9" fontId="25" fillId="32" borderId="16" xfId="2" applyFont="1" applyFill="1" applyBorder="1" applyAlignment="1">
      <alignment horizontal="center"/>
    </xf>
    <xf numFmtId="1" fontId="0" fillId="0" borderId="62" xfId="2" applyNumberFormat="1" applyFont="1" applyBorder="1" applyAlignment="1">
      <alignment horizontal="center"/>
    </xf>
    <xf numFmtId="0" fontId="86" fillId="0" borderId="0" xfId="3" applyFont="1">
      <alignment vertical="center"/>
    </xf>
    <xf numFmtId="3" fontId="0" fillId="0" borderId="63" xfId="2" applyNumberFormat="1" applyFont="1" applyBorder="1" applyAlignment="1">
      <alignment horizontal="center"/>
    </xf>
    <xf numFmtId="0" fontId="15" fillId="2" borderId="43" xfId="0" applyFont="1" applyFill="1" applyBorder="1" applyAlignment="1">
      <alignment horizontal="center" vertical="center"/>
    </xf>
    <xf numFmtId="0" fontId="77" fillId="0" borderId="51" xfId="0" applyFont="1" applyBorder="1" applyAlignment="1">
      <alignment horizontal="center" wrapText="1"/>
    </xf>
    <xf numFmtId="0" fontId="40" fillId="0" borderId="0" xfId="14" applyAlignment="1">
      <alignment vertical="center"/>
    </xf>
    <xf numFmtId="0" fontId="25" fillId="0" borderId="0" xfId="0" applyFont="1"/>
    <xf numFmtId="1" fontId="76" fillId="0" borderId="0" xfId="2" applyNumberFormat="1" applyFont="1" applyFill="1" applyBorder="1" applyAlignment="1">
      <alignment horizontal="center"/>
    </xf>
    <xf numFmtId="1" fontId="80" fillId="0" borderId="0" xfId="13" applyNumberFormat="1" applyFont="1" applyFill="1" applyBorder="1" applyAlignment="1">
      <alignment horizontal="center"/>
    </xf>
    <xf numFmtId="0" fontId="56" fillId="0" borderId="0" xfId="0" applyFont="1" applyAlignment="1">
      <alignment horizontal="left" vertical="center"/>
    </xf>
    <xf numFmtId="165" fontId="0" fillId="0" borderId="0" xfId="1" applyNumberFormat="1" applyFont="1" applyFill="1" applyAlignment="1">
      <alignment horizontal="left" vertical="center"/>
    </xf>
    <xf numFmtId="9" fontId="0" fillId="0" borderId="0" xfId="2" applyFont="1" applyFill="1" applyAlignment="1">
      <alignment horizontal="right" vertical="center"/>
    </xf>
    <xf numFmtId="1" fontId="0" fillId="26" borderId="0" xfId="2" applyNumberFormat="1" applyFont="1" applyFill="1" applyBorder="1" applyAlignment="1">
      <alignment horizontal="center"/>
    </xf>
    <xf numFmtId="0" fontId="0" fillId="21" borderId="0" xfId="0" applyFill="1" applyAlignment="1">
      <alignment horizontal="left" vertical="center"/>
    </xf>
    <xf numFmtId="0" fontId="0" fillId="21" borderId="0" xfId="0" applyFill="1" applyAlignment="1">
      <alignment horizontal="center" vertical="center"/>
    </xf>
    <xf numFmtId="165" fontId="0" fillId="21" borderId="0" xfId="1" applyNumberFormat="1" applyFont="1" applyFill="1" applyAlignment="1">
      <alignment horizontal="left" vertical="center"/>
    </xf>
    <xf numFmtId="1" fontId="0" fillId="0" borderId="0" xfId="2" applyNumberFormat="1" applyFont="1" applyBorder="1" applyAlignment="1">
      <alignment horizontal="center"/>
    </xf>
    <xf numFmtId="3" fontId="0" fillId="0" borderId="0" xfId="2" applyNumberFormat="1" applyFont="1" applyBorder="1" applyAlignment="1">
      <alignment horizontal="center"/>
    </xf>
    <xf numFmtId="0" fontId="44" fillId="0" borderId="0" xfId="17" applyFill="1" applyBorder="1" applyAlignment="1">
      <alignment horizontal="left" vertical="center"/>
    </xf>
    <xf numFmtId="3" fontId="44" fillId="0" borderId="0" xfId="17" applyNumberFormat="1" applyBorder="1" applyAlignment="1">
      <alignment horizontal="left" vertical="center"/>
    </xf>
    <xf numFmtId="0" fontId="0" fillId="6" borderId="0" xfId="0" quotePrefix="1" applyFill="1" applyAlignment="1">
      <alignment horizontal="center" vertical="center"/>
    </xf>
    <xf numFmtId="0" fontId="0" fillId="4" borderId="0" xfId="0" quotePrefix="1" applyFill="1" applyAlignment="1">
      <alignment horizontal="center" vertical="center"/>
    </xf>
    <xf numFmtId="1" fontId="0" fillId="0" borderId="63" xfId="2" applyNumberFormat="1" applyFont="1" applyBorder="1" applyAlignment="1">
      <alignment horizontal="center"/>
    </xf>
    <xf numFmtId="0" fontId="0" fillId="0" borderId="63" xfId="0" applyBorder="1" applyAlignment="1">
      <alignment horizontal="center" vertical="center"/>
    </xf>
    <xf numFmtId="1" fontId="0" fillId="0" borderId="63" xfId="0" applyNumberFormat="1" applyBorder="1" applyAlignment="1">
      <alignment horizontal="center" vertical="center"/>
    </xf>
    <xf numFmtId="0" fontId="0" fillId="0" borderId="63" xfId="0" applyBorder="1" applyAlignment="1">
      <alignment horizontal="left" vertical="center"/>
    </xf>
    <xf numFmtId="0" fontId="0" fillId="0" borderId="63" xfId="0" applyBorder="1"/>
    <xf numFmtId="0" fontId="34" fillId="0" borderId="0" xfId="12" applyFill="1" applyBorder="1" applyAlignment="1">
      <alignment vertical="center"/>
    </xf>
    <xf numFmtId="0" fontId="54" fillId="33" borderId="64" xfId="0" applyFont="1" applyFill="1" applyBorder="1" applyAlignment="1">
      <alignment horizontal="center"/>
    </xf>
    <xf numFmtId="0" fontId="0" fillId="33" borderId="65" xfId="0" applyFill="1" applyBorder="1" applyAlignment="1">
      <alignment vertical="top" wrapText="1"/>
    </xf>
    <xf numFmtId="0" fontId="0" fillId="33" borderId="65" xfId="0" applyFill="1" applyBorder="1" applyAlignment="1">
      <alignment horizontal="left" vertical="center" wrapText="1"/>
    </xf>
    <xf numFmtId="0" fontId="3" fillId="6" borderId="66" xfId="0" applyFont="1" applyFill="1" applyBorder="1" applyAlignment="1">
      <alignment horizontal="left" vertical="center"/>
    </xf>
    <xf numFmtId="0" fontId="3" fillId="6" borderId="66" xfId="0" applyFont="1" applyFill="1" applyBorder="1" applyAlignment="1">
      <alignment horizontal="center" vertical="center"/>
    </xf>
    <xf numFmtId="0" fontId="3" fillId="33" borderId="66" xfId="0" applyFont="1" applyFill="1" applyBorder="1" applyAlignment="1">
      <alignment horizontal="left" vertical="center" indent="1"/>
    </xf>
    <xf numFmtId="0" fontId="0" fillId="33" borderId="66" xfId="0" applyFill="1" applyBorder="1" applyAlignment="1">
      <alignment horizontal="center" vertical="center"/>
    </xf>
    <xf numFmtId="165" fontId="3" fillId="33" borderId="66" xfId="1" applyNumberFormat="1" applyFont="1" applyFill="1" applyBorder="1" applyAlignment="1">
      <alignment horizontal="left" vertical="center"/>
    </xf>
    <xf numFmtId="165" fontId="0" fillId="33" borderId="66" xfId="1" applyNumberFormat="1" applyFont="1" applyFill="1" applyBorder="1" applyAlignment="1">
      <alignment horizontal="left" vertical="center"/>
    </xf>
    <xf numFmtId="9" fontId="3" fillId="33" borderId="66" xfId="2" applyFont="1" applyFill="1" applyBorder="1" applyAlignment="1">
      <alignment horizontal="right" vertical="center"/>
    </xf>
    <xf numFmtId="0" fontId="6" fillId="6" borderId="66" xfId="3" applyFont="1" applyFill="1" applyBorder="1">
      <alignment vertical="center"/>
    </xf>
    <xf numFmtId="0" fontId="3" fillId="33" borderId="66" xfId="0" applyFont="1" applyFill="1" applyBorder="1" applyAlignment="1">
      <alignment horizontal="center" vertical="center"/>
    </xf>
    <xf numFmtId="0" fontId="6" fillId="33" borderId="66" xfId="3" applyFont="1" applyFill="1" applyBorder="1">
      <alignment vertical="center"/>
    </xf>
    <xf numFmtId="165" fontId="0" fillId="6" borderId="67" xfId="0" applyNumberFormat="1" applyFill="1" applyBorder="1" applyAlignment="1">
      <alignment horizontal="left" vertical="center"/>
    </xf>
    <xf numFmtId="165" fontId="3" fillId="6" borderId="67" xfId="0" applyNumberFormat="1" applyFont="1" applyFill="1" applyBorder="1" applyAlignment="1">
      <alignment horizontal="left" vertical="center"/>
    </xf>
    <xf numFmtId="165" fontId="0" fillId="0" borderId="67" xfId="0" applyNumberFormat="1" applyBorder="1" applyAlignment="1">
      <alignment horizontal="center" vertical="center"/>
    </xf>
    <xf numFmtId="0" fontId="0" fillId="6" borderId="68" xfId="0" applyFill="1" applyBorder="1" applyAlignment="1">
      <alignment horizontal="center"/>
    </xf>
    <xf numFmtId="0" fontId="0" fillId="6" borderId="67" xfId="0" applyFill="1" applyBorder="1" applyAlignment="1">
      <alignment horizontal="center"/>
    </xf>
    <xf numFmtId="1" fontId="0" fillId="6" borderId="67" xfId="2" applyNumberFormat="1" applyFont="1" applyFill="1" applyBorder="1" applyAlignment="1">
      <alignment horizontal="center"/>
    </xf>
    <xf numFmtId="0" fontId="0" fillId="6" borderId="69" xfId="0" applyFill="1" applyBorder="1" applyAlignment="1">
      <alignment horizontal="center"/>
    </xf>
    <xf numFmtId="0" fontId="25" fillId="37" borderId="66" xfId="7" applyFont="1" applyFill="1" applyBorder="1" applyAlignment="1">
      <alignment vertical="center" wrapText="1"/>
    </xf>
    <xf numFmtId="0" fontId="25" fillId="37" borderId="71" xfId="7" applyFont="1" applyFill="1" applyBorder="1" applyAlignment="1">
      <alignment horizontal="right" vertical="center"/>
    </xf>
    <xf numFmtId="1" fontId="76" fillId="33" borderId="64" xfId="2" applyNumberFormat="1" applyFont="1" applyFill="1" applyBorder="1" applyAlignment="1">
      <alignment horizontal="center"/>
    </xf>
    <xf numFmtId="1" fontId="76" fillId="6" borderId="64" xfId="2" applyNumberFormat="1" applyFont="1" applyFill="1" applyBorder="1" applyAlignment="1">
      <alignment horizontal="center"/>
    </xf>
    <xf numFmtId="0" fontId="76" fillId="33" borderId="64" xfId="2" applyNumberFormat="1" applyFont="1" applyFill="1" applyBorder="1" applyAlignment="1">
      <alignment horizontal="center"/>
    </xf>
    <xf numFmtId="0" fontId="76" fillId="33" borderId="64" xfId="0" applyFont="1" applyFill="1" applyBorder="1" applyAlignment="1">
      <alignment horizontal="center"/>
    </xf>
    <xf numFmtId="0" fontId="77" fillId="0" borderId="64" xfId="0" applyFont="1" applyBorder="1" applyAlignment="1">
      <alignment horizontal="center"/>
    </xf>
    <xf numFmtId="0" fontId="77" fillId="0" borderId="64" xfId="0" applyFont="1" applyBorder="1" applyAlignment="1">
      <alignment horizontal="center" wrapText="1"/>
    </xf>
    <xf numFmtId="0" fontId="76" fillId="0" borderId="64" xfId="0" applyFont="1" applyBorder="1" applyAlignment="1">
      <alignment horizontal="center"/>
    </xf>
    <xf numFmtId="178" fontId="76" fillId="33" borderId="64" xfId="1" applyNumberFormat="1" applyFont="1" applyFill="1" applyBorder="1" applyAlignment="1">
      <alignment horizontal="center"/>
    </xf>
    <xf numFmtId="164" fontId="27" fillId="0" borderId="64" xfId="2" applyNumberFormat="1" applyFont="1" applyFill="1" applyBorder="1" applyAlignment="1">
      <alignment horizontal="center"/>
    </xf>
    <xf numFmtId="164" fontId="76" fillId="0" borderId="64" xfId="2" applyNumberFormat="1" applyFont="1" applyFill="1" applyBorder="1" applyAlignment="1">
      <alignment horizontal="center"/>
    </xf>
    <xf numFmtId="0" fontId="5" fillId="0" borderId="64" xfId="3" applyBorder="1">
      <alignment vertical="center"/>
    </xf>
    <xf numFmtId="169" fontId="76" fillId="0" borderId="64" xfId="13" applyNumberFormat="1" applyFont="1" applyFill="1" applyBorder="1" applyAlignment="1">
      <alignment horizontal="center"/>
    </xf>
    <xf numFmtId="164" fontId="27" fillId="0" borderId="64" xfId="13" applyNumberFormat="1" applyFont="1" applyFill="1" applyBorder="1" applyAlignment="1">
      <alignment horizontal="center"/>
    </xf>
    <xf numFmtId="37" fontId="76" fillId="0" borderId="64" xfId="1" applyNumberFormat="1" applyFont="1" applyFill="1" applyBorder="1" applyAlignment="1">
      <alignment horizontal="center"/>
    </xf>
    <xf numFmtId="178" fontId="76" fillId="33" borderId="64" xfId="13" applyNumberFormat="1" applyFont="1" applyFill="1" applyBorder="1" applyAlignment="1">
      <alignment horizontal="center"/>
    </xf>
    <xf numFmtId="0" fontId="5" fillId="0" borderId="70" xfId="3" applyBorder="1">
      <alignment vertical="center"/>
    </xf>
    <xf numFmtId="165" fontId="76" fillId="33" borderId="64" xfId="2" applyNumberFormat="1" applyFont="1" applyFill="1" applyBorder="1" applyAlignment="1">
      <alignment horizontal="right"/>
    </xf>
    <xf numFmtId="1" fontId="76" fillId="0" borderId="64" xfId="13" applyNumberFormat="1" applyFont="1" applyFill="1" applyBorder="1" applyAlignment="1">
      <alignment horizontal="center"/>
    </xf>
    <xf numFmtId="165" fontId="76" fillId="33" borderId="64" xfId="1" applyNumberFormat="1" applyFont="1" applyFill="1" applyBorder="1" applyAlignment="1">
      <alignment horizontal="right"/>
    </xf>
    <xf numFmtId="165" fontId="76" fillId="33" borderId="64" xfId="1" applyNumberFormat="1" applyFont="1" applyFill="1" applyBorder="1" applyAlignment="1">
      <alignment horizontal="center"/>
    </xf>
    <xf numFmtId="165" fontId="76" fillId="33" borderId="64" xfId="13" applyNumberFormat="1" applyFont="1" applyFill="1" applyBorder="1" applyAlignment="1">
      <alignment horizontal="center"/>
    </xf>
    <xf numFmtId="2" fontId="27" fillId="0" borderId="64" xfId="2" applyNumberFormat="1" applyFont="1" applyFill="1" applyBorder="1" applyAlignment="1">
      <alignment horizontal="center"/>
    </xf>
    <xf numFmtId="2" fontId="27" fillId="0" borderId="64" xfId="10" applyNumberFormat="1" applyFont="1" applyFill="1" applyBorder="1" applyAlignment="1">
      <alignment horizontal="center"/>
    </xf>
    <xf numFmtId="2" fontId="76" fillId="0" borderId="64" xfId="2" applyNumberFormat="1" applyFont="1" applyFill="1" applyBorder="1" applyAlignment="1">
      <alignment horizontal="center"/>
    </xf>
    <xf numFmtId="39" fontId="76" fillId="0" borderId="64" xfId="10" applyNumberFormat="1" applyFont="1" applyFill="1" applyBorder="1" applyAlignment="1">
      <alignment horizontal="center"/>
    </xf>
    <xf numFmtId="9" fontId="76" fillId="0" borderId="64" xfId="2" applyFont="1" applyFill="1" applyBorder="1" applyAlignment="1">
      <alignment horizontal="center"/>
    </xf>
    <xf numFmtId="0" fontId="2" fillId="37" borderId="66" xfId="7" applyFont="1" applyFill="1" applyBorder="1" applyAlignment="1">
      <alignment vertical="center" wrapText="1"/>
    </xf>
    <xf numFmtId="0" fontId="2" fillId="37" borderId="71" xfId="7" applyFont="1" applyFill="1" applyBorder="1" applyAlignment="1">
      <alignment horizontal="right" vertical="center"/>
    </xf>
    <xf numFmtId="1" fontId="76" fillId="34" borderId="64" xfId="2" applyNumberFormat="1" applyFont="1" applyFill="1" applyBorder="1" applyAlignment="1">
      <alignment horizontal="center"/>
    </xf>
    <xf numFmtId="169" fontId="76" fillId="33" borderId="64" xfId="13" applyNumberFormat="1" applyFont="1" applyFill="1" applyBorder="1" applyAlignment="1">
      <alignment horizontal="right"/>
    </xf>
    <xf numFmtId="1" fontId="5" fillId="6" borderId="64" xfId="3" applyNumberFormat="1" applyFill="1" applyBorder="1" applyAlignment="1">
      <alignment horizontal="center" vertical="center"/>
    </xf>
    <xf numFmtId="175" fontId="76" fillId="33" borderId="64" xfId="1" applyNumberFormat="1" applyFont="1" applyFill="1" applyBorder="1" applyAlignment="1">
      <alignment horizontal="center"/>
    </xf>
    <xf numFmtId="44" fontId="27" fillId="0" borderId="64" xfId="10" applyFont="1" applyFill="1" applyBorder="1" applyAlignment="1">
      <alignment horizontal="center"/>
    </xf>
    <xf numFmtId="178" fontId="76" fillId="33" borderId="64" xfId="2" applyNumberFormat="1" applyFont="1" applyFill="1" applyBorder="1" applyAlignment="1">
      <alignment horizontal="center"/>
    </xf>
    <xf numFmtId="0" fontId="10" fillId="0" borderId="64" xfId="3" applyFont="1" applyBorder="1">
      <alignment vertical="center"/>
    </xf>
    <xf numFmtId="0" fontId="10" fillId="0" borderId="70" xfId="3" applyFont="1" applyBorder="1">
      <alignment vertical="center"/>
    </xf>
    <xf numFmtId="169" fontId="76" fillId="0" borderId="64" xfId="2" applyNumberFormat="1" applyFont="1" applyFill="1" applyBorder="1" applyAlignment="1">
      <alignment horizontal="center"/>
    </xf>
    <xf numFmtId="2" fontId="76" fillId="0" borderId="64" xfId="13" applyNumberFormat="1" applyFont="1" applyFill="1" applyBorder="1" applyAlignment="1">
      <alignment horizontal="center"/>
    </xf>
    <xf numFmtId="178" fontId="76" fillId="0" borderId="64" xfId="1" applyNumberFormat="1" applyFont="1" applyFill="1" applyBorder="1"/>
    <xf numFmtId="179" fontId="76" fillId="33" borderId="64" xfId="1" applyNumberFormat="1" applyFont="1" applyFill="1" applyBorder="1" applyAlignment="1">
      <alignment horizontal="right"/>
    </xf>
    <xf numFmtId="175" fontId="76" fillId="5" borderId="64" xfId="1" applyNumberFormat="1" applyFont="1" applyFill="1" applyBorder="1"/>
    <xf numFmtId="178" fontId="76" fillId="33" borderId="64" xfId="1" applyNumberFormat="1" applyFont="1" applyFill="1" applyBorder="1" applyAlignment="1">
      <alignment vertical="center"/>
    </xf>
    <xf numFmtId="175" fontId="76" fillId="33" borderId="64" xfId="13" applyNumberFormat="1" applyFont="1" applyFill="1" applyBorder="1" applyAlignment="1">
      <alignment horizontal="right"/>
    </xf>
    <xf numFmtId="44" fontId="76" fillId="0" borderId="64" xfId="10" applyFont="1" applyFill="1" applyBorder="1" applyAlignment="1">
      <alignment horizontal="center"/>
    </xf>
    <xf numFmtId="166" fontId="27" fillId="0" borderId="64" xfId="13" applyNumberFormat="1" applyFont="1" applyFill="1" applyBorder="1" applyAlignment="1">
      <alignment horizontal="center"/>
    </xf>
    <xf numFmtId="177" fontId="76" fillId="33" borderId="64" xfId="13" applyNumberFormat="1" applyFont="1" applyFill="1" applyBorder="1" applyAlignment="1">
      <alignment horizontal="right"/>
    </xf>
    <xf numFmtId="166" fontId="76" fillId="0" borderId="64" xfId="13" applyNumberFormat="1" applyFont="1" applyFill="1" applyBorder="1" applyAlignment="1">
      <alignment horizontal="center"/>
    </xf>
    <xf numFmtId="177" fontId="76" fillId="33" borderId="64" xfId="2" applyNumberFormat="1" applyFont="1" applyFill="1" applyBorder="1" applyAlignment="1">
      <alignment horizontal="center"/>
    </xf>
    <xf numFmtId="177" fontId="76" fillId="33" borderId="64" xfId="1" applyNumberFormat="1" applyFont="1" applyFill="1" applyBorder="1" applyAlignment="1">
      <alignment horizontal="center"/>
    </xf>
    <xf numFmtId="1" fontId="76" fillId="0" borderId="64" xfId="10" applyNumberFormat="1" applyFont="1" applyFill="1" applyBorder="1" applyAlignment="1">
      <alignment horizontal="center"/>
    </xf>
    <xf numFmtId="172" fontId="76" fillId="0" borderId="64" xfId="10" applyNumberFormat="1" applyFont="1" applyFill="1" applyBorder="1" applyAlignment="1">
      <alignment horizontal="center"/>
    </xf>
    <xf numFmtId="1" fontId="76" fillId="0" borderId="64" xfId="2" applyNumberFormat="1" applyFont="1" applyFill="1" applyBorder="1" applyAlignment="1">
      <alignment horizontal="center"/>
    </xf>
    <xf numFmtId="0" fontId="25" fillId="37" borderId="66" xfId="7" applyFont="1" applyFill="1" applyBorder="1" applyAlignment="1">
      <alignment vertical="center"/>
    </xf>
    <xf numFmtId="177" fontId="76" fillId="33" borderId="64" xfId="2" applyNumberFormat="1" applyFont="1" applyFill="1" applyBorder="1" applyAlignment="1">
      <alignment horizontal="right"/>
    </xf>
    <xf numFmtId="164" fontId="76" fillId="0" borderId="64" xfId="13" applyNumberFormat="1" applyFont="1" applyFill="1" applyBorder="1"/>
    <xf numFmtId="177" fontId="76" fillId="33" borderId="64" xfId="1" applyNumberFormat="1" applyFont="1" applyFill="1" applyBorder="1" applyAlignment="1">
      <alignment horizontal="right"/>
    </xf>
    <xf numFmtId="0" fontId="77" fillId="6" borderId="64" xfId="0" applyFont="1" applyFill="1" applyBorder="1" applyAlignment="1">
      <alignment horizontal="center" wrapText="1"/>
    </xf>
    <xf numFmtId="177" fontId="76" fillId="33" borderId="64" xfId="2" applyNumberFormat="1" applyFont="1" applyFill="1" applyBorder="1" applyAlignment="1"/>
    <xf numFmtId="177" fontId="76" fillId="33" borderId="64" xfId="1" applyNumberFormat="1" applyFont="1" applyFill="1" applyBorder="1" applyAlignment="1"/>
    <xf numFmtId="171" fontId="76" fillId="0" borderId="64" xfId="0" applyNumberFormat="1" applyFont="1" applyBorder="1"/>
    <xf numFmtId="171" fontId="76" fillId="0" borderId="64" xfId="2" applyNumberFormat="1" applyFont="1" applyFill="1" applyBorder="1" applyAlignment="1">
      <alignment horizontal="center"/>
    </xf>
    <xf numFmtId="183" fontId="76" fillId="0" borderId="64" xfId="2" applyNumberFormat="1" applyFont="1" applyFill="1" applyBorder="1" applyAlignment="1">
      <alignment horizontal="center"/>
    </xf>
    <xf numFmtId="183" fontId="27" fillId="0" borderId="64" xfId="2" applyNumberFormat="1" applyFont="1" applyFill="1" applyBorder="1" applyAlignment="1">
      <alignment horizontal="center"/>
    </xf>
    <xf numFmtId="21" fontId="76" fillId="33" borderId="64" xfId="1" applyNumberFormat="1" applyFont="1" applyFill="1" applyBorder="1" applyAlignment="1"/>
    <xf numFmtId="21" fontId="76" fillId="33" borderId="64" xfId="1" applyNumberFormat="1" applyFont="1" applyFill="1" applyBorder="1" applyAlignment="1">
      <alignment horizontal="right"/>
    </xf>
    <xf numFmtId="180" fontId="76" fillId="33" borderId="64" xfId="1" applyNumberFormat="1" applyFont="1" applyFill="1" applyBorder="1" applyAlignment="1">
      <alignment horizontal="right"/>
    </xf>
    <xf numFmtId="44" fontId="76" fillId="0" borderId="67" xfId="10" applyFont="1" applyFill="1" applyBorder="1" applyAlignment="1">
      <alignment horizontal="center"/>
    </xf>
    <xf numFmtId="1" fontId="76" fillId="33" borderId="64" xfId="1" applyNumberFormat="1" applyFont="1" applyFill="1" applyBorder="1" applyAlignment="1">
      <alignment horizontal="right"/>
    </xf>
    <xf numFmtId="180" fontId="76" fillId="33" borderId="64" xfId="2" applyNumberFormat="1" applyFont="1" applyFill="1" applyBorder="1" applyAlignment="1">
      <alignment horizontal="right"/>
    </xf>
    <xf numFmtId="165" fontId="76" fillId="0" borderId="64" xfId="1" applyNumberFormat="1" applyFont="1" applyFill="1" applyBorder="1" applyAlignment="1">
      <alignment horizontal="center"/>
    </xf>
    <xf numFmtId="3" fontId="76" fillId="33" borderId="64" xfId="1" applyNumberFormat="1" applyFont="1" applyFill="1" applyBorder="1" applyAlignment="1">
      <alignment horizontal="right"/>
    </xf>
    <xf numFmtId="0" fontId="76" fillId="33" borderId="64" xfId="1" applyNumberFormat="1" applyFont="1" applyFill="1" applyBorder="1" applyAlignment="1">
      <alignment horizontal="right"/>
    </xf>
    <xf numFmtId="1" fontId="27" fillId="0" borderId="64" xfId="13" applyNumberFormat="1" applyFont="1" applyFill="1" applyBorder="1" applyAlignment="1">
      <alignment horizontal="center"/>
    </xf>
    <xf numFmtId="171" fontId="76" fillId="33" borderId="64" xfId="2" applyNumberFormat="1" applyFont="1" applyFill="1" applyBorder="1" applyAlignment="1">
      <alignment horizontal="right"/>
    </xf>
    <xf numFmtId="178" fontId="76" fillId="33" borderId="64" xfId="1" applyNumberFormat="1" applyFont="1" applyFill="1" applyBorder="1"/>
    <xf numFmtId="9" fontId="76" fillId="0" borderId="64" xfId="13" applyNumberFormat="1" applyFont="1" applyFill="1" applyBorder="1"/>
    <xf numFmtId="43" fontId="76" fillId="39" borderId="64" xfId="1" applyFont="1" applyFill="1" applyBorder="1"/>
    <xf numFmtId="1" fontId="76" fillId="0" borderId="64" xfId="2" applyNumberFormat="1" applyFont="1" applyFill="1" applyBorder="1" applyAlignment="1">
      <alignment horizontal="right"/>
    </xf>
    <xf numFmtId="178" fontId="76" fillId="39" borderId="64" xfId="1" applyNumberFormat="1" applyFont="1" applyFill="1" applyBorder="1"/>
    <xf numFmtId="178" fontId="76" fillId="39" borderId="64" xfId="1" applyNumberFormat="1" applyFont="1" applyFill="1" applyBorder="1" applyAlignment="1">
      <alignment horizontal="center"/>
    </xf>
    <xf numFmtId="171" fontId="76" fillId="33" borderId="64" xfId="2" applyNumberFormat="1" applyFont="1" applyFill="1" applyBorder="1" applyAlignment="1">
      <alignment horizontal="center"/>
    </xf>
    <xf numFmtId="21" fontId="76" fillId="33" borderId="64" xfId="1" applyNumberFormat="1" applyFont="1" applyFill="1" applyBorder="1" applyAlignment="1">
      <alignment horizontal="center"/>
    </xf>
    <xf numFmtId="1" fontId="76" fillId="33" borderId="64" xfId="1" applyNumberFormat="1" applyFont="1" applyFill="1" applyBorder="1" applyAlignment="1"/>
    <xf numFmtId="0" fontId="20" fillId="3" borderId="66" xfId="7" applyFont="1" applyFill="1" applyBorder="1" applyAlignment="1">
      <alignment vertical="center"/>
    </xf>
    <xf numFmtId="0" fontId="20" fillId="3" borderId="71" xfId="7" applyFont="1" applyFill="1" applyBorder="1" applyAlignment="1">
      <alignment horizontal="right" vertical="center"/>
    </xf>
    <xf numFmtId="1" fontId="0" fillId="15" borderId="64" xfId="2" applyNumberFormat="1" applyFont="1" applyFill="1" applyBorder="1" applyAlignment="1">
      <alignment horizontal="center"/>
    </xf>
    <xf numFmtId="1" fontId="0" fillId="6" borderId="64" xfId="2" applyNumberFormat="1" applyFont="1" applyFill="1" applyBorder="1" applyAlignment="1">
      <alignment horizontal="center"/>
    </xf>
    <xf numFmtId="0" fontId="0" fillId="15" borderId="64" xfId="0" applyFill="1" applyBorder="1" applyAlignment="1">
      <alignment horizontal="center"/>
    </xf>
    <xf numFmtId="0" fontId="4" fillId="0" borderId="64" xfId="0" applyFont="1" applyBorder="1" applyAlignment="1">
      <alignment horizontal="center"/>
    </xf>
    <xf numFmtId="0" fontId="4" fillId="0" borderId="64" xfId="0" applyFont="1" applyBorder="1" applyAlignment="1">
      <alignment horizontal="center" wrapText="1"/>
    </xf>
    <xf numFmtId="0" fontId="0" fillId="0" borderId="64" xfId="0" applyBorder="1" applyAlignment="1">
      <alignment horizontal="center"/>
    </xf>
    <xf numFmtId="43" fontId="0" fillId="6" borderId="64" xfId="1" applyFont="1" applyFill="1" applyBorder="1"/>
    <xf numFmtId="2" fontId="0" fillId="6" borderId="64" xfId="2" applyNumberFormat="1" applyFont="1" applyFill="1" applyBorder="1" applyAlignment="1">
      <alignment horizontal="center"/>
    </xf>
    <xf numFmtId="2" fontId="0" fillId="0" borderId="64" xfId="2" applyNumberFormat="1" applyFont="1" applyFill="1" applyBorder="1" applyAlignment="1">
      <alignment horizontal="center"/>
    </xf>
    <xf numFmtId="43" fontId="0" fillId="0" borderId="64" xfId="1" applyFont="1" applyFill="1" applyBorder="1"/>
    <xf numFmtId="2" fontId="0" fillId="15" borderId="64" xfId="2" applyNumberFormat="1" applyFont="1" applyFill="1" applyBorder="1" applyAlignment="1">
      <alignment horizontal="center"/>
    </xf>
    <xf numFmtId="169" fontId="1" fillId="0" borderId="64" xfId="13" applyNumberFormat="1" applyFont="1" applyFill="1" applyBorder="1" applyAlignment="1">
      <alignment horizontal="center"/>
    </xf>
    <xf numFmtId="2" fontId="3" fillId="0" borderId="64" xfId="2" applyNumberFormat="1" applyFont="1" applyFill="1" applyBorder="1" applyAlignment="1">
      <alignment horizontal="center"/>
    </xf>
    <xf numFmtId="37" fontId="0" fillId="0" borderId="64" xfId="1" applyNumberFormat="1" applyFont="1" applyFill="1" applyBorder="1" applyAlignment="1">
      <alignment horizontal="center"/>
    </xf>
    <xf numFmtId="0" fontId="3" fillId="3" borderId="66" xfId="7" applyFont="1" applyFill="1" applyBorder="1" applyAlignment="1">
      <alignment vertical="center"/>
    </xf>
    <xf numFmtId="0" fontId="3" fillId="3" borderId="71" xfId="7" applyFont="1" applyFill="1" applyBorder="1" applyAlignment="1">
      <alignment horizontal="right" vertical="center"/>
    </xf>
    <xf numFmtId="178" fontId="1" fillId="0" borderId="64" xfId="1" applyNumberFormat="1" applyFont="1" applyFill="1" applyBorder="1" applyAlignment="1">
      <alignment horizontal="center"/>
    </xf>
    <xf numFmtId="178" fontId="0" fillId="0" borderId="64" xfId="2" applyNumberFormat="1" applyFont="1" applyFill="1" applyBorder="1" applyAlignment="1">
      <alignment horizontal="center"/>
    </xf>
    <xf numFmtId="164" fontId="1" fillId="0" borderId="64" xfId="13" applyNumberFormat="1" applyFont="1" applyFill="1" applyBorder="1" applyAlignment="1">
      <alignment horizontal="center"/>
    </xf>
    <xf numFmtId="164" fontId="0" fillId="0" borderId="64" xfId="2" applyNumberFormat="1" applyFont="1" applyFill="1" applyBorder="1" applyAlignment="1">
      <alignment horizontal="center"/>
    </xf>
    <xf numFmtId="178" fontId="1" fillId="15" borderId="64" xfId="1" applyNumberFormat="1" applyFont="1" applyFill="1" applyBorder="1" applyAlignment="1">
      <alignment horizontal="center"/>
    </xf>
    <xf numFmtId="178" fontId="0" fillId="15" borderId="64" xfId="2" applyNumberFormat="1" applyFont="1" applyFill="1" applyBorder="1" applyAlignment="1">
      <alignment horizontal="center"/>
    </xf>
    <xf numFmtId="164" fontId="3" fillId="0" borderId="64" xfId="13" applyNumberFormat="1" applyFont="1" applyFill="1" applyBorder="1" applyAlignment="1">
      <alignment horizontal="center"/>
    </xf>
    <xf numFmtId="178" fontId="0" fillId="0" borderId="64" xfId="2" applyNumberFormat="1" applyFont="1" applyFill="1" applyBorder="1" applyAlignment="1">
      <alignment horizontal="right"/>
    </xf>
    <xf numFmtId="178" fontId="1" fillId="0" borderId="64" xfId="2" applyNumberFormat="1" applyFont="1" applyFill="1" applyBorder="1" applyAlignment="1">
      <alignment horizontal="center"/>
    </xf>
    <xf numFmtId="178" fontId="1" fillId="0" borderId="64" xfId="13" applyNumberFormat="1" applyFont="1" applyFill="1" applyBorder="1" applyAlignment="1">
      <alignment horizontal="center"/>
    </xf>
    <xf numFmtId="175" fontId="1" fillId="0" borderId="64" xfId="1" applyNumberFormat="1" applyFont="1" applyFill="1" applyBorder="1" applyAlignment="1">
      <alignment horizontal="center"/>
    </xf>
    <xf numFmtId="175" fontId="0" fillId="0" borderId="64" xfId="1" applyNumberFormat="1" applyFont="1" applyFill="1" applyBorder="1" applyAlignment="1">
      <alignment horizontal="center"/>
    </xf>
    <xf numFmtId="178" fontId="0" fillId="15" borderId="64" xfId="1" applyNumberFormat="1" applyFont="1" applyFill="1" applyBorder="1" applyAlignment="1">
      <alignment horizontal="center"/>
    </xf>
    <xf numFmtId="39" fontId="0" fillId="0" borderId="64" xfId="10" applyNumberFormat="1" applyFont="1" applyFill="1" applyBorder="1" applyAlignment="1">
      <alignment horizontal="center"/>
    </xf>
    <xf numFmtId="39" fontId="3" fillId="0" borderId="64" xfId="10" applyNumberFormat="1" applyFont="1" applyFill="1" applyBorder="1" applyAlignment="1">
      <alignment horizontal="center"/>
    </xf>
    <xf numFmtId="43" fontId="1" fillId="0" borderId="64" xfId="1" applyFont="1" applyFill="1" applyBorder="1" applyAlignment="1">
      <alignment horizontal="center"/>
    </xf>
    <xf numFmtId="178" fontId="0" fillId="6" borderId="64" xfId="2" applyNumberFormat="1" applyFont="1" applyFill="1" applyBorder="1" applyAlignment="1">
      <alignment horizontal="center"/>
    </xf>
    <xf numFmtId="177" fontId="0" fillId="15" borderId="64" xfId="2" applyNumberFormat="1" applyFont="1" applyFill="1" applyBorder="1" applyAlignment="1"/>
    <xf numFmtId="2" fontId="0" fillId="15" borderId="64" xfId="2" applyNumberFormat="1" applyFont="1" applyFill="1" applyBorder="1" applyAlignment="1">
      <alignment horizontal="right"/>
    </xf>
    <xf numFmtId="177" fontId="1" fillId="15" borderId="64" xfId="1" applyNumberFormat="1" applyFont="1" applyFill="1" applyBorder="1" applyAlignment="1">
      <alignment vertical="center"/>
    </xf>
    <xf numFmtId="43" fontId="1" fillId="15" borderId="64" xfId="1" applyFont="1" applyFill="1" applyBorder="1" applyAlignment="1">
      <alignment horizontal="center" vertical="center"/>
    </xf>
    <xf numFmtId="177" fontId="1" fillId="15" borderId="64" xfId="1" applyNumberFormat="1" applyFont="1" applyFill="1" applyBorder="1" applyAlignment="1"/>
    <xf numFmtId="43" fontId="1" fillId="15" borderId="64" xfId="1" applyFont="1" applyFill="1" applyBorder="1" applyAlignment="1">
      <alignment horizontal="center"/>
    </xf>
    <xf numFmtId="43" fontId="0" fillId="0" borderId="64" xfId="1" applyFont="1" applyFill="1" applyBorder="1" applyAlignment="1">
      <alignment horizontal="center"/>
    </xf>
    <xf numFmtId="177" fontId="1" fillId="15" borderId="64" xfId="13" applyNumberFormat="1" applyFont="1" applyFill="1" applyBorder="1" applyAlignment="1">
      <alignment horizontal="center"/>
    </xf>
    <xf numFmtId="175" fontId="1" fillId="15" borderId="64" xfId="1" applyNumberFormat="1" applyFont="1" applyFill="1" applyBorder="1" applyAlignment="1">
      <alignment horizontal="center"/>
    </xf>
    <xf numFmtId="169" fontId="1" fillId="15" borderId="64" xfId="13" applyNumberFormat="1" applyFont="1" applyFill="1" applyBorder="1" applyAlignment="1">
      <alignment horizontal="center"/>
    </xf>
    <xf numFmtId="164" fontId="1" fillId="15" borderId="64" xfId="2" applyNumberFormat="1" applyFont="1" applyFill="1" applyBorder="1" applyAlignment="1">
      <alignment horizontal="center"/>
    </xf>
    <xf numFmtId="171" fontId="0" fillId="0" borderId="64" xfId="0" applyNumberFormat="1" applyBorder="1"/>
    <xf numFmtId="171" fontId="0" fillId="0" borderId="64" xfId="2" applyNumberFormat="1" applyFont="1" applyFill="1" applyBorder="1" applyAlignment="1">
      <alignment horizontal="center"/>
    </xf>
    <xf numFmtId="21" fontId="1" fillId="15" borderId="64" xfId="1" applyNumberFormat="1" applyFont="1" applyFill="1" applyBorder="1" applyAlignment="1">
      <alignment horizontal="center"/>
    </xf>
    <xf numFmtId="171" fontId="3" fillId="0" borderId="64" xfId="2" applyNumberFormat="1" applyFont="1" applyFill="1" applyBorder="1" applyAlignment="1">
      <alignment horizontal="center"/>
    </xf>
    <xf numFmtId="2" fontId="1" fillId="6" borderId="64" xfId="2" applyNumberFormat="1" applyFont="1" applyFill="1" applyBorder="1" applyAlignment="1">
      <alignment horizontal="center"/>
    </xf>
    <xf numFmtId="2" fontId="1" fillId="0" borderId="64" xfId="13" applyNumberFormat="1" applyFont="1" applyFill="1" applyBorder="1" applyAlignment="1">
      <alignment horizontal="center"/>
    </xf>
    <xf numFmtId="164" fontId="1" fillId="0" borderId="64" xfId="2" applyNumberFormat="1" applyFont="1" applyFill="1" applyBorder="1" applyAlignment="1">
      <alignment horizontal="center"/>
    </xf>
    <xf numFmtId="10" fontId="1" fillId="15" borderId="64" xfId="2" applyNumberFormat="1" applyFont="1" applyFill="1" applyBorder="1" applyAlignment="1">
      <alignment horizontal="center"/>
    </xf>
    <xf numFmtId="164" fontId="3" fillId="0" borderId="64" xfId="2" applyNumberFormat="1" applyFont="1" applyFill="1" applyBorder="1" applyAlignment="1">
      <alignment horizontal="center"/>
    </xf>
    <xf numFmtId="10" fontId="1" fillId="15" borderId="64" xfId="1" applyNumberFormat="1" applyFont="1" applyFill="1" applyBorder="1" applyAlignment="1">
      <alignment horizontal="center"/>
    </xf>
    <xf numFmtId="2" fontId="0" fillId="0" borderId="64" xfId="0" applyNumberFormat="1" applyBorder="1"/>
    <xf numFmtId="9" fontId="0" fillId="0" borderId="64" xfId="2" applyFont="1" applyFill="1" applyBorder="1" applyAlignment="1">
      <alignment horizontal="center"/>
    </xf>
    <xf numFmtId="164" fontId="1" fillId="15" borderId="64" xfId="1" applyNumberFormat="1" applyFont="1" applyFill="1" applyBorder="1" applyAlignment="1">
      <alignment horizontal="center"/>
    </xf>
    <xf numFmtId="175" fontId="0" fillId="0" borderId="64" xfId="1" applyNumberFormat="1" applyFont="1" applyFill="1" applyBorder="1"/>
    <xf numFmtId="175" fontId="1" fillId="0" borderId="64" xfId="1" applyNumberFormat="1" applyFont="1" applyFill="1" applyBorder="1"/>
    <xf numFmtId="44" fontId="1" fillId="0" borderId="64" xfId="10" applyFont="1" applyFill="1" applyBorder="1"/>
    <xf numFmtId="8" fontId="0" fillId="0" borderId="64" xfId="10" applyNumberFormat="1" applyFont="1" applyFill="1" applyBorder="1"/>
    <xf numFmtId="178" fontId="0" fillId="15" borderId="64" xfId="1" applyNumberFormat="1" applyFont="1" applyFill="1" applyBorder="1"/>
    <xf numFmtId="178" fontId="1" fillId="15" borderId="64" xfId="1" applyNumberFormat="1" applyFont="1" applyFill="1" applyBorder="1"/>
    <xf numFmtId="44" fontId="0" fillId="0" borderId="64" xfId="10" applyFont="1" applyFill="1" applyBorder="1" applyAlignment="1">
      <alignment horizontal="center"/>
    </xf>
    <xf numFmtId="44" fontId="3" fillId="0" borderId="64" xfId="10" applyFont="1" applyFill="1" applyBorder="1" applyAlignment="1">
      <alignment horizontal="center"/>
    </xf>
    <xf numFmtId="169" fontId="0" fillId="0" borderId="64" xfId="2" applyNumberFormat="1" applyFont="1" applyFill="1" applyBorder="1" applyAlignment="1">
      <alignment horizontal="center"/>
    </xf>
    <xf numFmtId="177" fontId="0" fillId="15" borderId="64" xfId="2" applyNumberFormat="1" applyFont="1" applyFill="1" applyBorder="1" applyAlignment="1">
      <alignment horizontal="center"/>
    </xf>
    <xf numFmtId="169" fontId="3" fillId="0" borderId="64" xfId="2" applyNumberFormat="1" applyFont="1" applyFill="1" applyBorder="1" applyAlignment="1">
      <alignment horizontal="center"/>
    </xf>
    <xf numFmtId="177" fontId="1" fillId="15" borderId="64" xfId="1" applyNumberFormat="1" applyFont="1" applyFill="1" applyBorder="1" applyAlignment="1">
      <alignment horizontal="center"/>
    </xf>
    <xf numFmtId="171" fontId="76" fillId="33" borderId="64" xfId="13" applyNumberFormat="1" applyFont="1" applyFill="1" applyBorder="1" applyAlignment="1">
      <alignment horizontal="center"/>
    </xf>
    <xf numFmtId="2" fontId="76" fillId="0" borderId="67" xfId="2" applyNumberFormat="1" applyFont="1" applyFill="1" applyBorder="1" applyAlignment="1">
      <alignment horizontal="center"/>
    </xf>
    <xf numFmtId="171" fontId="76" fillId="0" borderId="67" xfId="2" applyNumberFormat="1" applyFont="1" applyFill="1" applyBorder="1" applyAlignment="1">
      <alignment horizontal="center"/>
    </xf>
    <xf numFmtId="0" fontId="76" fillId="6" borderId="64" xfId="0" applyFont="1" applyFill="1" applyBorder="1" applyAlignment="1">
      <alignment horizontal="center"/>
    </xf>
    <xf numFmtId="9" fontId="76" fillId="6" borderId="64" xfId="2" applyFont="1" applyFill="1" applyBorder="1" applyAlignment="1">
      <alignment horizontal="center"/>
    </xf>
    <xf numFmtId="0" fontId="5" fillId="6" borderId="64" xfId="3" applyFill="1" applyBorder="1">
      <alignment vertical="center"/>
    </xf>
    <xf numFmtId="169" fontId="76" fillId="6" borderId="64" xfId="13" applyNumberFormat="1" applyFont="1" applyFill="1" applyBorder="1" applyAlignment="1">
      <alignment horizontal="center"/>
    </xf>
    <xf numFmtId="2" fontId="76" fillId="6" borderId="64" xfId="2" applyNumberFormat="1" applyFont="1" applyFill="1" applyBorder="1" applyAlignment="1">
      <alignment horizontal="center"/>
    </xf>
    <xf numFmtId="2" fontId="27" fillId="6" borderId="64" xfId="2" applyNumberFormat="1" applyFont="1" applyFill="1" applyBorder="1" applyAlignment="1">
      <alignment horizontal="center"/>
    </xf>
    <xf numFmtId="37" fontId="76" fillId="6" borderId="64" xfId="1" applyNumberFormat="1" applyFont="1" applyFill="1" applyBorder="1" applyAlignment="1">
      <alignment horizontal="center"/>
    </xf>
    <xf numFmtId="0" fontId="5" fillId="6" borderId="70" xfId="3" applyFill="1" applyBorder="1">
      <alignment vertical="center"/>
    </xf>
    <xf numFmtId="164" fontId="27" fillId="6" borderId="64" xfId="13" applyNumberFormat="1" applyFont="1" applyFill="1" applyBorder="1" applyAlignment="1">
      <alignment horizontal="center"/>
    </xf>
    <xf numFmtId="43" fontId="76" fillId="0" borderId="64" xfId="1" applyFont="1" applyFill="1" applyBorder="1" applyAlignment="1">
      <alignment horizontal="center"/>
    </xf>
    <xf numFmtId="164" fontId="76" fillId="33" borderId="64" xfId="2" applyNumberFormat="1" applyFont="1" applyFill="1" applyBorder="1" applyAlignment="1">
      <alignment horizontal="center"/>
    </xf>
    <xf numFmtId="39" fontId="27" fillId="6" borderId="64" xfId="10" applyNumberFormat="1" applyFont="1" applyFill="1" applyBorder="1" applyAlignment="1">
      <alignment horizontal="center"/>
    </xf>
    <xf numFmtId="39" fontId="76" fillId="6" borderId="64" xfId="10" applyNumberFormat="1" applyFont="1" applyFill="1" applyBorder="1" applyAlignment="1">
      <alignment horizontal="center"/>
    </xf>
    <xf numFmtId="0" fontId="14" fillId="3" borderId="66" xfId="7" applyFont="1" applyFill="1" applyBorder="1" applyAlignment="1">
      <alignment vertical="center" wrapText="1"/>
    </xf>
    <xf numFmtId="0" fontId="14" fillId="3" borderId="71" xfId="7" applyFont="1" applyFill="1" applyBorder="1" applyAlignment="1">
      <alignment horizontal="right" vertical="center"/>
    </xf>
    <xf numFmtId="169" fontId="3" fillId="0" borderId="64" xfId="13" applyNumberFormat="1" applyFont="1" applyFill="1" applyBorder="1" applyAlignment="1">
      <alignment horizontal="center"/>
    </xf>
    <xf numFmtId="1" fontId="0" fillId="0" borderId="64" xfId="2" applyNumberFormat="1" applyFont="1" applyFill="1" applyBorder="1" applyAlignment="1">
      <alignment horizontal="center"/>
    </xf>
    <xf numFmtId="1" fontId="1" fillId="0" borderId="64" xfId="13" applyNumberFormat="1" applyFont="1" applyFill="1" applyBorder="1" applyAlignment="1">
      <alignment horizontal="center"/>
    </xf>
    <xf numFmtId="1" fontId="1" fillId="15" borderId="64" xfId="13" applyNumberFormat="1" applyFont="1" applyFill="1" applyBorder="1" applyAlignment="1">
      <alignment horizontal="center"/>
    </xf>
    <xf numFmtId="43" fontId="55" fillId="0" borderId="64" xfId="1" applyFont="1" applyFill="1" applyBorder="1" applyAlignment="1">
      <alignment horizontal="center"/>
    </xf>
    <xf numFmtId="169" fontId="1" fillId="6" borderId="64" xfId="13" applyNumberFormat="1" applyFont="1" applyFill="1" applyBorder="1" applyAlignment="1">
      <alignment horizontal="center"/>
    </xf>
    <xf numFmtId="2" fontId="1" fillId="15" borderId="64" xfId="13" applyNumberFormat="1" applyFont="1" applyFill="1" applyBorder="1" applyAlignment="1">
      <alignment horizontal="center"/>
    </xf>
    <xf numFmtId="2" fontId="0" fillId="0" borderId="64" xfId="2" applyNumberFormat="1" applyFont="1" applyFill="1" applyBorder="1" applyAlignment="1">
      <alignment horizontal="right"/>
    </xf>
    <xf numFmtId="2" fontId="1" fillId="0" borderId="64" xfId="2" applyNumberFormat="1" applyFont="1" applyFill="1" applyBorder="1" applyAlignment="1">
      <alignment horizontal="center"/>
    </xf>
    <xf numFmtId="2" fontId="1" fillId="15" borderId="64" xfId="2" applyNumberFormat="1" applyFont="1" applyFill="1" applyBorder="1" applyAlignment="1">
      <alignment horizontal="center"/>
    </xf>
    <xf numFmtId="175" fontId="0" fillId="15" borderId="64" xfId="1" applyNumberFormat="1" applyFont="1" applyFill="1" applyBorder="1" applyAlignment="1">
      <alignment horizontal="center"/>
    </xf>
    <xf numFmtId="21" fontId="0" fillId="0" borderId="64" xfId="13" applyNumberFormat="1" applyFont="1" applyFill="1" applyBorder="1" applyAlignment="1">
      <alignment horizontal="center"/>
    </xf>
    <xf numFmtId="21" fontId="1" fillId="0" borderId="64" xfId="13" applyNumberFormat="1" applyFont="1" applyFill="1" applyBorder="1" applyAlignment="1">
      <alignment horizontal="center"/>
    </xf>
    <xf numFmtId="177" fontId="76" fillId="43" borderId="64" xfId="2" applyNumberFormat="1" applyFont="1" applyFill="1" applyBorder="1" applyAlignment="1">
      <alignment horizontal="right"/>
    </xf>
    <xf numFmtId="177" fontId="76" fillId="43" borderId="64" xfId="1" applyNumberFormat="1" applyFont="1" applyFill="1" applyBorder="1" applyAlignment="1">
      <alignment horizontal="right"/>
    </xf>
    <xf numFmtId="9" fontId="76" fillId="0" borderId="64" xfId="13" applyNumberFormat="1" applyFont="1" applyFill="1" applyBorder="1" applyAlignment="1">
      <alignment horizontal="center"/>
    </xf>
    <xf numFmtId="0" fontId="76" fillId="0" borderId="16" xfId="0" applyFont="1" applyBorder="1" applyAlignment="1">
      <alignment horizontal="left"/>
    </xf>
    <xf numFmtId="9" fontId="76" fillId="0" borderId="64" xfId="2" applyNumberFormat="1" applyFont="1" applyFill="1" applyBorder="1" applyAlignment="1">
      <alignment horizontal="center"/>
    </xf>
    <xf numFmtId="177" fontId="76" fillId="33" borderId="64" xfId="13" applyNumberFormat="1" applyFont="1" applyFill="1" applyBorder="1" applyAlignment="1"/>
    <xf numFmtId="177" fontId="76" fillId="33" borderId="64" xfId="24" applyNumberFormat="1" applyFont="1" applyFill="1" applyBorder="1" applyAlignment="1"/>
    <xf numFmtId="177" fontId="76" fillId="33" borderId="64" xfId="1" applyNumberFormat="1" applyFont="1" applyFill="1" applyBorder="1" applyAlignment="1">
      <alignment vertical="center"/>
    </xf>
    <xf numFmtId="177" fontId="76" fillId="0" borderId="64" xfId="1" applyNumberFormat="1" applyFont="1" applyFill="1" applyBorder="1" applyAlignment="1">
      <alignment horizontal="center"/>
    </xf>
    <xf numFmtId="177" fontId="76" fillId="0" borderId="64" xfId="1" applyNumberFormat="1" applyFont="1" applyFill="1" applyBorder="1" applyAlignment="1"/>
    <xf numFmtId="177" fontId="76" fillId="5" borderId="64" xfId="1" applyNumberFormat="1" applyFont="1" applyFill="1" applyBorder="1" applyAlignment="1"/>
    <xf numFmtId="2" fontId="27" fillId="33" borderId="64" xfId="1" applyNumberFormat="1" applyFont="1" applyFill="1" applyBorder="1" applyAlignment="1">
      <alignment horizontal="center"/>
    </xf>
    <xf numFmtId="2" fontId="27" fillId="33" borderId="64" xfId="13" applyNumberFormat="1" applyFont="1" applyFill="1" applyBorder="1" applyAlignment="1">
      <alignment horizontal="center"/>
    </xf>
    <xf numFmtId="2" fontId="76" fillId="0" borderId="64" xfId="10" applyNumberFormat="1" applyFont="1" applyFill="1" applyBorder="1" applyAlignment="1">
      <alignment horizontal="center"/>
    </xf>
    <xf numFmtId="177" fontId="76" fillId="33" borderId="64" xfId="24" applyNumberFormat="1" applyFont="1" applyFill="1" applyBorder="1" applyAlignment="1">
      <alignment vertical="center"/>
    </xf>
    <xf numFmtId="177" fontId="76" fillId="33" borderId="64" xfId="10" applyNumberFormat="1" applyFont="1" applyFill="1" applyBorder="1" applyAlignment="1"/>
    <xf numFmtId="2" fontId="25" fillId="2" borderId="16" xfId="13" applyNumberFormat="1" applyFont="1" applyFill="1" applyBorder="1" applyAlignment="1">
      <alignment horizontal="center"/>
    </xf>
    <xf numFmtId="177" fontId="76" fillId="33" borderId="0" xfId="0" applyNumberFormat="1" applyFont="1" applyFill="1" applyAlignment="1"/>
    <xf numFmtId="2" fontId="27" fillId="0" borderId="0" xfId="0" applyNumberFormat="1" applyFont="1"/>
    <xf numFmtId="0" fontId="77" fillId="0" borderId="23" xfId="0" applyFont="1" applyBorder="1" applyAlignment="1">
      <alignment horizontal="center"/>
    </xf>
    <xf numFmtId="0" fontId="76" fillId="0" borderId="0" xfId="0" applyFont="1" applyBorder="1" applyAlignment="1">
      <alignment horizontal="left"/>
    </xf>
    <xf numFmtId="0" fontId="77" fillId="0" borderId="73" xfId="0" applyFont="1" applyBorder="1" applyAlignment="1">
      <alignment horizontal="center" wrapText="1"/>
    </xf>
    <xf numFmtId="0" fontId="77" fillId="0" borderId="73" xfId="0" applyFont="1" applyBorder="1" applyAlignment="1">
      <alignment horizontal="center"/>
    </xf>
    <xf numFmtId="0" fontId="77" fillId="0" borderId="74" xfId="0" applyFont="1" applyBorder="1" applyAlignment="1">
      <alignment horizontal="center"/>
    </xf>
    <xf numFmtId="0" fontId="76" fillId="0" borderId="74" xfId="0" applyFont="1" applyBorder="1" applyAlignment="1">
      <alignment horizontal="center"/>
    </xf>
    <xf numFmtId="2" fontId="27" fillId="0" borderId="64" xfId="13" applyNumberFormat="1" applyFont="1" applyFill="1" applyBorder="1" applyAlignment="1">
      <alignment horizontal="center"/>
    </xf>
    <xf numFmtId="2" fontId="25" fillId="2" borderId="16" xfId="10" applyNumberFormat="1" applyFont="1" applyFill="1" applyBorder="1" applyAlignment="1">
      <alignment horizontal="center"/>
    </xf>
    <xf numFmtId="2" fontId="76" fillId="0" borderId="0" xfId="2" applyNumberFormat="1" applyFont="1" applyFill="1"/>
    <xf numFmtId="2" fontId="27" fillId="0" borderId="0" xfId="2" applyNumberFormat="1" applyFont="1" applyFill="1"/>
    <xf numFmtId="177" fontId="76" fillId="6" borderId="64" xfId="1" applyNumberFormat="1" applyFont="1" applyFill="1" applyBorder="1" applyAlignment="1">
      <alignment horizontal="center"/>
    </xf>
    <xf numFmtId="21" fontId="27" fillId="33" borderId="64" xfId="2" applyNumberFormat="1" applyFont="1" applyFill="1" applyBorder="1" applyAlignment="1">
      <alignment horizontal="center"/>
    </xf>
    <xf numFmtId="21" fontId="27" fillId="33" borderId="64" xfId="1" applyNumberFormat="1" applyFont="1" applyFill="1" applyBorder="1" applyAlignment="1">
      <alignment horizontal="center"/>
    </xf>
    <xf numFmtId="21" fontId="25" fillId="2" borderId="16" xfId="2" applyNumberFormat="1" applyFont="1" applyFill="1" applyBorder="1" applyAlignment="1">
      <alignment horizontal="center"/>
    </xf>
    <xf numFmtId="21" fontId="27" fillId="0" borderId="0" xfId="0" applyNumberFormat="1" applyFont="1"/>
    <xf numFmtId="21" fontId="76" fillId="0" borderId="64" xfId="2" applyNumberFormat="1" applyFont="1" applyFill="1" applyBorder="1" applyAlignment="1">
      <alignment horizontal="center"/>
    </xf>
    <xf numFmtId="21" fontId="27" fillId="0" borderId="0" xfId="0" applyNumberFormat="1" applyFont="1" applyAlignment="1">
      <alignment horizontal="center"/>
    </xf>
    <xf numFmtId="171" fontId="27" fillId="0" borderId="64" xfId="0" applyNumberFormat="1" applyFont="1" applyBorder="1" applyAlignment="1">
      <alignment horizontal="center"/>
    </xf>
    <xf numFmtId="2" fontId="27" fillId="0" borderId="0" xfId="2" applyNumberFormat="1" applyFont="1" applyFill="1" applyAlignment="1">
      <alignment horizontal="center"/>
    </xf>
    <xf numFmtId="2" fontId="27" fillId="0" borderId="0" xfId="0" applyNumberFormat="1" applyFont="1" applyAlignment="1">
      <alignment horizontal="center"/>
    </xf>
    <xf numFmtId="21" fontId="76" fillId="0" borderId="64" xfId="0" applyNumberFormat="1" applyFont="1" applyBorder="1" applyAlignment="1">
      <alignment horizontal="center"/>
    </xf>
    <xf numFmtId="21" fontId="27" fillId="0" borderId="64" xfId="0" applyNumberFormat="1" applyFont="1" applyBorder="1" applyAlignment="1">
      <alignment horizontal="center"/>
    </xf>
    <xf numFmtId="177" fontId="76" fillId="43" borderId="64" xfId="2" applyNumberFormat="1" applyFont="1" applyFill="1" applyBorder="1" applyAlignment="1"/>
    <xf numFmtId="177" fontId="76" fillId="43" borderId="64" xfId="1" applyNumberFormat="1" applyFont="1" applyFill="1" applyBorder="1" applyAlignment="1"/>
    <xf numFmtId="177" fontId="76" fillId="43" borderId="64" xfId="13" applyNumberFormat="1" applyFont="1" applyFill="1" applyBorder="1" applyAlignment="1"/>
    <xf numFmtId="2" fontId="27" fillId="0" borderId="0" xfId="2" applyNumberFormat="1" applyFont="1" applyAlignment="1">
      <alignment horizontal="center"/>
    </xf>
    <xf numFmtId="21" fontId="27" fillId="43" borderId="64" xfId="2" applyNumberFormat="1" applyFont="1" applyFill="1" applyBorder="1" applyAlignment="1">
      <alignment horizontal="center"/>
    </xf>
    <xf numFmtId="21" fontId="27" fillId="43" borderId="64" xfId="1" applyNumberFormat="1" applyFont="1" applyFill="1" applyBorder="1" applyAlignment="1">
      <alignment horizontal="center"/>
    </xf>
    <xf numFmtId="177" fontId="76" fillId="33" borderId="72" xfId="0" applyNumberFormat="1" applyFont="1" applyFill="1" applyBorder="1" applyAlignment="1"/>
    <xf numFmtId="21" fontId="76" fillId="43" borderId="64" xfId="0" applyNumberFormat="1" applyFont="1" applyFill="1" applyBorder="1" applyAlignment="1"/>
    <xf numFmtId="21" fontId="27" fillId="0" borderId="64" xfId="2" applyNumberFormat="1" applyFont="1" applyFill="1" applyBorder="1" applyAlignment="1">
      <alignment horizontal="center"/>
    </xf>
    <xf numFmtId="21" fontId="27" fillId="0" borderId="64" xfId="1" applyNumberFormat="1" applyFont="1" applyFill="1" applyBorder="1" applyAlignment="1">
      <alignment horizontal="center"/>
    </xf>
    <xf numFmtId="21" fontId="27" fillId="33" borderId="64" xfId="13" applyNumberFormat="1" applyFont="1" applyFill="1" applyBorder="1" applyAlignment="1">
      <alignment horizontal="center"/>
    </xf>
    <xf numFmtId="177" fontId="76" fillId="0" borderId="64" xfId="2" applyNumberFormat="1" applyFont="1" applyFill="1" applyBorder="1" applyAlignment="1">
      <alignment horizontal="center"/>
    </xf>
    <xf numFmtId="177" fontId="76" fillId="0" borderId="72" xfId="0" applyNumberFormat="1" applyFont="1" applyFill="1" applyBorder="1" applyAlignment="1">
      <alignment horizontal="center"/>
    </xf>
    <xf numFmtId="2" fontId="27" fillId="0" borderId="0" xfId="0" applyNumberFormat="1" applyFont="1" applyBorder="1" applyAlignment="1">
      <alignment horizontal="center"/>
    </xf>
    <xf numFmtId="0" fontId="76" fillId="0" borderId="0" xfId="0" applyFont="1" applyFill="1" applyBorder="1" applyAlignment="1">
      <alignment horizontal="left"/>
    </xf>
    <xf numFmtId="2" fontId="76" fillId="0" borderId="0" xfId="0" applyNumberFormat="1" applyFont="1" applyAlignment="1">
      <alignment horizontal="center"/>
    </xf>
    <xf numFmtId="164" fontId="27" fillId="0" borderId="64" xfId="1" applyNumberFormat="1" applyFont="1" applyFill="1" applyBorder="1" applyAlignment="1">
      <alignment horizontal="center"/>
    </xf>
    <xf numFmtId="9" fontId="77" fillId="0" borderId="51" xfId="0" applyNumberFormat="1" applyFont="1" applyBorder="1" applyAlignment="1">
      <alignment horizontal="center"/>
    </xf>
    <xf numFmtId="45" fontId="27" fillId="0" borderId="64" xfId="2" applyNumberFormat="1" applyFont="1" applyFill="1" applyBorder="1" applyAlignment="1">
      <alignment horizontal="center"/>
    </xf>
    <xf numFmtId="45" fontId="76" fillId="0" borderId="64" xfId="2" applyNumberFormat="1" applyFont="1" applyFill="1" applyBorder="1" applyAlignment="1">
      <alignment horizontal="center"/>
    </xf>
    <xf numFmtId="164" fontId="77" fillId="0" borderId="51" xfId="0" applyNumberFormat="1" applyFont="1" applyBorder="1" applyAlignment="1">
      <alignment horizontal="center"/>
    </xf>
    <xf numFmtId="184" fontId="76" fillId="0" borderId="0" xfId="0" applyNumberFormat="1" applyFont="1"/>
    <xf numFmtId="1" fontId="76" fillId="33" borderId="73" xfId="2" applyNumberFormat="1" applyFont="1" applyFill="1" applyBorder="1" applyAlignment="1">
      <alignment horizontal="center"/>
    </xf>
    <xf numFmtId="0" fontId="76" fillId="33" borderId="73" xfId="0" applyFont="1" applyFill="1" applyBorder="1" applyAlignment="1">
      <alignment horizontal="center"/>
    </xf>
    <xf numFmtId="0" fontId="0" fillId="0" borderId="0" xfId="0" quotePrefix="1" applyAlignment="1">
      <alignment horizontal="left" vertical="center"/>
    </xf>
    <xf numFmtId="177" fontId="76" fillId="43" borderId="64" xfId="10" applyNumberFormat="1" applyFont="1" applyFill="1" applyBorder="1" applyAlignment="1"/>
    <xf numFmtId="0" fontId="76" fillId="0" borderId="73" xfId="0" applyFont="1" applyBorder="1" applyAlignment="1">
      <alignment horizontal="center"/>
    </xf>
    <xf numFmtId="177" fontId="76" fillId="33" borderId="73" xfId="1" applyNumberFormat="1" applyFont="1" applyFill="1" applyBorder="1" applyAlignment="1"/>
    <xf numFmtId="2" fontId="27" fillId="0" borderId="73" xfId="2" applyNumberFormat="1" applyFont="1" applyFill="1" applyBorder="1" applyAlignment="1">
      <alignment horizontal="center"/>
    </xf>
    <xf numFmtId="177" fontId="76" fillId="33" borderId="73" xfId="13" applyNumberFormat="1" applyFont="1" applyFill="1" applyBorder="1" applyAlignment="1"/>
    <xf numFmtId="9" fontId="76" fillId="0" borderId="73" xfId="2" applyFont="1" applyFill="1" applyBorder="1" applyAlignment="1">
      <alignment horizontal="center"/>
    </xf>
    <xf numFmtId="177" fontId="76" fillId="43" borderId="64" xfId="10" applyNumberFormat="1" applyFont="1" applyFill="1" applyBorder="1" applyAlignment="1">
      <alignment horizontal="center"/>
    </xf>
    <xf numFmtId="0" fontId="76" fillId="0" borderId="17" xfId="0" applyFont="1" applyBorder="1" applyAlignment="1">
      <alignment horizontal="left"/>
    </xf>
    <xf numFmtId="0" fontId="76" fillId="0" borderId="17" xfId="0" applyFont="1" applyBorder="1" applyAlignment="1">
      <alignment horizontal="left"/>
    </xf>
    <xf numFmtId="0" fontId="76" fillId="0" borderId="17" xfId="0" applyFont="1" applyBorder="1" applyAlignment="1">
      <alignment horizontal="left"/>
    </xf>
    <xf numFmtId="0" fontId="76" fillId="0" borderId="50" xfId="0" applyFont="1" applyBorder="1" applyAlignment="1">
      <alignment horizontal="left"/>
    </xf>
    <xf numFmtId="0" fontId="76" fillId="0" borderId="16" xfId="0" applyFont="1" applyBorder="1" applyAlignment="1">
      <alignment horizontal="left"/>
    </xf>
    <xf numFmtId="1" fontId="76" fillId="43" borderId="64" xfId="2" applyNumberFormat="1" applyFont="1" applyFill="1" applyBorder="1" applyAlignment="1">
      <alignment horizontal="center"/>
    </xf>
    <xf numFmtId="2" fontId="76" fillId="43" borderId="64" xfId="10" applyNumberFormat="1" applyFont="1" applyFill="1" applyBorder="1" applyAlignment="1"/>
    <xf numFmtId="177" fontId="76" fillId="43" borderId="0" xfId="0" applyNumberFormat="1" applyFont="1" applyFill="1" applyAlignment="1"/>
    <xf numFmtId="0" fontId="26" fillId="37" borderId="0" xfId="3" applyFont="1" applyFill="1" applyBorder="1">
      <alignment vertical="center"/>
    </xf>
    <xf numFmtId="0" fontId="0" fillId="0" borderId="0" xfId="0" applyFill="1" applyAlignment="1">
      <alignment horizontal="left" vertical="center"/>
    </xf>
    <xf numFmtId="0" fontId="3" fillId="0" borderId="0" xfId="0" applyFont="1" applyFill="1" applyAlignment="1">
      <alignment horizontal="left" vertical="center" indent="1"/>
    </xf>
    <xf numFmtId="0" fontId="0" fillId="0" borderId="0" xfId="0" applyFill="1" applyAlignment="1">
      <alignment horizontal="left" vertical="top"/>
    </xf>
    <xf numFmtId="0" fontId="60" fillId="0" borderId="0" xfId="23" applyBorder="1"/>
    <xf numFmtId="0" fontId="60" fillId="0" borderId="0" xfId="23" applyBorder="1" applyAlignment="1">
      <alignment vertical="top" wrapText="1"/>
    </xf>
    <xf numFmtId="0" fontId="60" fillId="0" borderId="0" xfId="0" applyFont="1" applyBorder="1" applyAlignment="1" applyProtection="1">
      <alignment vertical="top" wrapText="1" readingOrder="1"/>
      <protection locked="0"/>
    </xf>
    <xf numFmtId="0" fontId="56" fillId="0" borderId="0" xfId="0" applyFont="1" applyBorder="1"/>
    <xf numFmtId="0" fontId="60" fillId="0" borderId="0" xfId="0" applyFont="1" applyBorder="1" applyAlignment="1" applyProtection="1">
      <alignment horizontal="right" vertical="top" wrapText="1" readingOrder="1"/>
      <protection locked="0"/>
    </xf>
    <xf numFmtId="0" fontId="69" fillId="0" borderId="0" xfId="0" applyFont="1" applyBorder="1"/>
    <xf numFmtId="0" fontId="0" fillId="0" borderId="0" xfId="0" applyBorder="1"/>
    <xf numFmtId="0" fontId="66" fillId="0" borderId="0" xfId="0" applyFont="1" applyBorder="1" applyAlignment="1" applyProtection="1">
      <alignment vertical="top" wrapText="1" readingOrder="1"/>
      <protection locked="0"/>
    </xf>
    <xf numFmtId="0" fontId="0" fillId="0" borderId="0" xfId="0" applyBorder="1" applyAlignment="1">
      <alignment horizontal="center"/>
    </xf>
    <xf numFmtId="0" fontId="43" fillId="0" borderId="0" xfId="16" applyBorder="1" applyAlignment="1">
      <alignment horizontal="left" vertical="center"/>
    </xf>
    <xf numFmtId="0" fontId="64" fillId="0" borderId="0" xfId="19" applyFont="1" applyBorder="1" applyAlignment="1">
      <alignment horizontal="left" vertical="top" wrapText="1"/>
    </xf>
    <xf numFmtId="0" fontId="68" fillId="0" borderId="0" xfId="0" applyFont="1" applyBorder="1" applyAlignment="1">
      <alignment horizontal="left" vertical="top" wrapText="1"/>
    </xf>
    <xf numFmtId="0" fontId="64" fillId="0" borderId="0" xfId="25" applyFont="1" applyBorder="1" applyAlignment="1">
      <alignment horizontal="left" vertical="top" wrapText="1"/>
    </xf>
    <xf numFmtId="0" fontId="0" fillId="0" borderId="0" xfId="0" applyBorder="1" applyAlignment="1">
      <alignment vertical="center" wrapText="1"/>
    </xf>
    <xf numFmtId="0" fontId="0" fillId="0" borderId="0" xfId="0" quotePrefix="1" applyBorder="1"/>
    <xf numFmtId="0" fontId="59" fillId="0" borderId="0" xfId="0" applyFont="1" applyBorder="1" applyAlignment="1">
      <alignment wrapText="1"/>
    </xf>
    <xf numFmtId="0" fontId="64" fillId="0" borderId="0" xfId="0" applyFont="1" applyBorder="1" applyAlignment="1">
      <alignment horizontal="left" vertical="top" wrapText="1"/>
    </xf>
    <xf numFmtId="0" fontId="63" fillId="0" borderId="0" xfId="0" applyFont="1" applyBorder="1" applyAlignment="1">
      <alignment horizontal="left" vertical="top" wrapText="1"/>
    </xf>
    <xf numFmtId="0" fontId="70" fillId="22" borderId="73" xfId="0" applyFont="1" applyFill="1" applyBorder="1" applyAlignment="1">
      <alignment wrapText="1"/>
    </xf>
    <xf numFmtId="0" fontId="70" fillId="15" borderId="73" xfId="0" applyFont="1" applyFill="1" applyBorder="1" applyAlignment="1">
      <alignment wrapText="1"/>
    </xf>
    <xf numFmtId="0" fontId="10" fillId="0" borderId="0" xfId="3" applyFont="1" applyFill="1">
      <alignment vertical="center"/>
    </xf>
    <xf numFmtId="0" fontId="21" fillId="0" borderId="0" xfId="0" applyFont="1" applyFill="1" applyAlignment="1">
      <alignment horizontal="left" vertical="center"/>
    </xf>
    <xf numFmtId="0" fontId="21" fillId="0" borderId="0" xfId="0" applyFont="1" applyFill="1" applyAlignment="1">
      <alignment horizontal="center" vertical="center"/>
    </xf>
    <xf numFmtId="0" fontId="99" fillId="0" borderId="0" xfId="0" applyFont="1" applyFill="1" applyAlignment="1">
      <alignment horizontal="left" vertical="center"/>
    </xf>
    <xf numFmtId="0" fontId="21" fillId="0" borderId="32" xfId="0" applyFont="1" applyFill="1" applyBorder="1" applyAlignment="1">
      <alignment horizontal="left" vertical="center"/>
    </xf>
    <xf numFmtId="0" fontId="22" fillId="0" borderId="0" xfId="3" applyFont="1" applyFill="1">
      <alignment vertical="center"/>
    </xf>
    <xf numFmtId="1" fontId="27" fillId="0" borderId="73" xfId="2" applyNumberFormat="1" applyFont="1" applyFill="1" applyBorder="1" applyAlignment="1">
      <alignment horizontal="center"/>
    </xf>
    <xf numFmtId="0" fontId="10" fillId="0" borderId="73" xfId="3" applyFont="1" applyBorder="1">
      <alignment vertical="center"/>
    </xf>
    <xf numFmtId="37" fontId="76" fillId="0" borderId="73" xfId="1" applyNumberFormat="1" applyFont="1" applyFill="1" applyBorder="1" applyAlignment="1">
      <alignment horizontal="center"/>
    </xf>
    <xf numFmtId="0" fontId="27" fillId="6" borderId="0" xfId="0" applyFont="1" applyFill="1" applyBorder="1" applyAlignment="1"/>
    <xf numFmtId="0" fontId="77" fillId="6" borderId="0" xfId="0" applyFont="1" applyFill="1" applyBorder="1" applyAlignment="1">
      <alignment horizontal="center" wrapText="1"/>
    </xf>
    <xf numFmtId="1" fontId="76" fillId="6" borderId="0" xfId="2" applyNumberFormat="1" applyFont="1" applyFill="1" applyBorder="1" applyAlignment="1"/>
    <xf numFmtId="1" fontId="76" fillId="6" borderId="0" xfId="13" applyNumberFormat="1" applyFont="1" applyFill="1" applyBorder="1" applyAlignment="1"/>
    <xf numFmtId="37" fontId="76" fillId="6" borderId="0" xfId="1" applyNumberFormat="1" applyFont="1" applyFill="1" applyBorder="1" applyAlignment="1">
      <alignment horizontal="center"/>
    </xf>
    <xf numFmtId="0" fontId="76" fillId="0" borderId="17" xfId="0" applyFont="1" applyBorder="1" applyAlignment="1">
      <alignment horizontal="left"/>
    </xf>
    <xf numFmtId="177" fontId="76" fillId="43" borderId="73" xfId="10" applyNumberFormat="1" applyFont="1" applyFill="1" applyBorder="1" applyAlignment="1">
      <alignment horizontal="center"/>
    </xf>
    <xf numFmtId="177" fontId="76" fillId="0" borderId="64" xfId="2" applyNumberFormat="1" applyFont="1" applyFill="1" applyBorder="1" applyAlignment="1"/>
    <xf numFmtId="0" fontId="77" fillId="0" borderId="83" xfId="0" applyFont="1" applyBorder="1" applyAlignment="1">
      <alignment horizontal="center" wrapText="1"/>
    </xf>
    <xf numFmtId="0" fontId="77" fillId="0" borderId="84" xfId="0" applyFont="1" applyBorder="1" applyAlignment="1">
      <alignment horizontal="center" wrapText="1"/>
    </xf>
    <xf numFmtId="0" fontId="77" fillId="0" borderId="85" xfId="0" applyFont="1" applyBorder="1" applyAlignment="1">
      <alignment horizontal="center" wrapText="1"/>
    </xf>
    <xf numFmtId="0" fontId="27" fillId="3" borderId="45" xfId="0" applyFont="1" applyFill="1" applyBorder="1" applyAlignment="1"/>
    <xf numFmtId="177" fontId="76" fillId="43" borderId="73" xfId="1" applyNumberFormat="1" applyFont="1" applyFill="1" applyBorder="1" applyAlignment="1"/>
    <xf numFmtId="169" fontId="76" fillId="0" borderId="64" xfId="10" applyNumberFormat="1" applyFont="1" applyFill="1" applyBorder="1" applyAlignment="1">
      <alignment horizontal="center"/>
    </xf>
    <xf numFmtId="0" fontId="27" fillId="3" borderId="44" xfId="0" applyFont="1" applyFill="1" applyBorder="1" applyAlignment="1"/>
    <xf numFmtId="0" fontId="27" fillId="3" borderId="46" xfId="0" applyFont="1" applyFill="1" applyBorder="1" applyAlignment="1"/>
    <xf numFmtId="177" fontId="76" fillId="33" borderId="75" xfId="1" applyNumberFormat="1" applyFont="1" applyFill="1" applyBorder="1" applyAlignment="1"/>
    <xf numFmtId="177" fontId="76" fillId="33" borderId="77" xfId="1" applyNumberFormat="1" applyFont="1" applyFill="1" applyBorder="1" applyAlignment="1"/>
    <xf numFmtId="177" fontId="76" fillId="33" borderId="78" xfId="1" applyNumberFormat="1" applyFont="1" applyFill="1" applyBorder="1" applyAlignment="1"/>
    <xf numFmtId="177" fontId="76" fillId="33" borderId="76" xfId="2" applyNumberFormat="1" applyFont="1" applyFill="1" applyBorder="1" applyAlignment="1"/>
    <xf numFmtId="177" fontId="76" fillId="33" borderId="76" xfId="13" applyNumberFormat="1" applyFont="1" applyFill="1" applyBorder="1" applyAlignment="1"/>
    <xf numFmtId="177" fontId="76" fillId="33" borderId="79" xfId="13" applyNumberFormat="1" applyFont="1" applyFill="1" applyBorder="1" applyAlignment="1"/>
    <xf numFmtId="177" fontId="76" fillId="43" borderId="73" xfId="10" applyNumberFormat="1" applyFont="1" applyFill="1" applyBorder="1" applyAlignment="1"/>
    <xf numFmtId="177" fontId="76" fillId="43" borderId="78" xfId="10" applyNumberFormat="1" applyFont="1" applyFill="1" applyBorder="1" applyAlignment="1"/>
    <xf numFmtId="177" fontId="27" fillId="0" borderId="64" xfId="13" applyNumberFormat="1" applyFont="1" applyFill="1" applyBorder="1" applyAlignment="1">
      <alignment horizontal="center"/>
    </xf>
    <xf numFmtId="2" fontId="27" fillId="6" borderId="64" xfId="13" applyNumberFormat="1" applyFont="1" applyFill="1" applyBorder="1" applyAlignment="1">
      <alignment horizontal="center"/>
    </xf>
    <xf numFmtId="177" fontId="76" fillId="33" borderId="75" xfId="13" applyNumberFormat="1" applyFont="1" applyFill="1" applyBorder="1" applyAlignment="1"/>
    <xf numFmtId="177" fontId="27" fillId="0" borderId="64" xfId="2" applyNumberFormat="1" applyFont="1" applyFill="1" applyBorder="1" applyAlignment="1">
      <alignment horizontal="center"/>
    </xf>
    <xf numFmtId="0" fontId="5" fillId="0" borderId="0" xfId="3" applyFill="1">
      <alignment vertical="center"/>
    </xf>
    <xf numFmtId="21" fontId="76" fillId="33" borderId="64" xfId="2" applyNumberFormat="1" applyFont="1" applyFill="1" applyBorder="1" applyAlignment="1"/>
    <xf numFmtId="185" fontId="76" fillId="0" borderId="64" xfId="13" applyNumberFormat="1" applyFont="1" applyFill="1" applyBorder="1" applyAlignment="1">
      <alignment horizontal="center"/>
    </xf>
    <xf numFmtId="177" fontId="27" fillId="6" borderId="64" xfId="13" applyNumberFormat="1" applyFont="1" applyFill="1" applyBorder="1" applyAlignment="1">
      <alignment horizontal="center"/>
    </xf>
    <xf numFmtId="177" fontId="27" fillId="6" borderId="73" xfId="10" applyNumberFormat="1" applyFont="1" applyFill="1" applyBorder="1" applyAlignment="1">
      <alignment horizontal="center"/>
    </xf>
    <xf numFmtId="177" fontId="27" fillId="6" borderId="73" xfId="1" applyNumberFormat="1" applyFont="1" applyFill="1" applyBorder="1" applyAlignment="1">
      <alignment horizontal="center"/>
    </xf>
    <xf numFmtId="176" fontId="76" fillId="0" borderId="64" xfId="10" applyNumberFormat="1" applyFont="1" applyFill="1" applyBorder="1" applyAlignment="1">
      <alignment horizontal="center"/>
    </xf>
    <xf numFmtId="0" fontId="22" fillId="12" borderId="3" xfId="0" applyFont="1" applyFill="1" applyBorder="1" applyAlignment="1">
      <alignment horizontal="center" vertical="center" wrapText="1"/>
    </xf>
    <xf numFmtId="0" fontId="21" fillId="30" borderId="14" xfId="0" applyFont="1" applyFill="1" applyBorder="1" applyAlignment="1">
      <alignment horizontal="center" vertical="center" wrapText="1"/>
    </xf>
    <xf numFmtId="0" fontId="21" fillId="30" borderId="12" xfId="0" applyFont="1" applyFill="1" applyBorder="1" applyAlignment="1">
      <alignment horizontal="center" vertical="center" wrapText="1"/>
    </xf>
    <xf numFmtId="0" fontId="21" fillId="30" borderId="9" xfId="0" applyFont="1" applyFill="1" applyBorder="1" applyAlignment="1">
      <alignment horizontal="center" vertical="center" wrapText="1"/>
    </xf>
    <xf numFmtId="0" fontId="21" fillId="30" borderId="7" xfId="0" applyFont="1" applyFill="1" applyBorder="1" applyAlignment="1">
      <alignment horizontal="center" vertical="center" wrapText="1"/>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xf>
    <xf numFmtId="0" fontId="21" fillId="25" borderId="9" xfId="0" applyFont="1" applyFill="1" applyBorder="1" applyAlignment="1">
      <alignment horizontal="center" vertical="center"/>
    </xf>
    <xf numFmtId="0" fontId="21" fillId="25" borderId="7" xfId="0" applyFont="1" applyFill="1" applyBorder="1" applyAlignment="1">
      <alignment horizontal="center" vertical="center"/>
    </xf>
    <xf numFmtId="0" fontId="21" fillId="30" borderId="12" xfId="0" applyFont="1" applyFill="1" applyBorder="1" applyAlignment="1">
      <alignment horizontal="center" vertical="center"/>
    </xf>
    <xf numFmtId="0" fontId="21" fillId="30" borderId="9" xfId="0" applyFont="1" applyFill="1" applyBorder="1" applyAlignment="1">
      <alignment horizontal="center" vertical="center"/>
    </xf>
    <xf numFmtId="0" fontId="21" fillId="30" borderId="7" xfId="0" applyFont="1" applyFill="1" applyBorder="1" applyAlignment="1">
      <alignment horizontal="center" vertical="center"/>
    </xf>
    <xf numFmtId="164" fontId="20" fillId="4" borderId="3" xfId="2" applyNumberFormat="1" applyFont="1" applyFill="1" applyBorder="1" applyAlignment="1">
      <alignment horizontal="center" vertical="center"/>
    </xf>
    <xf numFmtId="181" fontId="20" fillId="3" borderId="33" xfId="2" quotePrefix="1" applyNumberFormat="1" applyFont="1" applyFill="1" applyBorder="1" applyAlignment="1">
      <alignment horizontal="center" vertical="center"/>
    </xf>
    <xf numFmtId="181" fontId="20" fillId="3" borderId="35" xfId="2" applyNumberFormat="1" applyFont="1" applyFill="1" applyBorder="1" applyAlignment="1">
      <alignment horizontal="center" vertical="center"/>
    </xf>
    <xf numFmtId="164" fontId="20" fillId="3" borderId="33" xfId="2" applyNumberFormat="1" applyFont="1" applyFill="1" applyBorder="1" applyAlignment="1">
      <alignment horizontal="center" vertical="center"/>
    </xf>
    <xf numFmtId="164" fontId="20" fillId="3" borderId="35" xfId="2" applyNumberFormat="1" applyFont="1" applyFill="1" applyBorder="1" applyAlignment="1">
      <alignment horizontal="center" vertical="center"/>
    </xf>
    <xf numFmtId="9" fontId="20" fillId="30" borderId="3" xfId="2" applyFont="1" applyFill="1" applyBorder="1" applyAlignment="1">
      <alignment horizontal="center" vertical="center"/>
    </xf>
    <xf numFmtId="181" fontId="20" fillId="13" borderId="3" xfId="2" applyNumberFormat="1" applyFont="1" applyFill="1" applyBorder="1" applyAlignment="1">
      <alignment horizontal="center" vertical="center"/>
    </xf>
    <xf numFmtId="0" fontId="21" fillId="30" borderId="4" xfId="0" applyFont="1" applyFill="1" applyBorder="1" applyAlignment="1">
      <alignment horizontal="center" vertical="center" wrapText="1"/>
    </xf>
    <xf numFmtId="0" fontId="21" fillId="30" borderId="3" xfId="0" applyFont="1" applyFill="1" applyBorder="1" applyAlignment="1">
      <alignment horizontal="center" vertical="center"/>
    </xf>
    <xf numFmtId="0" fontId="21" fillId="30" borderId="4" xfId="0" applyFont="1" applyFill="1" applyBorder="1" applyAlignment="1">
      <alignment horizontal="center" vertical="center"/>
    </xf>
    <xf numFmtId="0" fontId="21" fillId="13" borderId="4" xfId="0" applyFont="1" applyFill="1" applyBorder="1" applyAlignment="1">
      <alignment horizontal="center" vertical="center" wrapText="1"/>
    </xf>
    <xf numFmtId="0" fontId="21" fillId="13" borderId="3" xfId="0" applyFont="1" applyFill="1" applyBorder="1" applyAlignment="1">
      <alignment horizontal="center" vertical="center"/>
    </xf>
    <xf numFmtId="0" fontId="21" fillId="13" borderId="4" xfId="0" applyFont="1" applyFill="1" applyBorder="1" applyAlignment="1">
      <alignment horizontal="center" vertical="center"/>
    </xf>
    <xf numFmtId="0" fontId="22" fillId="0" borderId="0" xfId="3" applyFont="1" applyAlignment="1">
      <alignment horizontal="center" vertical="center"/>
    </xf>
    <xf numFmtId="0" fontId="51" fillId="0" borderId="0" xfId="9" applyFont="1" applyFill="1" applyBorder="1" applyAlignment="1">
      <alignment horizontal="center" vertical="center"/>
    </xf>
    <xf numFmtId="9" fontId="20" fillId="13" borderId="3" xfId="2" applyFont="1" applyFill="1" applyBorder="1" applyAlignment="1">
      <alignment horizontal="center" vertical="center"/>
    </xf>
    <xf numFmtId="164" fontId="15" fillId="4" borderId="3" xfId="2" applyNumberFormat="1" applyFont="1" applyFill="1" applyBorder="1" applyAlignment="1">
      <alignment horizontal="center" vertical="center"/>
    </xf>
    <xf numFmtId="0" fontId="21" fillId="13" borderId="3" xfId="0" applyFont="1" applyFill="1" applyBorder="1" applyAlignment="1">
      <alignment horizontal="center" vertical="center" wrapText="1"/>
    </xf>
    <xf numFmtId="0" fontId="21" fillId="13" borderId="6" xfId="0" applyFont="1" applyFill="1" applyBorder="1" applyAlignment="1">
      <alignment horizontal="center" vertical="center"/>
    </xf>
    <xf numFmtId="0" fontId="21" fillId="14" borderId="4" xfId="0" applyFont="1" applyFill="1" applyBorder="1" applyAlignment="1">
      <alignment horizontal="center" vertical="center" wrapText="1"/>
    </xf>
    <xf numFmtId="0" fontId="21" fillId="14" borderId="3" xfId="0" applyFont="1" applyFill="1" applyBorder="1" applyAlignment="1">
      <alignment horizontal="center" vertical="center"/>
    </xf>
    <xf numFmtId="0" fontId="21" fillId="14" borderId="4" xfId="0" applyFont="1" applyFill="1" applyBorder="1" applyAlignment="1">
      <alignment horizontal="center" vertical="center"/>
    </xf>
    <xf numFmtId="164" fontId="20" fillId="4" borderId="33" xfId="2" applyNumberFormat="1" applyFont="1" applyFill="1" applyBorder="1" applyAlignment="1">
      <alignment horizontal="center" vertical="center"/>
    </xf>
    <xf numFmtId="164" fontId="20" fillId="4" borderId="35" xfId="2" applyNumberFormat="1" applyFont="1" applyFill="1" applyBorder="1" applyAlignment="1">
      <alignment horizontal="center" vertical="center"/>
    </xf>
    <xf numFmtId="0" fontId="21" fillId="13" borderId="6" xfId="0" applyFont="1" applyFill="1" applyBorder="1" applyAlignment="1">
      <alignment horizontal="center" vertical="center" wrapText="1"/>
    </xf>
    <xf numFmtId="9" fontId="20" fillId="14" borderId="3" xfId="2" applyFont="1" applyFill="1" applyBorder="1" applyAlignment="1">
      <alignment horizontal="center" vertical="center"/>
    </xf>
    <xf numFmtId="0" fontId="21" fillId="14" borderId="3" xfId="0" applyFont="1" applyFill="1" applyBorder="1" applyAlignment="1">
      <alignment horizontal="center" vertical="center" wrapText="1"/>
    </xf>
    <xf numFmtId="0" fontId="21" fillId="14" borderId="6" xfId="0" applyFont="1" applyFill="1" applyBorder="1" applyAlignment="1">
      <alignment horizontal="center" vertical="center" wrapText="1"/>
    </xf>
    <xf numFmtId="10" fontId="20" fillId="3" borderId="33" xfId="2" applyNumberFormat="1" applyFont="1" applyFill="1" applyBorder="1" applyAlignment="1">
      <alignment horizontal="center" vertical="center"/>
    </xf>
    <xf numFmtId="10" fontId="20" fillId="3" borderId="35" xfId="2" applyNumberFormat="1" applyFont="1" applyFill="1" applyBorder="1" applyAlignment="1">
      <alignment horizontal="center" vertical="center"/>
    </xf>
    <xf numFmtId="164" fontId="20" fillId="14" borderId="3" xfId="2" applyNumberFormat="1" applyFont="1" applyFill="1" applyBorder="1" applyAlignment="1">
      <alignment horizontal="center" vertical="center"/>
    </xf>
    <xf numFmtId="164" fontId="20" fillId="13" borderId="3" xfId="2" applyNumberFormat="1" applyFont="1" applyFill="1" applyBorder="1" applyAlignment="1">
      <alignment horizontal="center" vertical="center"/>
    </xf>
    <xf numFmtId="164" fontId="21" fillId="3" borderId="3" xfId="2" applyNumberFormat="1" applyFont="1" applyFill="1" applyBorder="1" applyAlignment="1">
      <alignment horizontal="center" vertical="center"/>
    </xf>
    <xf numFmtId="167" fontId="20" fillId="0" borderId="0" xfId="8" applyNumberFormat="1" applyFont="1" applyFill="1" applyBorder="1" applyAlignment="1">
      <alignment horizontal="center" vertical="center"/>
    </xf>
    <xf numFmtId="0" fontId="15" fillId="2" borderId="40" xfId="0" applyFont="1" applyFill="1" applyBorder="1" applyAlignment="1">
      <alignment horizontal="center" vertical="center"/>
    </xf>
    <xf numFmtId="0" fontId="15" fillId="2" borderId="41" xfId="0" applyFont="1" applyFill="1" applyBorder="1" applyAlignment="1">
      <alignment horizontal="center" vertical="center"/>
    </xf>
    <xf numFmtId="3" fontId="21" fillId="14" borderId="33" xfId="1" applyNumberFormat="1" applyFont="1" applyFill="1" applyBorder="1" applyAlignment="1">
      <alignment horizontal="left" vertical="center" indent="1"/>
    </xf>
    <xf numFmtId="3" fontId="21" fillId="14" borderId="35" xfId="1" applyNumberFormat="1" applyFont="1" applyFill="1" applyBorder="1" applyAlignment="1">
      <alignment horizontal="left" vertical="center" indent="1"/>
    </xf>
    <xf numFmtId="164" fontId="21" fillId="4" borderId="3" xfId="2" applyNumberFormat="1" applyFont="1" applyFill="1" applyBorder="1" applyAlignment="1">
      <alignment horizontal="center" vertical="center"/>
    </xf>
    <xf numFmtId="7" fontId="21" fillId="3" borderId="3" xfId="10" applyNumberFormat="1" applyFont="1" applyFill="1" applyBorder="1" applyAlignment="1">
      <alignment horizontal="center" vertical="center"/>
    </xf>
    <xf numFmtId="166" fontId="20" fillId="14" borderId="3" xfId="2" applyNumberFormat="1" applyFont="1" applyFill="1" applyBorder="1" applyAlignment="1">
      <alignment horizontal="center" vertical="center"/>
    </xf>
    <xf numFmtId="166" fontId="21" fillId="3" borderId="3" xfId="2" applyNumberFormat="1" applyFont="1" applyFill="1" applyBorder="1" applyAlignment="1">
      <alignment horizontal="center" vertical="center"/>
    </xf>
    <xf numFmtId="7" fontId="20" fillId="13" borderId="3" xfId="10" applyNumberFormat="1" applyFont="1" applyFill="1" applyBorder="1" applyAlignment="1">
      <alignment horizontal="center" vertical="center"/>
    </xf>
    <xf numFmtId="2" fontId="21" fillId="3" borderId="3" xfId="2" applyNumberFormat="1" applyFont="1" applyFill="1" applyBorder="1" applyAlignment="1">
      <alignment horizontal="center" vertical="center"/>
    </xf>
    <xf numFmtId="3" fontId="21" fillId="13" borderId="33" xfId="1" applyNumberFormat="1" applyFont="1" applyFill="1" applyBorder="1" applyAlignment="1">
      <alignment horizontal="left" vertical="center" indent="1"/>
    </xf>
    <xf numFmtId="3" fontId="21" fillId="13" borderId="35" xfId="1" applyNumberFormat="1" applyFont="1" applyFill="1" applyBorder="1" applyAlignment="1">
      <alignment horizontal="left" vertical="center" indent="1"/>
    </xf>
    <xf numFmtId="2" fontId="20" fillId="14" borderId="3" xfId="2" applyNumberFormat="1" applyFont="1" applyFill="1" applyBorder="1" applyAlignment="1">
      <alignment horizontal="center" vertical="center"/>
    </xf>
    <xf numFmtId="0" fontId="21" fillId="14" borderId="14" xfId="0" applyFont="1" applyFill="1" applyBorder="1" applyAlignment="1">
      <alignment horizontal="center" vertical="center" wrapText="1"/>
    </xf>
    <xf numFmtId="0" fontId="21" fillId="14" borderId="12" xfId="0" applyFont="1" applyFill="1" applyBorder="1" applyAlignment="1">
      <alignment horizontal="center" vertical="center"/>
    </xf>
    <xf numFmtId="0" fontId="21" fillId="14" borderId="9" xfId="0" applyFont="1" applyFill="1" applyBorder="1" applyAlignment="1">
      <alignment horizontal="center" vertical="center"/>
    </xf>
    <xf numFmtId="0" fontId="21" fillId="14" borderId="7" xfId="0" applyFont="1" applyFill="1" applyBorder="1" applyAlignment="1">
      <alignment horizontal="center" vertical="center"/>
    </xf>
    <xf numFmtId="171" fontId="20" fillId="14" borderId="3" xfId="2" applyNumberFormat="1" applyFont="1" applyFill="1" applyBorder="1" applyAlignment="1">
      <alignment horizontal="center" vertical="center"/>
    </xf>
    <xf numFmtId="0" fontId="21" fillId="13" borderId="14" xfId="0" applyFont="1" applyFill="1" applyBorder="1" applyAlignment="1">
      <alignment horizontal="center" vertical="center" wrapText="1"/>
    </xf>
    <xf numFmtId="0" fontId="21" fillId="13" borderId="12" xfId="0" applyFont="1" applyFill="1" applyBorder="1" applyAlignment="1">
      <alignment horizontal="center" vertical="center" wrapText="1"/>
    </xf>
    <xf numFmtId="0" fontId="21" fillId="13" borderId="9" xfId="0" applyFont="1" applyFill="1" applyBorder="1" applyAlignment="1">
      <alignment horizontal="center" vertical="center" wrapText="1"/>
    </xf>
    <xf numFmtId="0" fontId="21" fillId="13" borderId="7" xfId="0" applyFont="1" applyFill="1" applyBorder="1" applyAlignment="1">
      <alignment horizontal="center" vertical="center" wrapText="1"/>
    </xf>
    <xf numFmtId="171" fontId="20" fillId="3" borderId="3" xfId="10" applyNumberFormat="1" applyFont="1" applyFill="1" applyBorder="1" applyAlignment="1">
      <alignment horizontal="center" vertical="center"/>
    </xf>
    <xf numFmtId="164" fontId="20" fillId="3" borderId="3" xfId="2" applyNumberFormat="1" applyFont="1" applyFill="1" applyBorder="1" applyAlignment="1">
      <alignment horizontal="center" vertical="center"/>
    </xf>
    <xf numFmtId="169" fontId="20" fillId="3" borderId="33" xfId="2" applyNumberFormat="1" applyFont="1" applyFill="1" applyBorder="1" applyAlignment="1">
      <alignment horizontal="center" vertical="center"/>
    </xf>
    <xf numFmtId="169" fontId="20" fillId="3" borderId="35" xfId="2" applyNumberFormat="1" applyFont="1" applyFill="1" applyBorder="1" applyAlignment="1">
      <alignment horizontal="center" vertical="center"/>
    </xf>
    <xf numFmtId="0" fontId="21" fillId="25" borderId="3" xfId="0" applyFont="1" applyFill="1" applyBorder="1" applyAlignment="1">
      <alignment horizontal="center" vertical="center" wrapText="1"/>
    </xf>
    <xf numFmtId="0" fontId="21" fillId="25" borderId="6" xfId="0" applyFont="1" applyFill="1" applyBorder="1" applyAlignment="1">
      <alignment horizontal="center" vertical="center" wrapText="1"/>
    </xf>
    <xf numFmtId="2" fontId="20" fillId="3" borderId="33" xfId="2" applyNumberFormat="1" applyFont="1" applyFill="1" applyBorder="1" applyAlignment="1">
      <alignment horizontal="center" vertical="center"/>
    </xf>
    <xf numFmtId="2" fontId="20" fillId="3" borderId="35" xfId="2" applyNumberFormat="1" applyFont="1" applyFill="1" applyBorder="1" applyAlignment="1">
      <alignment horizontal="center" vertical="center"/>
    </xf>
    <xf numFmtId="169" fontId="20" fillId="3" borderId="3" xfId="2" applyNumberFormat="1" applyFont="1" applyFill="1" applyBorder="1" applyAlignment="1">
      <alignment horizontal="center" vertical="center"/>
    </xf>
    <xf numFmtId="0" fontId="20" fillId="14" borderId="3" xfId="2" applyNumberFormat="1" applyFont="1" applyFill="1" applyBorder="1" applyAlignment="1">
      <alignment horizontal="center" vertical="center"/>
    </xf>
    <xf numFmtId="1" fontId="20" fillId="13" borderId="3" xfId="2" applyNumberFormat="1" applyFont="1" applyFill="1" applyBorder="1" applyAlignment="1">
      <alignment horizontal="center" vertical="center"/>
    </xf>
    <xf numFmtId="171" fontId="20" fillId="13" borderId="3" xfId="2" applyNumberFormat="1" applyFont="1" applyFill="1" applyBorder="1" applyAlignment="1">
      <alignment horizontal="center" vertical="center"/>
    </xf>
    <xf numFmtId="0" fontId="21" fillId="13" borderId="35" xfId="0" applyFont="1" applyFill="1" applyBorder="1" applyAlignment="1">
      <alignment horizontal="center" vertical="center" wrapText="1"/>
    </xf>
    <xf numFmtId="0" fontId="21" fillId="13" borderId="9" xfId="0" applyFont="1" applyFill="1" applyBorder="1" applyAlignment="1">
      <alignment horizontal="center" vertical="center"/>
    </xf>
    <xf numFmtId="0" fontId="21" fillId="30" borderId="3" xfId="0" applyFont="1" applyFill="1" applyBorder="1" applyAlignment="1">
      <alignment horizontal="center" vertical="center" wrapText="1"/>
    </xf>
    <xf numFmtId="0" fontId="21" fillId="30" borderId="6" xfId="0" applyFont="1" applyFill="1" applyBorder="1" applyAlignment="1">
      <alignment horizontal="center" vertical="center" wrapText="1"/>
    </xf>
    <xf numFmtId="0" fontId="21" fillId="13" borderId="12" xfId="0" applyFont="1" applyFill="1" applyBorder="1" applyAlignment="1">
      <alignment horizontal="center" vertical="center"/>
    </xf>
    <xf numFmtId="0" fontId="21" fillId="13" borderId="7" xfId="0" applyFont="1" applyFill="1" applyBorder="1" applyAlignment="1">
      <alignment horizontal="center" vertical="center"/>
    </xf>
    <xf numFmtId="0" fontId="21" fillId="14" borderId="6" xfId="0" applyFont="1" applyFill="1" applyBorder="1" applyAlignment="1">
      <alignment horizontal="center" vertical="center"/>
    </xf>
    <xf numFmtId="0" fontId="21" fillId="13" borderId="33" xfId="0" applyFont="1" applyFill="1" applyBorder="1" applyAlignment="1">
      <alignment horizontal="center" vertical="center" wrapText="1"/>
    </xf>
    <xf numFmtId="169" fontId="20" fillId="30" borderId="3" xfId="2" applyNumberFormat="1" applyFont="1" applyFill="1" applyBorder="1" applyAlignment="1">
      <alignment horizontal="center" vertical="center"/>
    </xf>
    <xf numFmtId="0" fontId="21" fillId="25" borderId="4" xfId="0" applyFont="1" applyFill="1" applyBorder="1" applyAlignment="1">
      <alignment horizontal="center" vertical="center" wrapText="1"/>
    </xf>
    <xf numFmtId="0" fontId="21" fillId="25" borderId="3" xfId="0" applyFont="1" applyFill="1" applyBorder="1" applyAlignment="1">
      <alignment horizontal="center" vertical="center"/>
    </xf>
    <xf numFmtId="0" fontId="21" fillId="25" borderId="4" xfId="0" applyFont="1" applyFill="1" applyBorder="1" applyAlignment="1">
      <alignment horizontal="center" vertical="center"/>
    </xf>
    <xf numFmtId="1" fontId="20" fillId="25" borderId="3" xfId="2" applyNumberFormat="1" applyFont="1" applyFill="1" applyBorder="1" applyAlignment="1">
      <alignment horizontal="center" vertical="center"/>
    </xf>
    <xf numFmtId="0" fontId="22" fillId="12" borderId="33" xfId="0" applyFont="1" applyFill="1" applyBorder="1" applyAlignment="1">
      <alignment horizontal="center" vertical="center"/>
    </xf>
    <xf numFmtId="0" fontId="22" fillId="12" borderId="3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3" xfId="0" applyFont="1" applyFill="1" applyBorder="1" applyAlignment="1">
      <alignment horizontal="center" vertical="center" wrapText="1"/>
    </xf>
    <xf numFmtId="0" fontId="22" fillId="12" borderId="34" xfId="0" applyFont="1" applyFill="1" applyBorder="1" applyAlignment="1">
      <alignment horizontal="center" vertical="center" wrapText="1"/>
    </xf>
    <xf numFmtId="0" fontId="22" fillId="12" borderId="35" xfId="0" applyFont="1" applyFill="1" applyBorder="1" applyAlignment="1">
      <alignment horizontal="center" vertical="center" wrapText="1"/>
    </xf>
    <xf numFmtId="0" fontId="92" fillId="0" borderId="0" xfId="0" applyFont="1" applyAlignment="1">
      <alignment horizontal="center" vertical="center"/>
    </xf>
    <xf numFmtId="182" fontId="91" fillId="0" borderId="0" xfId="0" applyNumberFormat="1" applyFont="1" applyAlignment="1">
      <alignment horizontal="center" vertical="center"/>
    </xf>
    <xf numFmtId="0" fontId="89" fillId="35" borderId="0" xfId="0" applyFont="1" applyFill="1" applyAlignment="1">
      <alignment horizontal="left" vertical="center"/>
    </xf>
    <xf numFmtId="0" fontId="24" fillId="0" borderId="44" xfId="0" applyFont="1" applyBorder="1" applyAlignment="1">
      <alignment horizontal="center" vertical="center"/>
    </xf>
    <xf numFmtId="0" fontId="24" fillId="0" borderId="46" xfId="0" applyFont="1" applyBorder="1" applyAlignment="1">
      <alignment horizontal="center" vertical="center"/>
    </xf>
    <xf numFmtId="0" fontId="3" fillId="0" borderId="44" xfId="0" applyFont="1" applyBorder="1" applyAlignment="1">
      <alignment horizontal="center" vertical="center"/>
    </xf>
    <xf numFmtId="0" fontId="3" fillId="0" borderId="45" xfId="0" applyFont="1" applyBorder="1" applyAlignment="1">
      <alignment horizontal="center" vertical="center"/>
    </xf>
    <xf numFmtId="0" fontId="3" fillId="0" borderId="46" xfId="0" applyFont="1" applyBorder="1" applyAlignment="1">
      <alignment horizontal="center" vertical="center"/>
    </xf>
    <xf numFmtId="0" fontId="24" fillId="6" borderId="44" xfId="0" applyFont="1" applyFill="1" applyBorder="1" applyAlignment="1">
      <alignment horizontal="center" vertical="center"/>
    </xf>
    <xf numFmtId="0" fontId="24" fillId="6" borderId="46" xfId="0" applyFont="1" applyFill="1" applyBorder="1" applyAlignment="1">
      <alignment horizontal="center" vertical="center"/>
    </xf>
    <xf numFmtId="0" fontId="96" fillId="35" borderId="0" xfId="3" applyFont="1" applyFill="1" applyAlignment="1">
      <alignment horizontal="left" vertical="center"/>
    </xf>
    <xf numFmtId="0" fontId="98" fillId="6" borderId="1" xfId="0" applyFont="1" applyFill="1" applyBorder="1" applyAlignment="1">
      <alignment horizontal="center" vertical="center"/>
    </xf>
    <xf numFmtId="0" fontId="3" fillId="6" borderId="0" xfId="0" applyFont="1" applyFill="1" applyAlignment="1">
      <alignment horizontal="center" vertical="center" wrapText="1"/>
    </xf>
    <xf numFmtId="0" fontId="3" fillId="6" borderId="1" xfId="0" applyFont="1" applyFill="1" applyBorder="1" applyAlignment="1">
      <alignment horizontal="center" vertical="center" wrapText="1"/>
    </xf>
    <xf numFmtId="0" fontId="3" fillId="6" borderId="1" xfId="0" applyFont="1" applyFill="1" applyBorder="1" applyAlignment="1">
      <alignment horizontal="center" vertical="center"/>
    </xf>
    <xf numFmtId="0" fontId="27" fillId="33" borderId="68" xfId="3" applyFont="1" applyFill="1" applyBorder="1" applyAlignment="1">
      <alignment horizontal="center" vertical="top" wrapText="1"/>
    </xf>
    <xf numFmtId="0" fontId="27" fillId="33" borderId="67" xfId="3" applyFont="1" applyFill="1" applyBorder="1" applyAlignment="1">
      <alignment horizontal="center" vertical="top" wrapText="1"/>
    </xf>
    <xf numFmtId="0" fontId="27" fillId="33" borderId="69" xfId="3" applyFont="1" applyFill="1" applyBorder="1" applyAlignment="1">
      <alignment horizontal="center" vertical="top" wrapText="1"/>
    </xf>
    <xf numFmtId="0" fontId="27" fillId="33" borderId="18" xfId="3" applyFont="1" applyFill="1" applyBorder="1" applyAlignment="1">
      <alignment horizontal="center" vertical="top" wrapText="1"/>
    </xf>
    <xf numFmtId="0" fontId="27" fillId="33" borderId="0" xfId="3" applyFont="1" applyFill="1" applyAlignment="1">
      <alignment horizontal="center" vertical="top" wrapText="1"/>
    </xf>
    <xf numFmtId="0" fontId="27" fillId="33" borderId="21" xfId="3" applyFont="1" applyFill="1" applyBorder="1" applyAlignment="1">
      <alignment horizontal="center" vertical="top" wrapText="1"/>
    </xf>
    <xf numFmtId="0" fontId="27" fillId="33" borderId="22" xfId="3" applyFont="1" applyFill="1" applyBorder="1" applyAlignment="1">
      <alignment horizontal="center" vertical="top" wrapText="1"/>
    </xf>
    <xf numFmtId="0" fontId="27" fillId="33" borderId="1" xfId="3" applyFont="1" applyFill="1" applyBorder="1" applyAlignment="1">
      <alignment horizontal="center" vertical="top" wrapText="1"/>
    </xf>
    <xf numFmtId="0" fontId="27" fillId="33" borderId="23" xfId="3" applyFont="1" applyFill="1" applyBorder="1" applyAlignment="1">
      <alignment horizontal="center" vertical="top" wrapText="1"/>
    </xf>
    <xf numFmtId="0" fontId="0" fillId="24" borderId="0" xfId="0" applyFill="1" applyAlignment="1">
      <alignment horizontal="center" vertical="center" wrapText="1"/>
    </xf>
    <xf numFmtId="167" fontId="28" fillId="35" borderId="0" xfId="8" applyNumberFormat="1" applyFont="1" applyFill="1" applyBorder="1" applyAlignment="1">
      <alignment horizontal="center" vertical="center"/>
    </xf>
    <xf numFmtId="0" fontId="53" fillId="6" borderId="1" xfId="0" applyFont="1" applyFill="1" applyBorder="1" applyAlignment="1">
      <alignment horizontal="center" vertical="center"/>
    </xf>
    <xf numFmtId="0" fontId="2" fillId="6" borderId="0" xfId="0" applyFont="1" applyFill="1" applyAlignment="1">
      <alignment horizontal="center" vertical="center"/>
    </xf>
    <xf numFmtId="0" fontId="0" fillId="6" borderId="0" xfId="0" applyFill="1" applyAlignment="1">
      <alignment vertical="center"/>
    </xf>
    <xf numFmtId="0" fontId="97" fillId="6" borderId="1" xfId="0" applyFont="1" applyFill="1" applyBorder="1" applyAlignment="1">
      <alignment horizontal="center" vertical="center"/>
    </xf>
    <xf numFmtId="0" fontId="37" fillId="0" borderId="0" xfId="0" applyFont="1" applyAlignment="1">
      <alignment horizontal="center" vertical="center"/>
    </xf>
    <xf numFmtId="0" fontId="36" fillId="0" borderId="0" xfId="0" applyFont="1" applyAlignment="1">
      <alignment horizontal="center" vertical="center"/>
    </xf>
    <xf numFmtId="0" fontId="55" fillId="33" borderId="6" xfId="0" applyFont="1" applyFill="1" applyBorder="1" applyAlignment="1">
      <alignment horizontal="center" vertical="center"/>
    </xf>
    <xf numFmtId="0" fontId="55" fillId="33" borderId="5" xfId="0" applyFont="1" applyFill="1" applyBorder="1" applyAlignment="1">
      <alignment horizontal="center" vertical="center"/>
    </xf>
    <xf numFmtId="0" fontId="55" fillId="33" borderId="4" xfId="0" applyFont="1" applyFill="1" applyBorder="1" applyAlignment="1">
      <alignment horizontal="center" vertical="center"/>
    </xf>
    <xf numFmtId="0" fontId="55" fillId="33" borderId="6" xfId="0" applyFont="1" applyFill="1" applyBorder="1" applyAlignment="1">
      <alignment horizontal="center" vertical="center" wrapText="1"/>
    </xf>
    <xf numFmtId="0" fontId="55" fillId="33" borderId="5" xfId="0" applyFont="1" applyFill="1" applyBorder="1" applyAlignment="1">
      <alignment horizontal="center" vertical="center" wrapText="1"/>
    </xf>
    <xf numFmtId="0" fontId="55" fillId="33" borderId="4" xfId="0" applyFont="1" applyFill="1" applyBorder="1" applyAlignment="1">
      <alignment horizontal="center" vertical="center" wrapText="1"/>
    </xf>
    <xf numFmtId="0" fontId="55" fillId="33" borderId="0" xfId="0" applyFont="1" applyFill="1" applyAlignment="1">
      <alignment horizontal="left" vertical="center" wrapText="1"/>
    </xf>
    <xf numFmtId="0" fontId="95" fillId="5" borderId="9" xfId="0" applyFont="1" applyFill="1" applyBorder="1" applyAlignment="1">
      <alignment horizontal="center" vertical="center"/>
    </xf>
    <xf numFmtId="0" fontId="95" fillId="5" borderId="8" xfId="0" applyFont="1" applyFill="1" applyBorder="1" applyAlignment="1">
      <alignment horizontal="center" vertical="center"/>
    </xf>
    <xf numFmtId="0" fontId="95" fillId="5" borderId="7" xfId="0" applyFont="1" applyFill="1" applyBorder="1" applyAlignment="1">
      <alignment horizontal="center" vertical="center"/>
    </xf>
    <xf numFmtId="0" fontId="95" fillId="37" borderId="3" xfId="0" applyFont="1" applyFill="1" applyBorder="1" applyAlignment="1">
      <alignment horizontal="left" vertical="center"/>
    </xf>
    <xf numFmtId="0" fontId="0" fillId="6" borderId="16" xfId="0" applyFill="1" applyBorder="1" applyAlignment="1">
      <alignment horizontal="left"/>
    </xf>
    <xf numFmtId="0" fontId="2" fillId="37" borderId="0" xfId="0" applyFont="1" applyFill="1" applyAlignment="1">
      <alignment horizontal="center"/>
    </xf>
    <xf numFmtId="0" fontId="0" fillId="6" borderId="17" xfId="0" applyFill="1" applyBorder="1" applyAlignment="1">
      <alignment horizontal="left"/>
    </xf>
    <xf numFmtId="0" fontId="85" fillId="0" borderId="68" xfId="3" applyFont="1" applyBorder="1" applyAlignment="1">
      <alignment horizontal="center" vertical="center"/>
    </xf>
    <xf numFmtId="0" fontId="1" fillId="0" borderId="67" xfId="0" applyFont="1" applyBorder="1" applyAlignment="1">
      <alignment vertical="center"/>
    </xf>
    <xf numFmtId="0" fontId="1" fillId="0" borderId="69" xfId="0" applyFont="1" applyBorder="1" applyAlignment="1">
      <alignment vertical="center"/>
    </xf>
    <xf numFmtId="0" fontId="25" fillId="37" borderId="0" xfId="0" applyFont="1" applyFill="1" applyAlignment="1">
      <alignment horizontal="center"/>
    </xf>
    <xf numFmtId="0" fontId="76" fillId="0" borderId="17" xfId="0" applyFont="1" applyBorder="1" applyAlignment="1">
      <alignment horizontal="left"/>
    </xf>
    <xf numFmtId="44" fontId="6" fillId="21" borderId="3" xfId="10" applyFont="1" applyFill="1" applyBorder="1" applyAlignment="1" applyProtection="1">
      <alignment horizontal="center" vertical="center" wrapText="1"/>
    </xf>
    <xf numFmtId="44" fontId="6" fillId="21" borderId="3" xfId="10" applyFont="1" applyFill="1" applyBorder="1" applyAlignment="1">
      <alignment horizontal="center" vertical="center" wrapText="1"/>
    </xf>
    <xf numFmtId="44" fontId="75" fillId="21" borderId="3" xfId="10" applyFont="1" applyFill="1" applyBorder="1" applyAlignment="1">
      <alignment horizontal="center" vertical="center"/>
    </xf>
    <xf numFmtId="44" fontId="6" fillId="21" borderId="6" xfId="10" applyFont="1" applyFill="1" applyBorder="1" applyAlignment="1">
      <alignment horizontal="center" vertical="center" wrapText="1"/>
    </xf>
    <xf numFmtId="44" fontId="6" fillId="21" borderId="5" xfId="10" applyFont="1" applyFill="1" applyBorder="1" applyAlignment="1">
      <alignment horizontal="center" vertical="center" wrapText="1"/>
    </xf>
    <xf numFmtId="44" fontId="6" fillId="21" borderId="4" xfId="10" applyFont="1" applyFill="1" applyBorder="1" applyAlignment="1">
      <alignment horizontal="center" vertical="center" wrapText="1"/>
    </xf>
    <xf numFmtId="0" fontId="25" fillId="5" borderId="3" xfId="3" applyFont="1" applyFill="1" applyBorder="1" applyAlignment="1">
      <alignment horizontal="center" vertical="center" wrapText="1"/>
    </xf>
    <xf numFmtId="0" fontId="25" fillId="5" borderId="3" xfId="3" applyFont="1" applyFill="1" applyBorder="1" applyAlignment="1">
      <alignment horizontal="center" vertical="center"/>
    </xf>
    <xf numFmtId="10" fontId="6" fillId="3" borderId="3" xfId="2" applyNumberFormat="1" applyFont="1" applyFill="1" applyBorder="1" applyAlignment="1">
      <alignment horizontal="center" vertical="center" wrapText="1"/>
    </xf>
    <xf numFmtId="0" fontId="74" fillId="3" borderId="3" xfId="3" applyFont="1" applyFill="1" applyBorder="1" applyAlignment="1">
      <alignment horizontal="center" vertical="center" wrapText="1"/>
    </xf>
    <xf numFmtId="172" fontId="1" fillId="0" borderId="0" xfId="10" applyNumberFormat="1" applyFont="1" applyAlignment="1">
      <alignment horizontal="center" vertical="center"/>
    </xf>
    <xf numFmtId="0" fontId="6" fillId="4" borderId="0" xfId="3" applyFont="1" applyFill="1" applyAlignment="1">
      <alignment horizontal="center" vertical="center"/>
    </xf>
    <xf numFmtId="0" fontId="50" fillId="4" borderId="0" xfId="0" applyFont="1" applyFill="1" applyAlignment="1">
      <alignment horizontal="center" vertical="center"/>
    </xf>
    <xf numFmtId="0" fontId="2" fillId="37" borderId="70" xfId="7" applyFont="1" applyFill="1" applyBorder="1" applyAlignment="1">
      <alignment horizontal="left" vertical="center" wrapText="1"/>
    </xf>
    <xf numFmtId="0" fontId="2" fillId="37" borderId="66" xfId="7" applyFont="1" applyFill="1" applyBorder="1" applyAlignment="1">
      <alignment horizontal="left" vertical="center" wrapText="1"/>
    </xf>
    <xf numFmtId="165" fontId="76" fillId="0" borderId="0" xfId="5" applyNumberFormat="1" applyFont="1" applyBorder="1" applyAlignment="1">
      <alignment horizontal="left" vertical="center"/>
    </xf>
    <xf numFmtId="0" fontId="2" fillId="37" borderId="66" xfId="7" applyFont="1" applyFill="1" applyBorder="1" applyAlignment="1">
      <alignment horizontal="center" vertical="center" wrapText="1"/>
    </xf>
    <xf numFmtId="0" fontId="1" fillId="0" borderId="0" xfId="0" applyFont="1" applyAlignment="1">
      <alignment horizontal="center" vertical="center"/>
    </xf>
    <xf numFmtId="0" fontId="25" fillId="6" borderId="0" xfId="3" applyFont="1" applyFill="1" applyAlignment="1">
      <alignment horizontal="center" vertical="center"/>
    </xf>
    <xf numFmtId="0" fontId="46" fillId="6" borderId="0" xfId="0" applyFont="1" applyFill="1" applyAlignment="1">
      <alignment horizontal="center" vertical="center"/>
    </xf>
    <xf numFmtId="0" fontId="83" fillId="4" borderId="24" xfId="3" applyFont="1" applyFill="1" applyBorder="1" applyAlignment="1">
      <alignment horizontal="left" vertical="center" wrapText="1"/>
    </xf>
    <xf numFmtId="0" fontId="83" fillId="4" borderId="25" xfId="3" applyFont="1" applyFill="1" applyBorder="1" applyAlignment="1">
      <alignment horizontal="left" vertical="center" wrapText="1"/>
    </xf>
    <xf numFmtId="0" fontId="83" fillId="4" borderId="26" xfId="3" applyFont="1" applyFill="1" applyBorder="1" applyAlignment="1">
      <alignment horizontal="left" vertical="center" wrapText="1"/>
    </xf>
    <xf numFmtId="0" fontId="83" fillId="4" borderId="27" xfId="3" applyFont="1" applyFill="1" applyBorder="1" applyAlignment="1">
      <alignment horizontal="left" vertical="center" wrapText="1"/>
    </xf>
    <xf numFmtId="0" fontId="83" fillId="4" borderId="0" xfId="3" applyFont="1" applyFill="1" applyAlignment="1">
      <alignment horizontal="left" vertical="center" wrapText="1"/>
    </xf>
    <xf numFmtId="0" fontId="83" fillId="4" borderId="28" xfId="3" applyFont="1" applyFill="1" applyBorder="1" applyAlignment="1">
      <alignment horizontal="left" vertical="center" wrapText="1"/>
    </xf>
    <xf numFmtId="0" fontId="83" fillId="4" borderId="29" xfId="3" applyFont="1" applyFill="1" applyBorder="1" applyAlignment="1">
      <alignment horizontal="left" vertical="center" wrapText="1"/>
    </xf>
    <xf numFmtId="0" fontId="83" fillId="4" borderId="30" xfId="3" applyFont="1" applyFill="1" applyBorder="1" applyAlignment="1">
      <alignment horizontal="left" vertical="center" wrapText="1"/>
    </xf>
    <xf numFmtId="0" fontId="83" fillId="4" borderId="31" xfId="3" applyFont="1" applyFill="1" applyBorder="1" applyAlignment="1">
      <alignment horizontal="left" vertical="center" wrapText="1"/>
    </xf>
    <xf numFmtId="0" fontId="93" fillId="35" borderId="0" xfId="3" applyFont="1" applyFill="1" applyAlignment="1">
      <alignment horizontal="left" vertical="center"/>
    </xf>
    <xf numFmtId="0" fontId="93" fillId="35" borderId="1" xfId="3" applyFont="1" applyFill="1" applyBorder="1" applyAlignment="1">
      <alignment horizontal="left" vertical="center"/>
    </xf>
    <xf numFmtId="0" fontId="27" fillId="3" borderId="44" xfId="0" applyFont="1" applyFill="1" applyBorder="1" applyAlignment="1">
      <alignment horizontal="center"/>
    </xf>
    <xf numFmtId="0" fontId="27" fillId="3" borderId="45" xfId="0" applyFont="1" applyFill="1" applyBorder="1" applyAlignment="1">
      <alignment horizontal="center"/>
    </xf>
    <xf numFmtId="0" fontId="27" fillId="3" borderId="46" xfId="0" applyFont="1" applyFill="1" applyBorder="1" applyAlignment="1">
      <alignment horizontal="center"/>
    </xf>
    <xf numFmtId="0" fontId="76" fillId="0" borderId="46" xfId="0" applyFont="1" applyBorder="1" applyAlignment="1">
      <alignment horizontal="center"/>
    </xf>
    <xf numFmtId="172" fontId="1" fillId="0" borderId="15" xfId="10" applyNumberFormat="1" applyFont="1" applyBorder="1" applyAlignment="1">
      <alignment horizontal="center" vertical="center"/>
    </xf>
    <xf numFmtId="0" fontId="25" fillId="5" borderId="14" xfId="3" applyFont="1" applyFill="1" applyBorder="1" applyAlignment="1">
      <alignment horizontal="center" vertical="center"/>
    </xf>
    <xf numFmtId="0" fontId="25" fillId="5" borderId="13" xfId="3" applyFont="1" applyFill="1" applyBorder="1" applyAlignment="1">
      <alignment horizontal="center" vertical="center"/>
    </xf>
    <xf numFmtId="0" fontId="25" fillId="5" borderId="12" xfId="3" applyFont="1" applyFill="1" applyBorder="1" applyAlignment="1">
      <alignment horizontal="center" vertical="center"/>
    </xf>
    <xf numFmtId="0" fontId="25" fillId="5" borderId="11" xfId="3" applyFont="1" applyFill="1" applyBorder="1" applyAlignment="1">
      <alignment horizontal="center" vertical="center"/>
    </xf>
    <xf numFmtId="0" fontId="25" fillId="5" borderId="0" xfId="3" applyFont="1" applyFill="1" applyAlignment="1">
      <alignment horizontal="center" vertical="center"/>
    </xf>
    <xf numFmtId="0" fontId="25" fillId="5" borderId="10" xfId="3" applyFont="1" applyFill="1" applyBorder="1" applyAlignment="1">
      <alignment horizontal="center" vertical="center"/>
    </xf>
    <xf numFmtId="0" fontId="25" fillId="5" borderId="9" xfId="3" applyFont="1" applyFill="1" applyBorder="1" applyAlignment="1">
      <alignment horizontal="center" vertical="center"/>
    </xf>
    <xf numFmtId="0" fontId="25" fillId="5" borderId="8" xfId="3" applyFont="1" applyFill="1" applyBorder="1" applyAlignment="1">
      <alignment horizontal="center" vertical="center"/>
    </xf>
    <xf numFmtId="0" fontId="25" fillId="5" borderId="7" xfId="3" applyFont="1" applyFill="1" applyBorder="1" applyAlignment="1">
      <alignment horizontal="center" vertical="center"/>
    </xf>
    <xf numFmtId="44" fontId="6" fillId="17" borderId="6" xfId="10" applyFont="1" applyFill="1" applyBorder="1" applyAlignment="1" applyProtection="1">
      <alignment horizontal="center" vertical="center" wrapText="1"/>
    </xf>
    <xf numFmtId="44" fontId="6" fillId="17" borderId="5" xfId="10" applyFont="1" applyFill="1" applyBorder="1" applyAlignment="1" applyProtection="1">
      <alignment horizontal="center" vertical="center" wrapText="1"/>
    </xf>
    <xf numFmtId="44" fontId="6" fillId="17" borderId="4" xfId="10" applyFont="1" applyFill="1" applyBorder="1" applyAlignment="1" applyProtection="1">
      <alignment horizontal="center" vertical="center" wrapText="1"/>
    </xf>
    <xf numFmtId="0" fontId="101" fillId="40" borderId="54" xfId="0" applyFont="1" applyFill="1" applyBorder="1" applyAlignment="1">
      <alignment vertical="center" wrapText="1"/>
    </xf>
    <xf numFmtId="0" fontId="101" fillId="40" borderId="55" xfId="0" applyFont="1" applyFill="1" applyBorder="1" applyAlignment="1">
      <alignment vertical="center" wrapText="1"/>
    </xf>
    <xf numFmtId="0" fontId="101" fillId="40" borderId="57" xfId="0" applyFont="1" applyFill="1" applyBorder="1" applyAlignment="1">
      <alignment vertical="center" wrapText="1"/>
    </xf>
    <xf numFmtId="0" fontId="101" fillId="40" borderId="56" xfId="0" applyFont="1" applyFill="1" applyBorder="1" applyAlignment="1">
      <alignment vertical="center" wrapText="1"/>
    </xf>
    <xf numFmtId="0" fontId="101" fillId="40" borderId="0" xfId="0" applyFont="1" applyFill="1" applyAlignment="1">
      <alignment vertical="center" wrapText="1"/>
    </xf>
    <xf numFmtId="0" fontId="101" fillId="40" borderId="58" xfId="0" applyFont="1" applyFill="1" applyBorder="1" applyAlignment="1">
      <alignment vertical="center" wrapText="1"/>
    </xf>
    <xf numFmtId="0" fontId="101" fillId="40" borderId="59" xfId="0" applyFont="1" applyFill="1" applyBorder="1" applyAlignment="1">
      <alignment vertical="center" wrapText="1"/>
    </xf>
    <xf numFmtId="0" fontId="101" fillId="40" borderId="60" xfId="0" applyFont="1" applyFill="1" applyBorder="1" applyAlignment="1">
      <alignment vertical="center" wrapText="1"/>
    </xf>
    <xf numFmtId="0" fontId="101" fillId="40" borderId="61" xfId="0" applyFont="1" applyFill="1" applyBorder="1" applyAlignment="1">
      <alignment vertical="center" wrapText="1"/>
    </xf>
    <xf numFmtId="9" fontId="75" fillId="3" borderId="3" xfId="3" applyNumberFormat="1" applyFont="1" applyFill="1" applyBorder="1" applyAlignment="1">
      <alignment horizontal="center" vertical="center"/>
    </xf>
    <xf numFmtId="0" fontId="75" fillId="3" borderId="3" xfId="3" applyFont="1" applyFill="1" applyBorder="1" applyAlignment="1">
      <alignment horizontal="center" vertical="center"/>
    </xf>
    <xf numFmtId="9" fontId="75" fillId="4" borderId="3" xfId="3" applyNumberFormat="1" applyFont="1" applyFill="1" applyBorder="1" applyAlignment="1">
      <alignment horizontal="center" vertical="center"/>
    </xf>
    <xf numFmtId="0" fontId="74" fillId="4" borderId="3" xfId="3" applyFont="1" applyFill="1" applyBorder="1" applyAlignment="1">
      <alignment horizontal="center" vertical="center" wrapText="1"/>
    </xf>
    <xf numFmtId="0" fontId="74" fillId="4" borderId="3" xfId="3" applyFont="1" applyFill="1" applyBorder="1" applyAlignment="1">
      <alignment horizontal="center" vertical="center"/>
    </xf>
    <xf numFmtId="0" fontId="74" fillId="17" borderId="3" xfId="3" applyFont="1" applyFill="1" applyBorder="1" applyAlignment="1">
      <alignment horizontal="center" vertical="center" wrapText="1"/>
    </xf>
    <xf numFmtId="0" fontId="74" fillId="17" borderId="3" xfId="3" applyFont="1" applyFill="1" applyBorder="1" applyAlignment="1">
      <alignment horizontal="center" vertical="center"/>
    </xf>
    <xf numFmtId="10" fontId="6" fillId="4" borderId="3" xfId="2" applyNumberFormat="1" applyFont="1" applyFill="1" applyBorder="1" applyAlignment="1">
      <alignment horizontal="center" vertical="center" wrapText="1"/>
    </xf>
    <xf numFmtId="0" fontId="83" fillId="21" borderId="6" xfId="3" quotePrefix="1" applyFont="1" applyFill="1" applyBorder="1" applyAlignment="1">
      <alignment horizontal="left" vertical="center" wrapText="1"/>
    </xf>
    <xf numFmtId="0" fontId="83" fillId="21" borderId="5" xfId="3" quotePrefix="1" applyFont="1" applyFill="1" applyBorder="1" applyAlignment="1">
      <alignment horizontal="left" vertical="center" wrapText="1"/>
    </xf>
    <xf numFmtId="0" fontId="83" fillId="21" borderId="4" xfId="3" quotePrefix="1" applyFont="1" applyFill="1" applyBorder="1" applyAlignment="1">
      <alignment horizontal="left" vertical="center" wrapText="1"/>
    </xf>
    <xf numFmtId="0" fontId="83" fillId="17" borderId="6" xfId="3" quotePrefix="1" applyFont="1" applyFill="1" applyBorder="1" applyAlignment="1">
      <alignment horizontal="left" vertical="center" wrapText="1"/>
    </xf>
    <xf numFmtId="0" fontId="83" fillId="17" borderId="5" xfId="3" quotePrefix="1" applyFont="1" applyFill="1" applyBorder="1" applyAlignment="1">
      <alignment horizontal="left" vertical="center" wrapText="1"/>
    </xf>
    <xf numFmtId="0" fontId="83" fillId="17" borderId="4" xfId="3" quotePrefix="1" applyFont="1" applyFill="1" applyBorder="1" applyAlignment="1">
      <alignment horizontal="left" vertical="center" wrapText="1"/>
    </xf>
    <xf numFmtId="0" fontId="5" fillId="0" borderId="0" xfId="3" applyAlignment="1">
      <alignment vertical="center"/>
    </xf>
    <xf numFmtId="44" fontId="6" fillId="17" borderId="3" xfId="10" applyFont="1" applyFill="1" applyBorder="1" applyAlignment="1" applyProtection="1">
      <alignment horizontal="center" vertical="center" wrapText="1"/>
    </xf>
    <xf numFmtId="44" fontId="6" fillId="42" borderId="3" xfId="10" applyFont="1" applyFill="1" applyBorder="1" applyAlignment="1" applyProtection="1">
      <alignment horizontal="center" vertical="center" wrapText="1"/>
    </xf>
    <xf numFmtId="0" fontId="83" fillId="4" borderId="24" xfId="3" quotePrefix="1" applyFont="1" applyFill="1" applyBorder="1" applyAlignment="1">
      <alignment horizontal="left" vertical="center" wrapText="1"/>
    </xf>
    <xf numFmtId="44" fontId="6" fillId="6" borderId="3" xfId="10" applyFont="1" applyFill="1" applyBorder="1" applyAlignment="1">
      <alignment horizontal="center" vertical="center" wrapText="1"/>
    </xf>
    <xf numFmtId="0" fontId="74" fillId="6" borderId="3" xfId="3" applyFont="1" applyFill="1" applyBorder="1" applyAlignment="1">
      <alignment horizontal="center" vertical="center" wrapText="1"/>
    </xf>
    <xf numFmtId="0" fontId="74" fillId="6" borderId="3" xfId="3" applyFont="1" applyFill="1" applyBorder="1" applyAlignment="1">
      <alignment horizontal="center" vertical="center"/>
    </xf>
    <xf numFmtId="0" fontId="74" fillId="21" borderId="3" xfId="3" applyFont="1" applyFill="1" applyBorder="1" applyAlignment="1">
      <alignment horizontal="center" vertical="center" wrapText="1"/>
    </xf>
    <xf numFmtId="0" fontId="74" fillId="21" borderId="3" xfId="3" applyFont="1" applyFill="1" applyBorder="1" applyAlignment="1">
      <alignment horizontal="center" vertical="center"/>
    </xf>
    <xf numFmtId="0" fontId="83" fillId="4" borderId="6" xfId="3" quotePrefix="1" applyFont="1" applyFill="1" applyBorder="1" applyAlignment="1">
      <alignment horizontal="left" vertical="center" wrapText="1"/>
    </xf>
    <xf numFmtId="0" fontId="83" fillId="4" borderId="5" xfId="3" quotePrefix="1" applyFont="1" applyFill="1" applyBorder="1" applyAlignment="1">
      <alignment horizontal="left" vertical="center" wrapText="1"/>
    </xf>
    <xf numFmtId="0" fontId="83" fillId="4" borderId="4" xfId="3" quotePrefix="1" applyFont="1" applyFill="1" applyBorder="1" applyAlignment="1">
      <alignment horizontal="left" vertical="center" wrapText="1"/>
    </xf>
    <xf numFmtId="44" fontId="6" fillId="21" borderId="3" xfId="10" applyFont="1" applyFill="1" applyBorder="1" applyAlignment="1" applyProtection="1">
      <alignment horizontal="center" vertical="center" wrapText="1"/>
      <protection locked="0"/>
    </xf>
    <xf numFmtId="44" fontId="75" fillId="17" borderId="3" xfId="10" applyFont="1" applyFill="1" applyBorder="1" applyAlignment="1">
      <alignment horizontal="center" vertical="center"/>
    </xf>
    <xf numFmtId="0" fontId="83" fillId="6" borderId="6" xfId="3" applyFont="1" applyFill="1" applyBorder="1" applyAlignment="1">
      <alignment horizontal="left" vertical="center" wrapText="1"/>
    </xf>
    <xf numFmtId="0" fontId="83" fillId="6" borderId="5" xfId="3" applyFont="1" applyFill="1" applyBorder="1" applyAlignment="1">
      <alignment horizontal="left" vertical="center" wrapText="1"/>
    </xf>
    <xf numFmtId="0" fontId="83" fillId="6" borderId="4" xfId="3" applyFont="1" applyFill="1" applyBorder="1" applyAlignment="1">
      <alignment horizontal="left" vertical="center" wrapText="1"/>
    </xf>
    <xf numFmtId="9" fontId="6" fillId="6" borderId="3" xfId="3" applyNumberFormat="1" applyFont="1" applyFill="1" applyBorder="1" applyAlignment="1">
      <alignment horizontal="center" vertical="center"/>
    </xf>
    <xf numFmtId="0" fontId="83" fillId="4" borderId="0" xfId="3" applyFont="1" applyFill="1" applyBorder="1" applyAlignment="1">
      <alignment horizontal="left" vertical="center" wrapText="1"/>
    </xf>
    <xf numFmtId="10" fontId="6" fillId="21" borderId="3" xfId="2" applyNumberFormat="1" applyFont="1" applyFill="1" applyBorder="1" applyAlignment="1">
      <alignment horizontal="center" vertical="center" wrapText="1"/>
    </xf>
    <xf numFmtId="0" fontId="74" fillId="4" borderId="6" xfId="3" applyFont="1" applyFill="1" applyBorder="1" applyAlignment="1">
      <alignment horizontal="center" vertical="center" wrapText="1"/>
    </xf>
    <xf numFmtId="0" fontId="74" fillId="4" borderId="5" xfId="3" applyFont="1" applyFill="1" applyBorder="1" applyAlignment="1">
      <alignment horizontal="center" vertical="center" wrapText="1"/>
    </xf>
    <xf numFmtId="0" fontId="74" fillId="4" borderId="4" xfId="3" applyFont="1" applyFill="1" applyBorder="1" applyAlignment="1">
      <alignment horizontal="center" vertical="center" wrapText="1"/>
    </xf>
    <xf numFmtId="0" fontId="74" fillId="3" borderId="6" xfId="3" applyFont="1" applyFill="1" applyBorder="1" applyAlignment="1">
      <alignment horizontal="center" vertical="center" wrapText="1"/>
    </xf>
    <xf numFmtId="0" fontId="74" fillId="3" borderId="5" xfId="3" applyFont="1" applyFill="1" applyBorder="1" applyAlignment="1">
      <alignment horizontal="center" vertical="center" wrapText="1"/>
    </xf>
    <xf numFmtId="0" fontId="74" fillId="3" borderId="4" xfId="3" applyFont="1" applyFill="1" applyBorder="1" applyAlignment="1">
      <alignment horizontal="center" vertical="center" wrapText="1"/>
    </xf>
    <xf numFmtId="44" fontId="75" fillId="3" borderId="3" xfId="10" applyFont="1" applyFill="1" applyBorder="1" applyAlignment="1">
      <alignment horizontal="center" vertical="center" wrapText="1"/>
    </xf>
    <xf numFmtId="10" fontId="75" fillId="3" borderId="3" xfId="2" applyNumberFormat="1" applyFont="1" applyFill="1" applyBorder="1" applyAlignment="1">
      <alignment horizontal="center" vertical="center" wrapText="1"/>
    </xf>
    <xf numFmtId="10" fontId="75" fillId="3" borderId="3" xfId="3" applyNumberFormat="1" applyFont="1" applyFill="1" applyBorder="1" applyAlignment="1">
      <alignment horizontal="center" vertical="center"/>
    </xf>
    <xf numFmtId="10" fontId="82" fillId="3" borderId="3" xfId="2" applyNumberFormat="1" applyFont="1" applyFill="1" applyBorder="1" applyAlignment="1">
      <alignment horizontal="center" vertical="center" wrapText="1"/>
    </xf>
    <xf numFmtId="0" fontId="69" fillId="17" borderId="6" xfId="3" applyFont="1" applyFill="1" applyBorder="1" applyAlignment="1">
      <alignment horizontal="left" vertical="center" wrapText="1"/>
    </xf>
    <xf numFmtId="0" fontId="69" fillId="17" borderId="5" xfId="3" applyFont="1" applyFill="1" applyBorder="1" applyAlignment="1">
      <alignment horizontal="left" vertical="center" wrapText="1"/>
    </xf>
    <xf numFmtId="0" fontId="69" fillId="17" borderId="4" xfId="3" applyFont="1" applyFill="1" applyBorder="1" applyAlignment="1">
      <alignment horizontal="left" vertical="center" wrapText="1"/>
    </xf>
    <xf numFmtId="0" fontId="5" fillId="6" borderId="0" xfId="3" applyFill="1" applyAlignment="1">
      <alignment horizontal="left" vertical="center" wrapText="1"/>
    </xf>
    <xf numFmtId="0" fontId="76" fillId="0" borderId="50" xfId="0" applyFont="1" applyBorder="1" applyAlignment="1">
      <alignment horizontal="left"/>
    </xf>
    <xf numFmtId="0" fontId="76" fillId="4" borderId="24" xfId="3" applyFont="1" applyFill="1" applyBorder="1" applyAlignment="1">
      <alignment horizontal="left" vertical="center" wrapText="1"/>
    </xf>
    <xf numFmtId="0" fontId="76" fillId="4" borderId="25" xfId="3" applyFont="1" applyFill="1" applyBorder="1" applyAlignment="1">
      <alignment horizontal="left" vertical="center" wrapText="1"/>
    </xf>
    <xf numFmtId="0" fontId="76" fillId="4" borderId="26" xfId="3" applyFont="1" applyFill="1" applyBorder="1" applyAlignment="1">
      <alignment horizontal="left" vertical="center" wrapText="1"/>
    </xf>
    <xf numFmtId="0" fontId="76" fillId="4" borderId="27" xfId="3" applyFont="1" applyFill="1" applyBorder="1" applyAlignment="1">
      <alignment horizontal="left" vertical="center" wrapText="1"/>
    </xf>
    <xf numFmtId="0" fontId="76" fillId="4" borderId="0" xfId="3" applyFont="1" applyFill="1" applyAlignment="1">
      <alignment horizontal="left" vertical="center" wrapText="1"/>
    </xf>
    <xf numFmtId="0" fontId="76" fillId="4" borderId="28" xfId="3" applyFont="1" applyFill="1" applyBorder="1" applyAlignment="1">
      <alignment horizontal="left" vertical="center" wrapText="1"/>
    </xf>
    <xf numFmtId="0" fontId="76" fillId="4" borderId="29" xfId="3" applyFont="1" applyFill="1" applyBorder="1" applyAlignment="1">
      <alignment horizontal="left" vertical="center" wrapText="1"/>
    </xf>
    <xf numFmtId="0" fontId="76" fillId="4" borderId="30" xfId="3" applyFont="1" applyFill="1" applyBorder="1" applyAlignment="1">
      <alignment horizontal="left" vertical="center" wrapText="1"/>
    </xf>
    <xf numFmtId="0" fontId="76" fillId="4" borderId="31" xfId="3" applyFont="1" applyFill="1" applyBorder="1" applyAlignment="1">
      <alignment horizontal="left" vertical="center" wrapText="1"/>
    </xf>
    <xf numFmtId="0" fontId="25" fillId="2" borderId="0" xfId="0" applyFont="1" applyFill="1" applyAlignment="1">
      <alignment horizontal="center"/>
    </xf>
    <xf numFmtId="0" fontId="76" fillId="0" borderId="16" xfId="0" applyFont="1" applyBorder="1" applyAlignment="1">
      <alignment horizontal="left"/>
    </xf>
    <xf numFmtId="0" fontId="25" fillId="37" borderId="70" xfId="7" applyFont="1" applyFill="1" applyBorder="1" applyAlignment="1">
      <alignment horizontal="left" vertical="center" wrapText="1"/>
    </xf>
    <xf numFmtId="0" fontId="25" fillId="37" borderId="66" xfId="7" applyFont="1" applyFill="1" applyBorder="1" applyAlignment="1">
      <alignment horizontal="left" vertical="center" wrapText="1"/>
    </xf>
    <xf numFmtId="44" fontId="75" fillId="3" borderId="3" xfId="10" applyFont="1" applyFill="1" applyBorder="1" applyAlignment="1">
      <alignment horizontal="center" vertical="center"/>
    </xf>
    <xf numFmtId="10" fontId="82" fillId="15" borderId="3" xfId="2" applyNumberFormat="1" applyFont="1" applyFill="1" applyBorder="1" applyAlignment="1">
      <alignment horizontal="center" vertical="center" wrapText="1"/>
    </xf>
    <xf numFmtId="9" fontId="75" fillId="21" borderId="3" xfId="3" applyNumberFormat="1" applyFont="1" applyFill="1" applyBorder="1" applyAlignment="1">
      <alignment horizontal="center" vertical="center"/>
    </xf>
    <xf numFmtId="0" fontId="69" fillId="3" borderId="6" xfId="3" applyFont="1" applyFill="1" applyBorder="1" applyAlignment="1">
      <alignment horizontal="left" vertical="center" wrapText="1"/>
    </xf>
    <xf numFmtId="0" fontId="69" fillId="3" borderId="5" xfId="3" applyFont="1" applyFill="1" applyBorder="1" applyAlignment="1">
      <alignment horizontal="left" vertical="center" wrapText="1"/>
    </xf>
    <xf numFmtId="0" fontId="69" fillId="3" borderId="4" xfId="3" applyFont="1" applyFill="1" applyBorder="1" applyAlignment="1">
      <alignment horizontal="left" vertical="center" wrapText="1"/>
    </xf>
    <xf numFmtId="0" fontId="69" fillId="4" borderId="6" xfId="3" applyFont="1" applyFill="1" applyBorder="1" applyAlignment="1">
      <alignment horizontal="left" vertical="center" wrapText="1"/>
    </xf>
    <xf numFmtId="0" fontId="69" fillId="4" borderId="5" xfId="3" applyFont="1" applyFill="1" applyBorder="1" applyAlignment="1">
      <alignment horizontal="left" vertical="center" wrapText="1"/>
    </xf>
    <xf numFmtId="0" fontId="69" fillId="4" borderId="4" xfId="3" applyFont="1" applyFill="1" applyBorder="1" applyAlignment="1">
      <alignment horizontal="left" vertical="center" wrapText="1"/>
    </xf>
    <xf numFmtId="0" fontId="69" fillId="4" borderId="24" xfId="3" applyFont="1" applyFill="1" applyBorder="1" applyAlignment="1">
      <alignment horizontal="left" vertical="center" wrapText="1"/>
    </xf>
    <xf numFmtId="0" fontId="69" fillId="4" borderId="25" xfId="3" applyFont="1" applyFill="1" applyBorder="1" applyAlignment="1">
      <alignment horizontal="left" vertical="center" wrapText="1"/>
    </xf>
    <xf numFmtId="0" fontId="69" fillId="4" borderId="26" xfId="3" applyFont="1" applyFill="1" applyBorder="1" applyAlignment="1">
      <alignment horizontal="left" vertical="center" wrapText="1"/>
    </xf>
    <xf numFmtId="0" fontId="69" fillId="4" borderId="27" xfId="3" applyFont="1" applyFill="1" applyBorder="1" applyAlignment="1">
      <alignment horizontal="left" vertical="center" wrapText="1"/>
    </xf>
    <xf numFmtId="0" fontId="69" fillId="4" borderId="0" xfId="3" applyFont="1" applyFill="1" applyAlignment="1">
      <alignment horizontal="left" vertical="center" wrapText="1"/>
    </xf>
    <xf numFmtId="0" fontId="69" fillId="4" borderId="28" xfId="3" applyFont="1" applyFill="1" applyBorder="1" applyAlignment="1">
      <alignment horizontal="left" vertical="center" wrapText="1"/>
    </xf>
    <xf numFmtId="0" fontId="69" fillId="4" borderId="29" xfId="3" applyFont="1" applyFill="1" applyBorder="1" applyAlignment="1">
      <alignment horizontal="left" vertical="center" wrapText="1"/>
    </xf>
    <xf numFmtId="0" fontId="69" fillId="4" borderId="30" xfId="3" applyFont="1" applyFill="1" applyBorder="1" applyAlignment="1">
      <alignment horizontal="left" vertical="center" wrapText="1"/>
    </xf>
    <xf numFmtId="0" fontId="69" fillId="4" borderId="31" xfId="3" applyFont="1" applyFill="1" applyBorder="1" applyAlignment="1">
      <alignment horizontal="left" vertical="center" wrapText="1"/>
    </xf>
    <xf numFmtId="0" fontId="76" fillId="41" borderId="6" xfId="0" applyFont="1" applyFill="1" applyBorder="1" applyAlignment="1">
      <alignment horizontal="left" vertical="center" wrapText="1"/>
    </xf>
    <xf numFmtId="0" fontId="76" fillId="41" borderId="5" xfId="0" applyFont="1" applyFill="1" applyBorder="1" applyAlignment="1">
      <alignment horizontal="left" vertical="center" wrapText="1"/>
    </xf>
    <xf numFmtId="0" fontId="76" fillId="41" borderId="4" xfId="0" applyFont="1" applyFill="1" applyBorder="1" applyAlignment="1">
      <alignment horizontal="left" vertical="center" wrapText="1"/>
    </xf>
    <xf numFmtId="0" fontId="83" fillId="21" borderId="13" xfId="3" applyFont="1" applyFill="1" applyBorder="1" applyAlignment="1">
      <alignment horizontal="left" vertical="center" wrapText="1"/>
    </xf>
    <xf numFmtId="44" fontId="6" fillId="3" borderId="3" xfId="10" applyFont="1" applyFill="1" applyBorder="1" applyAlignment="1">
      <alignment horizontal="center" vertical="center" wrapText="1"/>
    </xf>
    <xf numFmtId="0" fontId="74" fillId="21" borderId="6" xfId="3" applyFont="1" applyFill="1" applyBorder="1" applyAlignment="1">
      <alignment horizontal="center" vertical="center" wrapText="1"/>
    </xf>
    <xf numFmtId="0" fontId="74" fillId="21" borderId="5" xfId="3" applyFont="1" applyFill="1" applyBorder="1" applyAlignment="1">
      <alignment horizontal="center" vertical="center" wrapText="1"/>
    </xf>
    <xf numFmtId="0" fontId="74" fillId="21" borderId="4" xfId="3" applyFont="1" applyFill="1" applyBorder="1" applyAlignment="1">
      <alignment horizontal="center" vertical="center" wrapText="1"/>
    </xf>
    <xf numFmtId="2" fontId="6" fillId="3" borderId="3" xfId="10" applyNumberFormat="1" applyFont="1" applyFill="1" applyBorder="1" applyAlignment="1">
      <alignment horizontal="center" vertical="center" wrapText="1"/>
    </xf>
    <xf numFmtId="169" fontId="75" fillId="3" borderId="3" xfId="10" applyNumberFormat="1" applyFont="1" applyFill="1" applyBorder="1" applyAlignment="1">
      <alignment horizontal="center" vertical="center"/>
    </xf>
    <xf numFmtId="44" fontId="75" fillId="4" borderId="3" xfId="10" applyFont="1" applyFill="1" applyBorder="1" applyAlignment="1">
      <alignment horizontal="center" vertical="center"/>
    </xf>
    <xf numFmtId="164" fontId="6" fillId="3" borderId="6" xfId="2" applyNumberFormat="1" applyFont="1" applyFill="1" applyBorder="1" applyAlignment="1">
      <alignment horizontal="center" vertical="center" wrapText="1"/>
    </xf>
    <xf numFmtId="164" fontId="6" fillId="3" borderId="5" xfId="2" applyNumberFormat="1" applyFont="1" applyFill="1" applyBorder="1" applyAlignment="1">
      <alignment horizontal="center" vertical="center" wrapText="1"/>
    </xf>
    <xf numFmtId="164" fontId="6" fillId="3" borderId="4" xfId="2" applyNumberFormat="1" applyFont="1" applyFill="1" applyBorder="1" applyAlignment="1">
      <alignment horizontal="center" vertical="center" wrapText="1"/>
    </xf>
    <xf numFmtId="0" fontId="74" fillId="17" borderId="6" xfId="3" applyFont="1" applyFill="1" applyBorder="1" applyAlignment="1">
      <alignment horizontal="center" vertical="center" wrapText="1"/>
    </xf>
    <xf numFmtId="0" fontId="74" fillId="17" borderId="5" xfId="3" applyFont="1" applyFill="1" applyBorder="1" applyAlignment="1">
      <alignment horizontal="center" vertical="center" wrapText="1"/>
    </xf>
    <xf numFmtId="0" fontId="74" fillId="17" borderId="4" xfId="3" applyFont="1" applyFill="1" applyBorder="1" applyAlignment="1">
      <alignment horizontal="center" vertical="center" wrapText="1"/>
    </xf>
    <xf numFmtId="0" fontId="83" fillId="17" borderId="6" xfId="3" applyFont="1" applyFill="1" applyBorder="1" applyAlignment="1">
      <alignment horizontal="left" vertical="center" wrapText="1"/>
    </xf>
    <xf numFmtId="0" fontId="83" fillId="17" borderId="5" xfId="3" applyFont="1" applyFill="1" applyBorder="1" applyAlignment="1">
      <alignment horizontal="left" vertical="center" wrapText="1"/>
    </xf>
    <xf numFmtId="0" fontId="83" fillId="17" borderId="4" xfId="3" applyFont="1" applyFill="1" applyBorder="1" applyAlignment="1">
      <alignment horizontal="left" vertical="center" wrapText="1"/>
    </xf>
    <xf numFmtId="9" fontId="75" fillId="3" borderId="6" xfId="3" applyNumberFormat="1" applyFont="1" applyFill="1" applyBorder="1" applyAlignment="1">
      <alignment horizontal="center" vertical="center"/>
    </xf>
    <xf numFmtId="9" fontId="75" fillId="3" borderId="5" xfId="3" applyNumberFormat="1" applyFont="1" applyFill="1" applyBorder="1" applyAlignment="1">
      <alignment horizontal="center" vertical="center"/>
    </xf>
    <xf numFmtId="9" fontId="75" fillId="3" borderId="4" xfId="3" applyNumberFormat="1" applyFont="1" applyFill="1" applyBorder="1" applyAlignment="1">
      <alignment horizontal="center" vertical="center"/>
    </xf>
    <xf numFmtId="44" fontId="6" fillId="15" borderId="6" xfId="10" applyFont="1" applyFill="1" applyBorder="1" applyAlignment="1">
      <alignment horizontal="center" vertical="center" wrapText="1"/>
    </xf>
    <xf numFmtId="44" fontId="6" fillId="15" borderId="5" xfId="10" applyFont="1" applyFill="1" applyBorder="1" applyAlignment="1">
      <alignment horizontal="center" vertical="center" wrapText="1"/>
    </xf>
    <xf numFmtId="44" fontId="6" fillId="15" borderId="4" xfId="10" applyFont="1" applyFill="1" applyBorder="1" applyAlignment="1">
      <alignment horizontal="center" vertical="center" wrapText="1"/>
    </xf>
    <xf numFmtId="0" fontId="5" fillId="17" borderId="5" xfId="3" applyFill="1" applyBorder="1" applyAlignment="1">
      <alignment horizontal="left" vertical="center" wrapText="1"/>
    </xf>
    <xf numFmtId="0" fontId="5" fillId="17" borderId="4" xfId="3" applyFill="1" applyBorder="1" applyAlignment="1">
      <alignment horizontal="left" vertical="center" wrapText="1"/>
    </xf>
    <xf numFmtId="0" fontId="83" fillId="21" borderId="6" xfId="3" applyFont="1" applyFill="1" applyBorder="1" applyAlignment="1">
      <alignment horizontal="left" vertical="center" wrapText="1"/>
    </xf>
    <xf numFmtId="0" fontId="83" fillId="21" borderId="5" xfId="3" applyFont="1" applyFill="1" applyBorder="1" applyAlignment="1">
      <alignment horizontal="left" vertical="center" wrapText="1"/>
    </xf>
    <xf numFmtId="0" fontId="83" fillId="21" borderId="4" xfId="3" applyFont="1" applyFill="1" applyBorder="1" applyAlignment="1">
      <alignment horizontal="left" vertical="center" wrapText="1"/>
    </xf>
    <xf numFmtId="9" fontId="75" fillId="4" borderId="3" xfId="2" applyNumberFormat="1" applyFont="1" applyFill="1" applyBorder="1" applyAlignment="1">
      <alignment horizontal="center" vertical="center"/>
    </xf>
    <xf numFmtId="172" fontId="1" fillId="0" borderId="1" xfId="10" applyNumberFormat="1" applyFont="1" applyBorder="1" applyAlignment="1">
      <alignment horizontal="center" vertical="center"/>
    </xf>
    <xf numFmtId="44" fontId="75" fillId="21" borderId="3" xfId="3" applyNumberFormat="1" applyFont="1" applyFill="1" applyBorder="1" applyAlignment="1">
      <alignment horizontal="center" vertical="center"/>
    </xf>
    <xf numFmtId="164" fontId="75" fillId="3" borderId="3" xfId="3" applyNumberFormat="1" applyFont="1" applyFill="1" applyBorder="1" applyAlignment="1">
      <alignment horizontal="center" vertical="center"/>
    </xf>
    <xf numFmtId="0" fontId="1" fillId="0" borderId="0" xfId="0" applyFont="1" applyAlignment="1"/>
    <xf numFmtId="44" fontId="6" fillId="4" borderId="3" xfId="10" applyFont="1" applyFill="1" applyBorder="1" applyAlignment="1">
      <alignment horizontal="center" vertical="center" wrapText="1"/>
    </xf>
    <xf numFmtId="0" fontId="83" fillId="3" borderId="6" xfId="3" applyFont="1" applyFill="1" applyBorder="1" applyAlignment="1">
      <alignment horizontal="left" vertical="center" wrapText="1"/>
    </xf>
    <xf numFmtId="0" fontId="83" fillId="3" borderId="5" xfId="3" applyFont="1" applyFill="1" applyBorder="1" applyAlignment="1">
      <alignment horizontal="left" vertical="center" wrapText="1"/>
    </xf>
    <xf numFmtId="0" fontId="83" fillId="3" borderId="4" xfId="3" applyFont="1" applyFill="1" applyBorder="1" applyAlignment="1">
      <alignment horizontal="left" vertical="center" wrapText="1"/>
    </xf>
    <xf numFmtId="0" fontId="83" fillId="4" borderId="6" xfId="3" applyFont="1" applyFill="1" applyBorder="1" applyAlignment="1">
      <alignment horizontal="left" vertical="center" wrapText="1"/>
    </xf>
    <xf numFmtId="0" fontId="83" fillId="4" borderId="5" xfId="3" applyFont="1" applyFill="1" applyBorder="1" applyAlignment="1">
      <alignment horizontal="left" vertical="center" wrapText="1"/>
    </xf>
    <xf numFmtId="0" fontId="83" fillId="4" borderId="4" xfId="3" applyFont="1" applyFill="1" applyBorder="1" applyAlignment="1">
      <alignment horizontal="left" vertical="center" wrapText="1"/>
    </xf>
    <xf numFmtId="41" fontId="75" fillId="3" borderId="3" xfId="3" applyNumberFormat="1" applyFont="1" applyFill="1" applyBorder="1" applyAlignment="1">
      <alignment horizontal="center" vertical="center"/>
    </xf>
    <xf numFmtId="0" fontId="74" fillId="3" borderId="3" xfId="3" applyFont="1" applyFill="1" applyBorder="1" applyAlignment="1">
      <alignment horizontal="center" vertical="center"/>
    </xf>
    <xf numFmtId="166" fontId="6" fillId="3" borderId="3" xfId="2" applyNumberFormat="1" applyFont="1" applyFill="1" applyBorder="1" applyAlignment="1">
      <alignment horizontal="center" vertical="center" wrapText="1"/>
    </xf>
    <xf numFmtId="9" fontId="75" fillId="21" borderId="3" xfId="2" applyFont="1" applyFill="1" applyBorder="1" applyAlignment="1">
      <alignment horizontal="center" vertical="center"/>
    </xf>
    <xf numFmtId="166" fontId="75" fillId="3" borderId="3" xfId="3" applyNumberFormat="1" applyFont="1" applyFill="1" applyBorder="1" applyAlignment="1">
      <alignment horizontal="center" vertical="center"/>
    </xf>
    <xf numFmtId="9" fontId="75" fillId="4" borderId="3" xfId="2" applyFont="1" applyFill="1" applyBorder="1" applyAlignment="1">
      <alignment horizontal="center" vertical="center"/>
    </xf>
    <xf numFmtId="166" fontId="75" fillId="3" borderId="3" xfId="2" applyNumberFormat="1" applyFont="1" applyFill="1" applyBorder="1" applyAlignment="1">
      <alignment horizontal="center" vertical="center" wrapText="1"/>
    </xf>
    <xf numFmtId="49" fontId="83" fillId="4" borderId="24" xfId="3" applyNumberFormat="1" applyFont="1" applyFill="1" applyBorder="1" applyAlignment="1">
      <alignment horizontal="left" vertical="center" wrapText="1"/>
    </xf>
    <xf numFmtId="49" fontId="83" fillId="4" borderId="25" xfId="3" applyNumberFormat="1" applyFont="1" applyFill="1" applyBorder="1" applyAlignment="1">
      <alignment horizontal="left" vertical="center" wrapText="1"/>
    </xf>
    <xf numFmtId="49" fontId="83" fillId="4" borderId="26" xfId="3" applyNumberFormat="1" applyFont="1" applyFill="1" applyBorder="1" applyAlignment="1">
      <alignment horizontal="left" vertical="center" wrapText="1"/>
    </xf>
    <xf numFmtId="49" fontId="83" fillId="4" borderId="27" xfId="3" applyNumberFormat="1" applyFont="1" applyFill="1" applyBorder="1" applyAlignment="1">
      <alignment horizontal="left" vertical="center" wrapText="1"/>
    </xf>
    <xf numFmtId="49" fontId="83" fillId="4" borderId="0" xfId="3" applyNumberFormat="1" applyFont="1" applyFill="1" applyAlignment="1">
      <alignment horizontal="left" vertical="center" wrapText="1"/>
    </xf>
    <xf numFmtId="49" fontId="83" fillId="4" borderId="28" xfId="3" applyNumberFormat="1" applyFont="1" applyFill="1" applyBorder="1" applyAlignment="1">
      <alignment horizontal="left" vertical="center" wrapText="1"/>
    </xf>
    <xf numFmtId="49" fontId="83" fillId="4" borderId="29" xfId="3" applyNumberFormat="1" applyFont="1" applyFill="1" applyBorder="1" applyAlignment="1">
      <alignment horizontal="left" vertical="center" wrapText="1"/>
    </xf>
    <xf numFmtId="49" fontId="83" fillId="4" borderId="30" xfId="3" applyNumberFormat="1" applyFont="1" applyFill="1" applyBorder="1" applyAlignment="1">
      <alignment horizontal="left" vertical="center" wrapText="1"/>
    </xf>
    <xf numFmtId="49" fontId="83" fillId="4" borderId="31" xfId="3" applyNumberFormat="1" applyFont="1" applyFill="1" applyBorder="1" applyAlignment="1">
      <alignment horizontal="left" vertical="center" wrapText="1"/>
    </xf>
    <xf numFmtId="0" fontId="76" fillId="0" borderId="17" xfId="0" applyFont="1" applyBorder="1" applyAlignment="1">
      <alignment horizontal="left" wrapText="1"/>
    </xf>
    <xf numFmtId="0" fontId="6" fillId="4" borderId="0" xfId="3" quotePrefix="1" applyFont="1" applyFill="1" applyAlignment="1">
      <alignment horizontal="center" vertical="center"/>
    </xf>
    <xf numFmtId="10" fontId="75" fillId="17" borderId="3" xfId="2" applyNumberFormat="1" applyFont="1" applyFill="1" applyBorder="1" applyAlignment="1">
      <alignment horizontal="center" vertical="center" wrapText="1"/>
    </xf>
    <xf numFmtId="9" fontId="75" fillId="17" borderId="3" xfId="2" applyNumberFormat="1" applyFont="1" applyFill="1" applyBorder="1" applyAlignment="1">
      <alignment horizontal="center" vertical="center"/>
    </xf>
    <xf numFmtId="49" fontId="83" fillId="3" borderId="6" xfId="3" applyNumberFormat="1" applyFont="1" applyFill="1" applyBorder="1" applyAlignment="1">
      <alignment horizontal="left" vertical="center" wrapText="1"/>
    </xf>
    <xf numFmtId="49" fontId="83" fillId="3" borderId="5" xfId="3" applyNumberFormat="1" applyFont="1" applyFill="1" applyBorder="1" applyAlignment="1">
      <alignment horizontal="left" vertical="center" wrapText="1"/>
    </xf>
    <xf numFmtId="49" fontId="83" fillId="3" borderId="4" xfId="3" applyNumberFormat="1" applyFont="1" applyFill="1" applyBorder="1" applyAlignment="1">
      <alignment horizontal="left" vertical="center" wrapText="1"/>
    </xf>
    <xf numFmtId="49" fontId="83" fillId="17" borderId="6" xfId="3" applyNumberFormat="1" applyFont="1" applyFill="1" applyBorder="1" applyAlignment="1">
      <alignment horizontal="left" vertical="center" wrapText="1"/>
    </xf>
    <xf numFmtId="49" fontId="83" fillId="17" borderId="5" xfId="3" applyNumberFormat="1" applyFont="1" applyFill="1" applyBorder="1" applyAlignment="1">
      <alignment horizontal="left" vertical="center" wrapText="1"/>
    </xf>
    <xf numFmtId="49" fontId="83" fillId="17" borderId="4" xfId="3" applyNumberFormat="1" applyFont="1" applyFill="1" applyBorder="1" applyAlignment="1">
      <alignment horizontal="left" vertical="center" wrapText="1"/>
    </xf>
    <xf numFmtId="166" fontId="75" fillId="3" borderId="3" xfId="10" applyNumberFormat="1" applyFont="1" applyFill="1" applyBorder="1" applyAlignment="1">
      <alignment horizontal="center" vertical="center"/>
    </xf>
    <xf numFmtId="0" fontId="25" fillId="37" borderId="70" xfId="7" applyFont="1" applyFill="1" applyBorder="1" applyAlignment="1">
      <alignment horizontal="left" vertical="center"/>
    </xf>
    <xf numFmtId="0" fontId="25" fillId="37" borderId="66" xfId="7" applyFont="1" applyFill="1" applyBorder="1" applyAlignment="1">
      <alignment horizontal="left" vertical="center"/>
    </xf>
    <xf numFmtId="0" fontId="103" fillId="4" borderId="24" xfId="3" applyFont="1" applyFill="1" applyBorder="1" applyAlignment="1">
      <alignment horizontal="left" vertical="center" wrapText="1"/>
    </xf>
    <xf numFmtId="0" fontId="104" fillId="4" borderId="25" xfId="3" applyFont="1" applyFill="1" applyBorder="1" applyAlignment="1">
      <alignment horizontal="left" vertical="center" wrapText="1"/>
    </xf>
    <xf numFmtId="0" fontId="104" fillId="4" borderId="26" xfId="3" applyFont="1" applyFill="1" applyBorder="1" applyAlignment="1">
      <alignment horizontal="left" vertical="center" wrapText="1"/>
    </xf>
    <xf numFmtId="0" fontId="104" fillId="4" borderId="27" xfId="3" applyFont="1" applyFill="1" applyBorder="1" applyAlignment="1">
      <alignment horizontal="left" vertical="center" wrapText="1"/>
    </xf>
    <xf numFmtId="0" fontId="104" fillId="4" borderId="0" xfId="3" applyFont="1" applyFill="1" applyAlignment="1">
      <alignment horizontal="left" vertical="center" wrapText="1"/>
    </xf>
    <xf numFmtId="0" fontId="104" fillId="4" borderId="28" xfId="3" applyFont="1" applyFill="1" applyBorder="1" applyAlignment="1">
      <alignment horizontal="left" vertical="center" wrapText="1"/>
    </xf>
    <xf numFmtId="0" fontId="104" fillId="4" borderId="29" xfId="3" applyFont="1" applyFill="1" applyBorder="1" applyAlignment="1">
      <alignment horizontal="left" vertical="center" wrapText="1"/>
    </xf>
    <xf numFmtId="0" fontId="104" fillId="4" borderId="30" xfId="3" applyFont="1" applyFill="1" applyBorder="1" applyAlignment="1">
      <alignment horizontal="left" vertical="center" wrapText="1"/>
    </xf>
    <xf numFmtId="0" fontId="104" fillId="4" borderId="31" xfId="3" applyFont="1" applyFill="1" applyBorder="1" applyAlignment="1">
      <alignment horizontal="left" vertical="center" wrapText="1"/>
    </xf>
    <xf numFmtId="9" fontId="75" fillId="3" borderId="3" xfId="2" applyNumberFormat="1" applyFont="1" applyFill="1" applyBorder="1" applyAlignment="1">
      <alignment horizontal="center" vertical="center"/>
    </xf>
    <xf numFmtId="0" fontId="74" fillId="0" borderId="6" xfId="3" applyFont="1" applyBorder="1" applyAlignment="1">
      <alignment horizontal="center" vertical="center" wrapText="1"/>
    </xf>
    <xf numFmtId="0" fontId="74" fillId="0" borderId="5" xfId="3" applyFont="1" applyBorder="1" applyAlignment="1">
      <alignment horizontal="center" vertical="center" wrapText="1"/>
    </xf>
    <xf numFmtId="0" fontId="74" fillId="0" borderId="4" xfId="3" applyFont="1" applyBorder="1" applyAlignment="1">
      <alignment horizontal="center" vertical="center" wrapText="1"/>
    </xf>
    <xf numFmtId="0" fontId="83" fillId="0" borderId="6" xfId="3" applyFont="1" applyBorder="1" applyAlignment="1">
      <alignment horizontal="left" vertical="center" wrapText="1"/>
    </xf>
    <xf numFmtId="0" fontId="83" fillId="0" borderId="5" xfId="3" applyFont="1" applyBorder="1" applyAlignment="1">
      <alignment horizontal="left" vertical="center" wrapText="1"/>
    </xf>
    <xf numFmtId="0" fontId="83" fillId="0" borderId="4" xfId="3" applyFont="1" applyBorder="1" applyAlignment="1">
      <alignment horizontal="left" vertical="center" wrapText="1"/>
    </xf>
    <xf numFmtId="174" fontId="83" fillId="0" borderId="6" xfId="3" applyNumberFormat="1" applyFont="1" applyBorder="1" applyAlignment="1">
      <alignment horizontal="center" vertical="center" wrapText="1"/>
    </xf>
    <xf numFmtId="174" fontId="83" fillId="0" borderId="5" xfId="3" applyNumberFormat="1" applyFont="1" applyBorder="1" applyAlignment="1">
      <alignment horizontal="center" vertical="center" wrapText="1"/>
    </xf>
    <xf numFmtId="174" fontId="83" fillId="0" borderId="4" xfId="3" applyNumberFormat="1" applyFont="1" applyBorder="1" applyAlignment="1">
      <alignment horizontal="center" vertical="center" wrapText="1"/>
    </xf>
    <xf numFmtId="14" fontId="83" fillId="0" borderId="6" xfId="3" applyNumberFormat="1" applyFont="1" applyBorder="1" applyAlignment="1">
      <alignment horizontal="center" vertical="center" wrapText="1"/>
    </xf>
    <xf numFmtId="14" fontId="83" fillId="0" borderId="5" xfId="3" applyNumberFormat="1" applyFont="1" applyBorder="1" applyAlignment="1">
      <alignment horizontal="center" vertical="center" wrapText="1"/>
    </xf>
    <xf numFmtId="14" fontId="83" fillId="0" borderId="4" xfId="3" applyNumberFormat="1" applyFont="1" applyBorder="1" applyAlignment="1">
      <alignment horizontal="center" vertical="center" wrapText="1"/>
    </xf>
    <xf numFmtId="0" fontId="83" fillId="3" borderId="9" xfId="3" applyFont="1" applyFill="1" applyBorder="1" applyAlignment="1">
      <alignment horizontal="left" vertical="center" wrapText="1"/>
    </xf>
    <xf numFmtId="0" fontId="83" fillId="3" borderId="8" xfId="3" applyFont="1" applyFill="1" applyBorder="1" applyAlignment="1">
      <alignment horizontal="left" vertical="center" wrapText="1"/>
    </xf>
    <xf numFmtId="0" fontId="83" fillId="3" borderId="7" xfId="3" applyFont="1" applyFill="1" applyBorder="1" applyAlignment="1">
      <alignment horizontal="left" vertical="center" wrapText="1"/>
    </xf>
    <xf numFmtId="0" fontId="25" fillId="5" borderId="6" xfId="3" applyFont="1" applyFill="1" applyBorder="1" applyAlignment="1">
      <alignment horizontal="center" vertical="center"/>
    </xf>
    <xf numFmtId="0" fontId="25" fillId="5" borderId="5" xfId="3" applyFont="1" applyFill="1" applyBorder="1" applyAlignment="1">
      <alignment horizontal="center" vertical="center"/>
    </xf>
    <xf numFmtId="0" fontId="25" fillId="5" borderId="4" xfId="3" applyFont="1" applyFill="1" applyBorder="1" applyAlignment="1">
      <alignment horizontal="center" vertical="center"/>
    </xf>
    <xf numFmtId="0" fontId="25" fillId="2" borderId="0" xfId="3" applyFont="1" applyFill="1" applyAlignment="1">
      <alignment horizontal="center" vertical="center"/>
    </xf>
    <xf numFmtId="0" fontId="25" fillId="2" borderId="0" xfId="3" applyFont="1" applyFill="1" applyAlignment="1">
      <alignment horizontal="center" vertical="center" wrapText="1"/>
    </xf>
    <xf numFmtId="166" fontId="25" fillId="2" borderId="9" xfId="4" applyFont="1" applyFill="1" applyBorder="1" applyAlignment="1">
      <alignment horizontal="center" vertical="center" wrapText="1"/>
    </xf>
    <xf numFmtId="166" fontId="25" fillId="2" borderId="8" xfId="4" applyFont="1" applyFill="1" applyBorder="1" applyAlignment="1">
      <alignment horizontal="center" vertical="center" wrapText="1"/>
    </xf>
    <xf numFmtId="166" fontId="25" fillId="2" borderId="7" xfId="4" applyFont="1" applyFill="1" applyBorder="1" applyAlignment="1">
      <alignment horizontal="center" vertical="center" wrapText="1"/>
    </xf>
    <xf numFmtId="0" fontId="83" fillId="4" borderId="24" xfId="3" applyFont="1" applyFill="1" applyBorder="1" applyAlignment="1">
      <alignment vertical="top" wrapText="1"/>
    </xf>
    <xf numFmtId="0" fontId="83" fillId="4" borderId="25" xfId="3" applyFont="1" applyFill="1" applyBorder="1" applyAlignment="1">
      <alignment vertical="top" wrapText="1"/>
    </xf>
    <xf numFmtId="0" fontId="83" fillId="4" borderId="26" xfId="3" applyFont="1" applyFill="1" applyBorder="1" applyAlignment="1">
      <alignment vertical="top" wrapText="1"/>
    </xf>
    <xf numFmtId="0" fontId="83" fillId="4" borderId="27" xfId="3" applyFont="1" applyFill="1" applyBorder="1" applyAlignment="1">
      <alignment vertical="top" wrapText="1"/>
    </xf>
    <xf numFmtId="0" fontId="83" fillId="4" borderId="0" xfId="3" applyFont="1" applyFill="1" applyAlignment="1">
      <alignment vertical="top" wrapText="1"/>
    </xf>
    <xf numFmtId="0" fontId="83" fillId="4" borderId="28" xfId="3" applyFont="1" applyFill="1" applyBorder="1" applyAlignment="1">
      <alignment vertical="top" wrapText="1"/>
    </xf>
    <xf numFmtId="0" fontId="83" fillId="4" borderId="29" xfId="3" applyFont="1" applyFill="1" applyBorder="1" applyAlignment="1">
      <alignment vertical="top" wrapText="1"/>
    </xf>
    <xf numFmtId="0" fontId="83" fillId="4" borderId="30" xfId="3" applyFont="1" applyFill="1" applyBorder="1" applyAlignment="1">
      <alignment vertical="top" wrapText="1"/>
    </xf>
    <xf numFmtId="0" fontId="83" fillId="4" borderId="31" xfId="3" applyFont="1" applyFill="1" applyBorder="1" applyAlignment="1">
      <alignment vertical="top" wrapText="1"/>
    </xf>
    <xf numFmtId="0" fontId="5" fillId="0" borderId="0" xfId="3" applyAlignment="1">
      <alignment horizontal="left" vertical="center" wrapText="1"/>
    </xf>
    <xf numFmtId="0" fontId="74" fillId="3" borderId="9" xfId="3" applyFont="1" applyFill="1" applyBorder="1" applyAlignment="1">
      <alignment horizontal="center" vertical="center" wrapText="1"/>
    </xf>
    <xf numFmtId="0" fontId="74" fillId="3" borderId="8" xfId="3" applyFont="1" applyFill="1" applyBorder="1" applyAlignment="1">
      <alignment horizontal="center" vertical="center" wrapText="1"/>
    </xf>
    <xf numFmtId="0" fontId="74" fillId="3" borderId="7" xfId="3" applyFont="1" applyFill="1" applyBorder="1" applyAlignment="1">
      <alignment horizontal="center" vertical="center" wrapText="1"/>
    </xf>
    <xf numFmtId="0" fontId="25" fillId="31" borderId="0" xfId="3" applyFont="1" applyFill="1" applyAlignment="1">
      <alignment horizontal="center" vertical="center"/>
    </xf>
    <xf numFmtId="14" fontId="83" fillId="21" borderId="6" xfId="3" applyNumberFormat="1" applyFont="1" applyFill="1" applyBorder="1" applyAlignment="1">
      <alignment horizontal="center" vertical="center" wrapText="1"/>
    </xf>
    <xf numFmtId="14" fontId="83" fillId="21" borderId="5" xfId="3" applyNumberFormat="1" applyFont="1" applyFill="1" applyBorder="1" applyAlignment="1">
      <alignment horizontal="center" vertical="center" wrapText="1"/>
    </xf>
    <xf numFmtId="14" fontId="83" fillId="21" borderId="4" xfId="3" applyNumberFormat="1" applyFont="1" applyFill="1" applyBorder="1" applyAlignment="1">
      <alignment horizontal="center" vertical="center" wrapText="1"/>
    </xf>
    <xf numFmtId="174" fontId="83" fillId="21" borderId="6" xfId="3" applyNumberFormat="1" applyFont="1" applyFill="1" applyBorder="1" applyAlignment="1">
      <alignment horizontal="center" vertical="center" wrapText="1"/>
    </xf>
    <xf numFmtId="174" fontId="83" fillId="21" borderId="5" xfId="3" applyNumberFormat="1" applyFont="1" applyFill="1" applyBorder="1" applyAlignment="1">
      <alignment horizontal="center" vertical="center" wrapText="1"/>
    </xf>
    <xf numFmtId="174" fontId="83" fillId="21" borderId="4" xfId="3" applyNumberFormat="1" applyFont="1" applyFill="1" applyBorder="1" applyAlignment="1">
      <alignment horizontal="center" vertical="center" wrapText="1"/>
    </xf>
    <xf numFmtId="49" fontId="83" fillId="3" borderId="6" xfId="3" applyNumberFormat="1" applyFont="1" applyFill="1" applyBorder="1" applyAlignment="1" applyProtection="1">
      <alignment horizontal="left" vertical="center" wrapText="1"/>
      <protection locked="0"/>
    </xf>
    <xf numFmtId="49" fontId="83" fillId="3" borderId="5" xfId="3" applyNumberFormat="1" applyFont="1" applyFill="1" applyBorder="1" applyAlignment="1" applyProtection="1">
      <alignment horizontal="left" vertical="center" wrapText="1"/>
      <protection locked="0"/>
    </xf>
    <xf numFmtId="49" fontId="83" fillId="3" borderId="4" xfId="3" applyNumberFormat="1" applyFont="1" applyFill="1" applyBorder="1" applyAlignment="1" applyProtection="1">
      <alignment horizontal="left" vertical="center" wrapText="1"/>
      <protection locked="0"/>
    </xf>
    <xf numFmtId="174" fontId="83" fillId="3" borderId="6" xfId="3" applyNumberFormat="1" applyFont="1" applyFill="1" applyBorder="1" applyAlignment="1">
      <alignment horizontal="center" vertical="center" wrapText="1"/>
    </xf>
    <xf numFmtId="174" fontId="83" fillId="3" borderId="5" xfId="3" applyNumberFormat="1" applyFont="1" applyFill="1" applyBorder="1" applyAlignment="1">
      <alignment horizontal="center" vertical="center" wrapText="1"/>
    </xf>
    <xf numFmtId="174" fontId="83" fillId="3" borderId="4" xfId="3" applyNumberFormat="1" applyFont="1" applyFill="1" applyBorder="1" applyAlignment="1">
      <alignment horizontal="center" vertical="center" wrapText="1"/>
    </xf>
    <xf numFmtId="14" fontId="83" fillId="3" borderId="6" xfId="3" applyNumberFormat="1" applyFont="1" applyFill="1" applyBorder="1" applyAlignment="1">
      <alignment horizontal="center" vertical="center" wrapText="1"/>
    </xf>
    <xf numFmtId="14" fontId="83" fillId="3" borderId="5" xfId="3" applyNumberFormat="1" applyFont="1" applyFill="1" applyBorder="1" applyAlignment="1">
      <alignment horizontal="center" vertical="center" wrapText="1"/>
    </xf>
    <xf numFmtId="14" fontId="83" fillId="3" borderId="4" xfId="3" applyNumberFormat="1" applyFont="1" applyFill="1" applyBorder="1" applyAlignment="1">
      <alignment horizontal="center" vertical="center" wrapText="1"/>
    </xf>
    <xf numFmtId="174" fontId="83" fillId="17" borderId="6" xfId="3" applyNumberFormat="1" applyFont="1" applyFill="1" applyBorder="1" applyAlignment="1">
      <alignment horizontal="center" vertical="center" wrapText="1"/>
    </xf>
    <xf numFmtId="174" fontId="83" fillId="17" borderId="5" xfId="3" applyNumberFormat="1" applyFont="1" applyFill="1" applyBorder="1" applyAlignment="1">
      <alignment horizontal="center" vertical="center" wrapText="1"/>
    </xf>
    <xf numFmtId="174" fontId="83" fillId="17" borderId="4" xfId="3" applyNumberFormat="1" applyFont="1" applyFill="1" applyBorder="1" applyAlignment="1">
      <alignment horizontal="center" vertical="center" wrapText="1"/>
    </xf>
    <xf numFmtId="14" fontId="83" fillId="3" borderId="9" xfId="3" applyNumberFormat="1" applyFont="1" applyFill="1" applyBorder="1" applyAlignment="1">
      <alignment horizontal="center" vertical="center" wrapText="1"/>
    </xf>
    <xf numFmtId="0" fontId="83" fillId="3" borderId="8" xfId="3" applyFont="1" applyFill="1" applyBorder="1" applyAlignment="1">
      <alignment horizontal="center" vertical="center" wrapText="1"/>
    </xf>
    <xf numFmtId="0" fontId="83" fillId="3" borderId="7" xfId="3" applyFont="1" applyFill="1" applyBorder="1" applyAlignment="1">
      <alignment horizontal="center" vertical="center" wrapText="1"/>
    </xf>
    <xf numFmtId="166" fontId="83" fillId="3" borderId="6" xfId="4" applyFont="1" applyFill="1" applyBorder="1" applyAlignment="1">
      <alignment horizontal="center" vertical="center" wrapText="1"/>
    </xf>
    <xf numFmtId="166" fontId="83" fillId="3" borderId="5" xfId="4" applyFont="1" applyFill="1" applyBorder="1" applyAlignment="1">
      <alignment horizontal="center" vertical="center" wrapText="1"/>
    </xf>
    <xf numFmtId="166" fontId="83" fillId="3" borderId="4" xfId="4" applyFont="1" applyFill="1" applyBorder="1" applyAlignment="1">
      <alignment horizontal="center" vertical="center" wrapText="1"/>
    </xf>
    <xf numFmtId="49" fontId="1" fillId="3" borderId="6" xfId="0" applyNumberFormat="1" applyFont="1" applyFill="1" applyBorder="1" applyAlignment="1">
      <alignment horizontal="center" vertical="center" shrinkToFit="1"/>
    </xf>
    <xf numFmtId="49" fontId="1" fillId="3" borderId="5" xfId="0" applyNumberFormat="1" applyFont="1" applyFill="1" applyBorder="1" applyAlignment="1">
      <alignment horizontal="center" vertical="center" shrinkToFit="1"/>
    </xf>
    <xf numFmtId="0" fontId="25" fillId="38" borderId="80" xfId="0" applyFont="1" applyFill="1" applyBorder="1" applyAlignment="1">
      <alignment horizontal="left"/>
    </xf>
    <xf numFmtId="0" fontId="25" fillId="38" borderId="81" xfId="0" applyFont="1" applyFill="1" applyBorder="1" applyAlignment="1">
      <alignment horizontal="left"/>
    </xf>
    <xf numFmtId="0" fontId="25" fillId="38" borderId="82" xfId="0" applyFont="1" applyFill="1" applyBorder="1" applyAlignment="1">
      <alignment horizontal="left"/>
    </xf>
    <xf numFmtId="0" fontId="25" fillId="38" borderId="44" xfId="0" applyFont="1" applyFill="1" applyBorder="1" applyAlignment="1">
      <alignment horizontal="center"/>
    </xf>
    <xf numFmtId="0" fontId="25" fillId="38" borderId="45" xfId="0" applyFont="1" applyFill="1" applyBorder="1" applyAlignment="1">
      <alignment horizontal="center"/>
    </xf>
    <xf numFmtId="0" fontId="25" fillId="38" borderId="46" xfId="0" applyFont="1" applyFill="1" applyBorder="1" applyAlignment="1">
      <alignment horizontal="center"/>
    </xf>
    <xf numFmtId="0" fontId="25" fillId="31" borderId="44" xfId="0" applyFont="1" applyFill="1" applyBorder="1" applyAlignment="1">
      <alignment horizontal="center"/>
    </xf>
    <xf numFmtId="0" fontId="25" fillId="31" borderId="45" xfId="0" applyFont="1" applyFill="1" applyBorder="1" applyAlignment="1">
      <alignment horizontal="center"/>
    </xf>
    <xf numFmtId="0" fontId="25" fillId="31" borderId="46" xfId="0" applyFont="1" applyFill="1" applyBorder="1" applyAlignment="1">
      <alignment horizontal="center"/>
    </xf>
    <xf numFmtId="0" fontId="25" fillId="12" borderId="44" xfId="0" applyFont="1" applyFill="1" applyBorder="1" applyAlignment="1">
      <alignment horizontal="center"/>
    </xf>
    <xf numFmtId="0" fontId="25" fillId="12" borderId="45" xfId="0" applyFont="1" applyFill="1" applyBorder="1" applyAlignment="1">
      <alignment horizontal="center"/>
    </xf>
    <xf numFmtId="0" fontId="25" fillId="12" borderId="46" xfId="0" applyFont="1" applyFill="1" applyBorder="1" applyAlignment="1">
      <alignment horizontal="center"/>
    </xf>
    <xf numFmtId="9" fontId="6" fillId="4" borderId="3" xfId="2" applyFont="1" applyFill="1" applyBorder="1" applyAlignment="1">
      <alignment horizontal="center" vertical="center" wrapText="1"/>
    </xf>
    <xf numFmtId="9" fontId="6" fillId="3" borderId="3" xfId="2" applyFont="1" applyFill="1" applyBorder="1" applyAlignment="1">
      <alignment horizontal="center" vertical="center" wrapText="1"/>
    </xf>
    <xf numFmtId="0" fontId="88" fillId="4" borderId="24" xfId="3" applyFont="1" applyFill="1" applyBorder="1" applyAlignment="1">
      <alignment horizontal="left" vertical="center" wrapText="1"/>
    </xf>
    <xf numFmtId="0" fontId="88" fillId="4" borderId="25" xfId="3" applyFont="1" applyFill="1" applyBorder="1" applyAlignment="1">
      <alignment horizontal="left" vertical="center" wrapText="1"/>
    </xf>
    <xf numFmtId="0" fontId="88" fillId="4" borderId="26" xfId="3" applyFont="1" applyFill="1" applyBorder="1" applyAlignment="1">
      <alignment horizontal="left" vertical="center" wrapText="1"/>
    </xf>
    <xf numFmtId="0" fontId="88" fillId="4" borderId="27" xfId="3" applyFont="1" applyFill="1" applyBorder="1" applyAlignment="1">
      <alignment horizontal="left" vertical="center" wrapText="1"/>
    </xf>
    <xf numFmtId="0" fontId="88" fillId="4" borderId="0" xfId="3" applyFont="1" applyFill="1" applyAlignment="1">
      <alignment horizontal="left" vertical="center" wrapText="1"/>
    </xf>
    <xf numFmtId="0" fontId="88" fillId="4" borderId="28" xfId="3" applyFont="1" applyFill="1" applyBorder="1" applyAlignment="1">
      <alignment horizontal="left" vertical="center" wrapText="1"/>
    </xf>
    <xf numFmtId="0" fontId="88" fillId="4" borderId="29" xfId="3" applyFont="1" applyFill="1" applyBorder="1" applyAlignment="1">
      <alignment horizontal="left" vertical="center" wrapText="1"/>
    </xf>
    <xf numFmtId="0" fontId="88" fillId="4" borderId="30" xfId="3" applyFont="1" applyFill="1" applyBorder="1" applyAlignment="1">
      <alignment horizontal="left" vertical="center" wrapText="1"/>
    </xf>
    <xf numFmtId="0" fontId="88" fillId="4" borderId="31" xfId="3" applyFont="1" applyFill="1" applyBorder="1" applyAlignment="1">
      <alignment horizontal="left" vertical="center" wrapText="1"/>
    </xf>
    <xf numFmtId="0" fontId="102" fillId="4" borderId="24" xfId="3" applyFont="1" applyFill="1" applyBorder="1" applyAlignment="1">
      <alignment horizontal="left" vertical="center" wrapText="1"/>
    </xf>
    <xf numFmtId="0" fontId="83" fillId="3" borderId="14" xfId="3" applyFont="1" applyFill="1" applyBorder="1" applyAlignment="1">
      <alignment horizontal="center" vertical="center" wrapText="1"/>
    </xf>
    <xf numFmtId="0" fontId="83" fillId="3" borderId="13" xfId="3" applyFont="1" applyFill="1" applyBorder="1" applyAlignment="1">
      <alignment horizontal="center" vertical="center" wrapText="1"/>
    </xf>
    <xf numFmtId="0" fontId="83" fillId="3" borderId="12" xfId="3" applyFont="1" applyFill="1" applyBorder="1" applyAlignment="1">
      <alignment horizontal="center" vertical="center" wrapText="1"/>
    </xf>
    <xf numFmtId="0" fontId="83" fillId="3" borderId="11" xfId="3" applyFont="1" applyFill="1" applyBorder="1" applyAlignment="1">
      <alignment horizontal="center" vertical="center" wrapText="1"/>
    </xf>
    <xf numFmtId="0" fontId="83" fillId="3" borderId="0" xfId="3" applyFont="1" applyFill="1" applyAlignment="1">
      <alignment horizontal="center" vertical="center" wrapText="1"/>
    </xf>
    <xf numFmtId="0" fontId="83" fillId="3" borderId="10" xfId="3" applyFont="1" applyFill="1" applyBorder="1" applyAlignment="1">
      <alignment horizontal="center" vertical="center" wrapText="1"/>
    </xf>
    <xf numFmtId="0" fontId="83" fillId="3" borderId="9" xfId="3" applyFont="1" applyFill="1" applyBorder="1" applyAlignment="1">
      <alignment horizontal="center" vertical="center" wrapText="1"/>
    </xf>
    <xf numFmtId="183" fontId="6" fillId="4" borderId="3" xfId="2" applyNumberFormat="1" applyFont="1" applyFill="1" applyBorder="1" applyAlignment="1">
      <alignment horizontal="center" vertical="center" wrapText="1"/>
    </xf>
    <xf numFmtId="183" fontId="75" fillId="17" borderId="3" xfId="3" applyNumberFormat="1" applyFont="1" applyFill="1" applyBorder="1" applyAlignment="1">
      <alignment horizontal="center" vertical="center"/>
    </xf>
    <xf numFmtId="9" fontId="75" fillId="17" borderId="3" xfId="3" applyNumberFormat="1" applyFont="1" applyFill="1" applyBorder="1" applyAlignment="1">
      <alignment horizontal="center" vertical="center"/>
    </xf>
    <xf numFmtId="9" fontId="75" fillId="4" borderId="6" xfId="2" applyNumberFormat="1" applyFont="1" applyFill="1" applyBorder="1" applyAlignment="1">
      <alignment horizontal="center" vertical="center"/>
    </xf>
    <xf numFmtId="9" fontId="75" fillId="4" borderId="5" xfId="2" applyNumberFormat="1" applyFont="1" applyFill="1" applyBorder="1" applyAlignment="1">
      <alignment horizontal="center" vertical="center"/>
    </xf>
    <xf numFmtId="9" fontId="75" fillId="4" borderId="4" xfId="2" applyNumberFormat="1" applyFont="1" applyFill="1" applyBorder="1" applyAlignment="1">
      <alignment horizontal="center" vertical="center"/>
    </xf>
    <xf numFmtId="164" fontId="100" fillId="11" borderId="6" xfId="15" applyNumberFormat="1" applyFont="1" applyBorder="1" applyAlignment="1">
      <alignment horizontal="center" vertical="center" wrapText="1"/>
    </xf>
    <xf numFmtId="164" fontId="100" fillId="11" borderId="5" xfId="15" applyNumberFormat="1" applyFont="1" applyBorder="1" applyAlignment="1">
      <alignment horizontal="center" vertical="center" wrapText="1"/>
    </xf>
    <xf numFmtId="164" fontId="100" fillId="11" borderId="4" xfId="15" applyNumberFormat="1" applyFont="1" applyBorder="1" applyAlignment="1">
      <alignment horizontal="center" vertical="center" wrapText="1"/>
    </xf>
    <xf numFmtId="9" fontId="6" fillId="29" borderId="3" xfId="2" applyFont="1" applyFill="1" applyBorder="1" applyAlignment="1">
      <alignment horizontal="center" vertical="center" wrapText="1"/>
    </xf>
    <xf numFmtId="9" fontId="6" fillId="4" borderId="6" xfId="2" applyFont="1" applyFill="1" applyBorder="1" applyAlignment="1">
      <alignment horizontal="center" vertical="center" wrapText="1"/>
    </xf>
    <xf numFmtId="9" fontId="6" fillId="4" borderId="5" xfId="2" applyFont="1" applyFill="1" applyBorder="1" applyAlignment="1">
      <alignment horizontal="center" vertical="center" wrapText="1"/>
    </xf>
    <xf numFmtId="9" fontId="6" fillId="4" borderId="4" xfId="2" applyFont="1" applyFill="1" applyBorder="1" applyAlignment="1">
      <alignment horizontal="center" vertical="center" wrapText="1"/>
    </xf>
    <xf numFmtId="0" fontId="25" fillId="2" borderId="44" xfId="0" applyFont="1" applyFill="1" applyBorder="1" applyAlignment="1">
      <alignment horizontal="center"/>
    </xf>
    <xf numFmtId="0" fontId="25" fillId="2" borderId="45" xfId="0" applyFont="1" applyFill="1" applyBorder="1" applyAlignment="1">
      <alignment horizontal="center"/>
    </xf>
    <xf numFmtId="0" fontId="25" fillId="2" borderId="46" xfId="0" applyFont="1" applyFill="1" applyBorder="1" applyAlignment="1">
      <alignment horizontal="center"/>
    </xf>
    <xf numFmtId="0" fontId="5" fillId="33" borderId="68" xfId="3" applyFill="1" applyBorder="1" applyAlignment="1">
      <alignment horizontal="left" vertical="top" wrapText="1"/>
    </xf>
    <xf numFmtId="0" fontId="5" fillId="33" borderId="67" xfId="3" applyFill="1" applyBorder="1" applyAlignment="1">
      <alignment horizontal="left" vertical="top" wrapText="1"/>
    </xf>
    <xf numFmtId="0" fontId="5" fillId="33" borderId="69" xfId="3" applyFill="1" applyBorder="1" applyAlignment="1">
      <alignment horizontal="left" vertical="top" wrapText="1"/>
    </xf>
    <xf numFmtId="0" fontId="5" fillId="33" borderId="18" xfId="3" applyFill="1" applyBorder="1" applyAlignment="1">
      <alignment horizontal="left" vertical="top" wrapText="1"/>
    </xf>
    <xf numFmtId="0" fontId="5" fillId="33" borderId="0" xfId="3" applyFill="1" applyAlignment="1">
      <alignment horizontal="left" vertical="top" wrapText="1"/>
    </xf>
    <xf numFmtId="0" fontId="5" fillId="33" borderId="21" xfId="3" applyFill="1" applyBorder="1" applyAlignment="1">
      <alignment horizontal="left" vertical="top" wrapText="1"/>
    </xf>
    <xf numFmtId="0" fontId="5" fillId="33" borderId="22" xfId="3" applyFill="1" applyBorder="1" applyAlignment="1">
      <alignment horizontal="left" vertical="top" wrapText="1"/>
    </xf>
    <xf numFmtId="0" fontId="5" fillId="33" borderId="1" xfId="3" applyFill="1" applyBorder="1" applyAlignment="1">
      <alignment horizontal="left" vertical="top" wrapText="1"/>
    </xf>
    <xf numFmtId="0" fontId="5" fillId="33" borderId="23" xfId="3" applyFill="1" applyBorder="1" applyAlignment="1">
      <alignment horizontal="left" vertical="top" wrapText="1"/>
    </xf>
    <xf numFmtId="0" fontId="25" fillId="31" borderId="14" xfId="3" applyFont="1" applyFill="1" applyBorder="1" applyAlignment="1">
      <alignment horizontal="center" vertical="center"/>
    </xf>
    <xf numFmtId="0" fontId="25" fillId="31" borderId="13" xfId="3" applyFont="1" applyFill="1" applyBorder="1" applyAlignment="1">
      <alignment horizontal="center" vertical="center"/>
    </xf>
    <xf numFmtId="0" fontId="25" fillId="31" borderId="12" xfId="3" applyFont="1" applyFill="1" applyBorder="1" applyAlignment="1">
      <alignment horizontal="center" vertical="center"/>
    </xf>
    <xf numFmtId="0" fontId="25" fillId="31" borderId="9" xfId="3" applyFont="1" applyFill="1" applyBorder="1" applyAlignment="1">
      <alignment horizontal="center" vertical="center"/>
    </xf>
    <xf numFmtId="0" fontId="25" fillId="31" borderId="8" xfId="3" applyFont="1" applyFill="1" applyBorder="1" applyAlignment="1">
      <alignment horizontal="center" vertical="center"/>
    </xf>
    <xf numFmtId="0" fontId="25" fillId="31" borderId="7" xfId="3" applyFont="1" applyFill="1" applyBorder="1" applyAlignment="1">
      <alignment horizontal="center" vertical="center"/>
    </xf>
    <xf numFmtId="0" fontId="25" fillId="31" borderId="3" xfId="3" applyFont="1" applyFill="1" applyBorder="1" applyAlignment="1">
      <alignment horizontal="center" vertical="center"/>
    </xf>
    <xf numFmtId="0" fontId="25" fillId="31" borderId="3" xfId="3" applyFont="1" applyFill="1" applyBorder="1" applyAlignment="1">
      <alignment horizontal="center" vertical="center" wrapText="1"/>
    </xf>
    <xf numFmtId="183" fontId="75" fillId="4" borderId="3" xfId="3" applyNumberFormat="1" applyFont="1" applyFill="1" applyBorder="1" applyAlignment="1">
      <alignment horizontal="center" vertical="center"/>
    </xf>
    <xf numFmtId="0" fontId="25" fillId="38" borderId="3" xfId="3" applyFont="1" applyFill="1" applyBorder="1" applyAlignment="1">
      <alignment horizontal="center" vertical="center" wrapText="1"/>
    </xf>
    <xf numFmtId="1" fontId="6" fillId="3" borderId="3" xfId="2" applyNumberFormat="1" applyFont="1" applyFill="1" applyBorder="1" applyAlignment="1">
      <alignment horizontal="center" vertical="center" wrapText="1"/>
    </xf>
    <xf numFmtId="1" fontId="75" fillId="4" borderId="3" xfId="3" applyNumberFormat="1" applyFont="1" applyFill="1" applyBorder="1" applyAlignment="1">
      <alignment horizontal="center" vertical="center"/>
    </xf>
    <xf numFmtId="0" fontId="5" fillId="6" borderId="0" xfId="3" applyFill="1" applyAlignment="1">
      <alignment horizontal="left" vertical="top" wrapText="1"/>
    </xf>
    <xf numFmtId="0" fontId="25" fillId="38" borderId="3" xfId="3" applyFont="1" applyFill="1" applyBorder="1" applyAlignment="1">
      <alignment horizontal="center" vertical="center"/>
    </xf>
    <xf numFmtId="0" fontId="25" fillId="38" borderId="14" xfId="3" applyFont="1" applyFill="1" applyBorder="1" applyAlignment="1">
      <alignment horizontal="center" vertical="center"/>
    </xf>
    <xf numFmtId="0" fontId="25" fillId="38" borderId="13" xfId="3" applyFont="1" applyFill="1" applyBorder="1" applyAlignment="1">
      <alignment horizontal="center" vertical="center"/>
    </xf>
    <xf numFmtId="0" fontId="25" fillId="38" borderId="12" xfId="3" applyFont="1" applyFill="1" applyBorder="1" applyAlignment="1">
      <alignment horizontal="center" vertical="center"/>
    </xf>
    <xf numFmtId="0" fontId="25" fillId="38" borderId="9" xfId="3" applyFont="1" applyFill="1" applyBorder="1" applyAlignment="1">
      <alignment horizontal="center" vertical="center"/>
    </xf>
    <xf numFmtId="0" fontId="25" fillId="38" borderId="8" xfId="3" applyFont="1" applyFill="1" applyBorder="1" applyAlignment="1">
      <alignment horizontal="center" vertical="center"/>
    </xf>
    <xf numFmtId="0" fontId="25" fillId="38" borderId="7" xfId="3" applyFont="1" applyFill="1" applyBorder="1" applyAlignment="1">
      <alignment horizontal="center" vertical="center"/>
    </xf>
    <xf numFmtId="164" fontId="75" fillId="6" borderId="6" xfId="2" applyNumberFormat="1" applyFont="1" applyFill="1" applyBorder="1" applyAlignment="1">
      <alignment horizontal="center" vertical="center"/>
    </xf>
    <xf numFmtId="164" fontId="75" fillId="6" borderId="5" xfId="2" applyNumberFormat="1" applyFont="1" applyFill="1" applyBorder="1" applyAlignment="1">
      <alignment horizontal="center" vertical="center"/>
    </xf>
    <xf numFmtId="164" fontId="75" fillId="6" borderId="4" xfId="2" applyNumberFormat="1" applyFont="1" applyFill="1" applyBorder="1" applyAlignment="1">
      <alignment horizontal="center" vertical="center"/>
    </xf>
    <xf numFmtId="171" fontId="6" fillId="4" borderId="3" xfId="2" applyNumberFormat="1" applyFont="1" applyFill="1" applyBorder="1" applyAlignment="1">
      <alignment horizontal="center" vertical="center" wrapText="1"/>
    </xf>
    <xf numFmtId="0" fontId="83" fillId="4" borderId="24" xfId="3" applyFont="1" applyFill="1" applyBorder="1" applyAlignment="1">
      <alignment horizontal="left" vertical="center" wrapText="1" indent="1"/>
    </xf>
    <xf numFmtId="0" fontId="88" fillId="4" borderId="25" xfId="3" applyFont="1" applyFill="1" applyBorder="1" applyAlignment="1">
      <alignment horizontal="left" vertical="center" wrapText="1" indent="1"/>
    </xf>
    <xf numFmtId="0" fontId="88" fillId="4" borderId="26" xfId="3" applyFont="1" applyFill="1" applyBorder="1" applyAlignment="1">
      <alignment horizontal="left" vertical="center" wrapText="1" indent="1"/>
    </xf>
    <xf numFmtId="0" fontId="88" fillId="4" borderId="27" xfId="3" applyFont="1" applyFill="1" applyBorder="1" applyAlignment="1">
      <alignment horizontal="left" vertical="center" wrapText="1" indent="1"/>
    </xf>
    <xf numFmtId="0" fontId="88" fillId="4" borderId="0" xfId="3" applyFont="1" applyFill="1" applyAlignment="1">
      <alignment horizontal="left" vertical="center" wrapText="1" indent="1"/>
    </xf>
    <xf numFmtId="0" fontId="88" fillId="4" borderId="28" xfId="3" applyFont="1" applyFill="1" applyBorder="1" applyAlignment="1">
      <alignment horizontal="left" vertical="center" wrapText="1" indent="1"/>
    </xf>
    <xf numFmtId="0" fontId="88" fillId="4" borderId="29" xfId="3" applyFont="1" applyFill="1" applyBorder="1" applyAlignment="1">
      <alignment horizontal="left" vertical="center" wrapText="1" indent="1"/>
    </xf>
    <xf numFmtId="0" fontId="88" fillId="4" borderId="30" xfId="3" applyFont="1" applyFill="1" applyBorder="1" applyAlignment="1">
      <alignment horizontal="left" vertical="center" wrapText="1" indent="1"/>
    </xf>
    <xf numFmtId="0" fontId="88" fillId="4" borderId="31" xfId="3" applyFont="1" applyFill="1" applyBorder="1" applyAlignment="1">
      <alignment horizontal="left" vertical="center" wrapText="1" indent="1"/>
    </xf>
    <xf numFmtId="171" fontId="75" fillId="4" borderId="3" xfId="3" applyNumberFormat="1" applyFont="1" applyFill="1" applyBorder="1" applyAlignment="1">
      <alignment horizontal="center" vertical="center"/>
    </xf>
    <xf numFmtId="10" fontId="75" fillId="6" borderId="3" xfId="3" applyNumberFormat="1" applyFont="1" applyFill="1" applyBorder="1" applyAlignment="1">
      <alignment horizontal="center" vertical="center"/>
    </xf>
    <xf numFmtId="0" fontId="3" fillId="3" borderId="44" xfId="0" applyFont="1" applyFill="1" applyBorder="1" applyAlignment="1">
      <alignment horizontal="center"/>
    </xf>
    <xf numFmtId="0" fontId="3" fillId="3" borderId="45" xfId="0" applyFont="1" applyFill="1" applyBorder="1" applyAlignment="1">
      <alignment horizontal="center"/>
    </xf>
    <xf numFmtId="0" fontId="3" fillId="3" borderId="46" xfId="0" applyFont="1" applyFill="1" applyBorder="1" applyAlignment="1">
      <alignment horizontal="center"/>
    </xf>
    <xf numFmtId="0" fontId="3" fillId="0" borderId="0" xfId="0" applyFont="1" applyAlignment="1">
      <alignment horizontal="center"/>
    </xf>
    <xf numFmtId="0" fontId="38" fillId="6" borderId="0" xfId="3" applyFont="1" applyFill="1" applyAlignment="1">
      <alignment horizontal="center" vertical="center"/>
    </xf>
    <xf numFmtId="0" fontId="12" fillId="6" borderId="0" xfId="9" applyFont="1" applyFill="1" applyAlignment="1">
      <alignment horizontal="center" vertical="center"/>
    </xf>
    <xf numFmtId="167" fontId="20" fillId="8" borderId="0" xfId="8" applyNumberFormat="1" applyFont="1" applyFill="1" applyBorder="1" applyAlignment="1">
      <alignment horizontal="center" vertical="center"/>
    </xf>
    <xf numFmtId="0" fontId="20" fillId="3" borderId="70" xfId="7" applyFont="1" applyFill="1" applyBorder="1" applyAlignment="1">
      <alignment horizontal="left" vertical="center"/>
    </xf>
    <xf numFmtId="0" fontId="20" fillId="3" borderId="66" xfId="7" applyFont="1" applyFill="1" applyBorder="1" applyAlignment="1">
      <alignment horizontal="left" vertical="center"/>
    </xf>
    <xf numFmtId="0" fontId="15" fillId="5" borderId="3" xfId="3" applyFont="1" applyFill="1" applyBorder="1" applyAlignment="1">
      <alignment horizontal="center" vertical="center"/>
    </xf>
    <xf numFmtId="0" fontId="15" fillId="5" borderId="3" xfId="3" applyFont="1" applyFill="1" applyBorder="1" applyAlignment="1">
      <alignment horizontal="center" vertical="center" wrapText="1"/>
    </xf>
    <xf numFmtId="0" fontId="15" fillId="5" borderId="14" xfId="3" applyFont="1" applyFill="1" applyBorder="1" applyAlignment="1">
      <alignment horizontal="center" vertical="center"/>
    </xf>
    <xf numFmtId="0" fontId="15" fillId="5" borderId="13" xfId="3" applyFont="1" applyFill="1" applyBorder="1" applyAlignment="1">
      <alignment horizontal="center" vertical="center"/>
    </xf>
    <xf numFmtId="0" fontId="15" fillId="5" borderId="12" xfId="3" applyFont="1" applyFill="1" applyBorder="1" applyAlignment="1">
      <alignment horizontal="center" vertical="center"/>
    </xf>
    <xf numFmtId="0" fontId="15" fillId="5" borderId="11" xfId="3" applyFont="1" applyFill="1" applyBorder="1" applyAlignment="1">
      <alignment horizontal="center" vertical="center"/>
    </xf>
    <xf numFmtId="0" fontId="15" fillId="5" borderId="0" xfId="3" applyFont="1" applyFill="1" applyAlignment="1">
      <alignment horizontal="center" vertical="center"/>
    </xf>
    <xf numFmtId="0" fontId="15" fillId="5" borderId="10" xfId="3" applyFont="1" applyFill="1" applyBorder="1" applyAlignment="1">
      <alignment horizontal="center" vertical="center"/>
    </xf>
    <xf numFmtId="0" fontId="15" fillId="5" borderId="9" xfId="3" applyFont="1" applyFill="1" applyBorder="1" applyAlignment="1">
      <alignment horizontal="center" vertical="center"/>
    </xf>
    <xf numFmtId="0" fontId="15" fillId="5" borderId="8" xfId="3" applyFont="1" applyFill="1" applyBorder="1" applyAlignment="1">
      <alignment horizontal="center" vertical="center"/>
    </xf>
    <xf numFmtId="0" fontId="15" fillId="5" borderId="7" xfId="3" applyFont="1" applyFill="1" applyBorder="1" applyAlignment="1">
      <alignment horizontal="center" vertical="center"/>
    </xf>
    <xf numFmtId="0" fontId="39" fillId="4" borderId="24" xfId="3" applyFont="1" applyFill="1" applyBorder="1" applyAlignment="1">
      <alignment horizontal="left" vertical="center" wrapText="1"/>
    </xf>
    <xf numFmtId="0" fontId="39" fillId="4" borderId="25" xfId="3" applyFont="1" applyFill="1" applyBorder="1" applyAlignment="1">
      <alignment horizontal="left" vertical="center" wrapText="1"/>
    </xf>
    <xf numFmtId="0" fontId="39" fillId="4" borderId="26" xfId="3" applyFont="1" applyFill="1" applyBorder="1" applyAlignment="1">
      <alignment horizontal="left" vertical="center" wrapText="1"/>
    </xf>
    <xf numFmtId="0" fontId="39" fillId="4" borderId="27" xfId="3" applyFont="1" applyFill="1" applyBorder="1" applyAlignment="1">
      <alignment horizontal="left" vertical="center" wrapText="1"/>
    </xf>
    <xf numFmtId="0" fontId="39" fillId="4" borderId="0" xfId="3" applyFont="1" applyFill="1" applyAlignment="1">
      <alignment horizontal="left" vertical="center" wrapText="1"/>
    </xf>
    <xf numFmtId="0" fontId="39" fillId="4" borderId="28" xfId="3" applyFont="1" applyFill="1" applyBorder="1" applyAlignment="1">
      <alignment horizontal="left" vertical="center" wrapText="1"/>
    </xf>
    <xf numFmtId="0" fontId="39" fillId="4" borderId="29" xfId="3" applyFont="1" applyFill="1" applyBorder="1" applyAlignment="1">
      <alignment horizontal="left" vertical="center" wrapText="1"/>
    </xf>
    <xf numFmtId="0" fontId="39" fillId="4" borderId="30" xfId="3" applyFont="1" applyFill="1" applyBorder="1" applyAlignment="1">
      <alignment horizontal="left" vertical="center" wrapText="1"/>
    </xf>
    <xf numFmtId="0" fontId="39" fillId="4" borderId="31" xfId="3" applyFont="1" applyFill="1" applyBorder="1" applyAlignment="1">
      <alignment horizontal="left" vertical="center" wrapText="1"/>
    </xf>
    <xf numFmtId="0" fontId="17" fillId="4" borderId="0" xfId="3" applyFont="1" applyFill="1" applyAlignment="1">
      <alignment horizontal="center" vertical="center"/>
    </xf>
    <xf numFmtId="2" fontId="17" fillId="3" borderId="3" xfId="2" applyNumberFormat="1" applyFont="1" applyFill="1" applyBorder="1" applyAlignment="1">
      <alignment horizontal="center" vertical="center" wrapText="1"/>
    </xf>
    <xf numFmtId="0" fontId="0" fillId="0" borderId="46" xfId="0" applyBorder="1" applyAlignment="1">
      <alignment horizontal="center"/>
    </xf>
    <xf numFmtId="0" fontId="45" fillId="0" borderId="68" xfId="3" applyFont="1" applyBorder="1" applyAlignment="1">
      <alignment horizontal="center" vertical="center"/>
    </xf>
    <xf numFmtId="0" fontId="0" fillId="0" borderId="67" xfId="0" applyBorder="1" applyAlignment="1">
      <alignment vertical="center"/>
    </xf>
    <xf numFmtId="0" fontId="0" fillId="0" borderId="69" xfId="0" applyBorder="1" applyAlignment="1">
      <alignment vertical="center"/>
    </xf>
    <xf numFmtId="0" fontId="2" fillId="2" borderId="0" xfId="0" applyFont="1" applyFill="1" applyAlignment="1">
      <alignment horizontal="center"/>
    </xf>
    <xf numFmtId="0" fontId="0" fillId="0" borderId="17" xfId="0" applyBorder="1" applyAlignment="1">
      <alignment horizontal="left"/>
    </xf>
    <xf numFmtId="0" fontId="0" fillId="0" borderId="16" xfId="0" applyBorder="1" applyAlignment="1">
      <alignment horizontal="left"/>
    </xf>
    <xf numFmtId="0" fontId="0" fillId="0" borderId="50" xfId="0" applyBorder="1" applyAlignment="1">
      <alignment horizontal="left"/>
    </xf>
    <xf numFmtId="165" fontId="21" fillId="0" borderId="0" xfId="5" applyNumberFormat="1" applyFont="1" applyBorder="1" applyAlignment="1">
      <alignment horizontal="left" vertical="center"/>
    </xf>
    <xf numFmtId="172" fontId="0" fillId="0" borderId="0" xfId="10" applyNumberFormat="1" applyFont="1" applyAlignment="1">
      <alignment horizontal="center" vertical="center"/>
    </xf>
    <xf numFmtId="0" fontId="0" fillId="0" borderId="0" xfId="0" applyAlignment="1">
      <alignment horizontal="center" vertical="center"/>
    </xf>
    <xf numFmtId="0" fontId="15" fillId="6" borderId="0" xfId="3" applyFont="1" applyFill="1" applyAlignment="1">
      <alignment horizontal="center" vertical="center"/>
    </xf>
    <xf numFmtId="172" fontId="0" fillId="0" borderId="15" xfId="10" applyNumberFormat="1" applyFont="1" applyBorder="1" applyAlignment="1">
      <alignment horizontal="center" vertical="center"/>
    </xf>
    <xf numFmtId="0" fontId="15" fillId="2" borderId="9" xfId="3" applyFont="1" applyFill="1" applyBorder="1" applyAlignment="1">
      <alignment horizontal="center" vertical="center" wrapText="1"/>
    </xf>
    <xf numFmtId="0" fontId="15" fillId="2" borderId="8" xfId="3" applyFont="1" applyFill="1" applyBorder="1" applyAlignment="1">
      <alignment horizontal="center" vertical="center" wrapText="1"/>
    </xf>
    <xf numFmtId="0" fontId="15" fillId="2" borderId="7" xfId="3" applyFont="1" applyFill="1" applyBorder="1" applyAlignment="1">
      <alignment horizontal="center" vertical="center" wrapText="1"/>
    </xf>
    <xf numFmtId="0" fontId="15" fillId="2" borderId="6" xfId="3" applyFont="1" applyFill="1" applyBorder="1" applyAlignment="1">
      <alignment horizontal="center" vertical="center"/>
    </xf>
    <xf numFmtId="0" fontId="15" fillId="2" borderId="5" xfId="3" applyFont="1" applyFill="1" applyBorder="1" applyAlignment="1">
      <alignment horizontal="center" vertical="center"/>
    </xf>
    <xf numFmtId="0" fontId="15" fillId="2" borderId="4" xfId="3" applyFont="1" applyFill="1" applyBorder="1" applyAlignment="1">
      <alignment horizontal="center" vertical="center"/>
    </xf>
    <xf numFmtId="2" fontId="65" fillId="17" borderId="3" xfId="3" applyNumberFormat="1" applyFont="1" applyFill="1" applyBorder="1" applyAlignment="1">
      <alignment horizontal="center" vertical="center"/>
    </xf>
    <xf numFmtId="0" fontId="22" fillId="4" borderId="3" xfId="3" applyFont="1" applyFill="1" applyBorder="1" applyAlignment="1">
      <alignment horizontal="center" vertical="center" wrapText="1"/>
    </xf>
    <xf numFmtId="0" fontId="22" fillId="4" borderId="3" xfId="3" applyFont="1" applyFill="1" applyBorder="1" applyAlignment="1">
      <alignment horizontal="center" vertical="center"/>
    </xf>
    <xf numFmtId="0" fontId="39" fillId="3" borderId="6" xfId="3" applyFont="1" applyFill="1" applyBorder="1" applyAlignment="1">
      <alignment horizontal="left" vertical="center" wrapText="1"/>
    </xf>
    <xf numFmtId="0" fontId="39" fillId="3" borderId="5" xfId="3" applyFont="1" applyFill="1" applyBorder="1" applyAlignment="1">
      <alignment horizontal="left" vertical="center" wrapText="1"/>
    </xf>
    <xf numFmtId="0" fontId="39" fillId="3" borderId="4" xfId="3" applyFont="1" applyFill="1" applyBorder="1" applyAlignment="1">
      <alignment horizontal="left" vertical="center" wrapText="1"/>
    </xf>
    <xf numFmtId="0" fontId="10" fillId="0" borderId="3" xfId="3" applyFont="1" applyBorder="1" applyAlignment="1">
      <alignment horizontal="center" vertical="center"/>
    </xf>
    <xf numFmtId="49" fontId="0" fillId="3" borderId="6" xfId="0" applyNumberFormat="1" applyFill="1" applyBorder="1" applyAlignment="1">
      <alignment horizontal="center" vertical="center" shrinkToFit="1"/>
    </xf>
    <xf numFmtId="49" fontId="0" fillId="3" borderId="5" xfId="0" applyNumberFormat="1" applyFill="1" applyBorder="1" applyAlignment="1">
      <alignment horizontal="center" vertical="center" shrinkToFit="1"/>
    </xf>
    <xf numFmtId="166" fontId="15" fillId="2" borderId="9" xfId="4" applyFont="1" applyFill="1" applyBorder="1" applyAlignment="1">
      <alignment horizontal="center" vertical="center" wrapText="1"/>
    </xf>
    <xf numFmtId="166" fontId="15" fillId="2" borderId="8" xfId="4" applyFont="1" applyFill="1" applyBorder="1" applyAlignment="1">
      <alignment horizontal="center" vertical="center" wrapText="1"/>
    </xf>
    <xf numFmtId="166" fontId="15" fillId="2" borderId="7" xfId="4" applyFont="1" applyFill="1" applyBorder="1" applyAlignment="1">
      <alignment horizontal="center" vertical="center" wrapText="1"/>
    </xf>
    <xf numFmtId="0" fontId="22" fillId="0" borderId="3" xfId="3" applyFont="1" applyBorder="1" applyAlignment="1">
      <alignment horizontal="center" vertical="center"/>
    </xf>
    <xf numFmtId="0" fontId="15" fillId="2" borderId="9" xfId="3" applyFont="1" applyFill="1" applyBorder="1" applyAlignment="1">
      <alignment horizontal="center" vertical="center"/>
    </xf>
    <xf numFmtId="0" fontId="15" fillId="2" borderId="8" xfId="3" applyFont="1" applyFill="1" applyBorder="1" applyAlignment="1">
      <alignment horizontal="center" vertical="center"/>
    </xf>
    <xf numFmtId="0" fontId="15" fillId="2" borderId="7" xfId="3" applyFont="1" applyFill="1" applyBorder="1" applyAlignment="1">
      <alignment horizontal="center" vertical="center"/>
    </xf>
    <xf numFmtId="0" fontId="17" fillId="0" borderId="3" xfId="3" applyFont="1" applyBorder="1" applyAlignment="1">
      <alignment horizontal="center" vertical="center" wrapText="1"/>
    </xf>
    <xf numFmtId="0" fontId="22" fillId="3" borderId="9" xfId="3" applyFont="1" applyFill="1" applyBorder="1" applyAlignment="1">
      <alignment horizontal="center" vertical="center" wrapText="1"/>
    </xf>
    <xf numFmtId="0" fontId="22" fillId="3" borderId="8" xfId="3" applyFont="1" applyFill="1" applyBorder="1" applyAlignment="1">
      <alignment horizontal="center" vertical="center" wrapText="1"/>
    </xf>
    <xf numFmtId="0" fontId="22" fillId="3" borderId="7" xfId="3" applyFont="1" applyFill="1" applyBorder="1" applyAlignment="1">
      <alignment horizontal="center" vertical="center" wrapText="1"/>
    </xf>
    <xf numFmtId="166" fontId="39" fillId="3" borderId="6" xfId="4" applyFont="1" applyFill="1" applyBorder="1" applyAlignment="1">
      <alignment horizontal="center" vertical="center" wrapText="1"/>
    </xf>
    <xf numFmtId="166" fontId="39" fillId="3" borderId="5" xfId="4" applyFont="1" applyFill="1" applyBorder="1" applyAlignment="1">
      <alignment horizontal="center" vertical="center" wrapText="1"/>
    </xf>
    <xf numFmtId="166" fontId="39" fillId="3" borderId="4" xfId="4" applyFont="1" applyFill="1" applyBorder="1" applyAlignment="1">
      <alignment horizontal="center" vertical="center" wrapText="1"/>
    </xf>
    <xf numFmtId="0" fontId="39" fillId="3" borderId="9" xfId="3" applyFont="1" applyFill="1" applyBorder="1" applyAlignment="1">
      <alignment horizontal="left" vertical="center" wrapText="1"/>
    </xf>
    <xf numFmtId="0" fontId="39" fillId="3" borderId="8" xfId="3" applyFont="1" applyFill="1" applyBorder="1" applyAlignment="1">
      <alignment horizontal="left" vertical="center" wrapText="1"/>
    </xf>
    <xf numFmtId="0" fontId="39" fillId="3" borderId="7" xfId="3" applyFont="1" applyFill="1" applyBorder="1" applyAlignment="1">
      <alignment horizontal="left" vertical="center" wrapText="1"/>
    </xf>
    <xf numFmtId="15" fontId="39" fillId="3" borderId="9" xfId="3" applyNumberFormat="1" applyFont="1" applyFill="1" applyBorder="1" applyAlignment="1">
      <alignment horizontal="center" vertical="center" wrapText="1"/>
    </xf>
    <xf numFmtId="0" fontId="39" fillId="3" borderId="8" xfId="3" applyFont="1" applyFill="1" applyBorder="1" applyAlignment="1">
      <alignment horizontal="center" vertical="center" wrapText="1"/>
    </xf>
    <xf numFmtId="0" fontId="39" fillId="3" borderId="7" xfId="3" applyFont="1" applyFill="1" applyBorder="1" applyAlignment="1">
      <alignment horizontal="center" vertical="center" wrapText="1"/>
    </xf>
    <xf numFmtId="0" fontId="15" fillId="5" borderId="6" xfId="3" applyFont="1" applyFill="1" applyBorder="1" applyAlignment="1">
      <alignment horizontal="center" vertical="center"/>
    </xf>
    <xf numFmtId="0" fontId="15" fillId="5" borderId="5" xfId="3" applyFont="1" applyFill="1" applyBorder="1" applyAlignment="1">
      <alignment horizontal="center" vertical="center"/>
    </xf>
    <xf numFmtId="0" fontId="15" fillId="5" borderId="4" xfId="3" applyFont="1" applyFill="1" applyBorder="1" applyAlignment="1">
      <alignment horizontal="center" vertical="center"/>
    </xf>
    <xf numFmtId="0" fontId="39" fillId="3" borderId="6" xfId="3" applyFont="1" applyFill="1" applyBorder="1" applyAlignment="1">
      <alignment horizontal="center" vertical="center" wrapText="1"/>
    </xf>
    <xf numFmtId="0" fontId="39" fillId="3" borderId="5" xfId="3" applyFont="1" applyFill="1" applyBorder="1" applyAlignment="1">
      <alignment horizontal="center" vertical="center" wrapText="1"/>
    </xf>
    <xf numFmtId="0" fontId="39" fillId="3" borderId="4" xfId="3" applyFont="1" applyFill="1" applyBorder="1" applyAlignment="1">
      <alignment horizontal="center" vertical="center" wrapText="1"/>
    </xf>
    <xf numFmtId="174" fontId="39" fillId="3" borderId="9" xfId="3" applyNumberFormat="1" applyFont="1" applyFill="1" applyBorder="1" applyAlignment="1">
      <alignment horizontal="center" vertical="center" wrapText="1"/>
    </xf>
    <xf numFmtId="174" fontId="39" fillId="3" borderId="8" xfId="3" applyNumberFormat="1" applyFont="1" applyFill="1" applyBorder="1" applyAlignment="1">
      <alignment horizontal="center" vertical="center" wrapText="1"/>
    </xf>
    <xf numFmtId="174" fontId="39" fillId="3" borderId="7" xfId="3" applyNumberFormat="1" applyFont="1" applyFill="1" applyBorder="1" applyAlignment="1">
      <alignment horizontal="center" vertical="center" wrapText="1"/>
    </xf>
    <xf numFmtId="0" fontId="22" fillId="4" borderId="6" xfId="3" applyFont="1" applyFill="1" applyBorder="1" applyAlignment="1">
      <alignment horizontal="center" vertical="center" wrapText="1"/>
    </xf>
    <xf numFmtId="0" fontId="22" fillId="4" borderId="5" xfId="3" applyFont="1" applyFill="1" applyBorder="1" applyAlignment="1">
      <alignment horizontal="center" vertical="center" wrapText="1"/>
    </xf>
    <xf numFmtId="0" fontId="22" fillId="4" borderId="4" xfId="3" applyFont="1" applyFill="1" applyBorder="1" applyAlignment="1">
      <alignment horizontal="center" vertical="center" wrapText="1"/>
    </xf>
    <xf numFmtId="0" fontId="22" fillId="3" borderId="6" xfId="3" applyFont="1" applyFill="1" applyBorder="1" applyAlignment="1">
      <alignment horizontal="center" vertical="center" wrapText="1"/>
    </xf>
    <xf numFmtId="0" fontId="22" fillId="3" borderId="5" xfId="3" applyFont="1" applyFill="1" applyBorder="1" applyAlignment="1">
      <alignment horizontal="center" vertical="center" wrapText="1"/>
    </xf>
    <xf numFmtId="0" fontId="22" fillId="3" borderId="4" xfId="3" applyFont="1" applyFill="1" applyBorder="1" applyAlignment="1">
      <alignment horizontal="center" vertical="center" wrapText="1"/>
    </xf>
    <xf numFmtId="0" fontId="39" fillId="4" borderId="6" xfId="3" applyFont="1" applyFill="1" applyBorder="1" applyAlignment="1">
      <alignment horizontal="left" vertical="center" wrapText="1"/>
    </xf>
    <xf numFmtId="0" fontId="39" fillId="4" borderId="5" xfId="3" applyFont="1" applyFill="1" applyBorder="1" applyAlignment="1">
      <alignment horizontal="left" vertical="center" wrapText="1"/>
    </xf>
    <xf numFmtId="0" fontId="39" fillId="4" borderId="4" xfId="3" applyFont="1" applyFill="1" applyBorder="1" applyAlignment="1">
      <alignment horizontal="left" vertical="center" wrapText="1"/>
    </xf>
    <xf numFmtId="174" fontId="39" fillId="3" borderId="6" xfId="3" applyNumberFormat="1" applyFont="1" applyFill="1" applyBorder="1" applyAlignment="1">
      <alignment horizontal="center" vertical="center" wrapText="1"/>
    </xf>
    <xf numFmtId="174" fontId="39" fillId="3" borderId="5" xfId="3" applyNumberFormat="1" applyFont="1" applyFill="1" applyBorder="1" applyAlignment="1">
      <alignment horizontal="center" vertical="center" wrapText="1"/>
    </xf>
    <xf numFmtId="174" fontId="39" fillId="3" borderId="4" xfId="3" applyNumberFormat="1" applyFont="1" applyFill="1" applyBorder="1" applyAlignment="1">
      <alignment horizontal="center" vertical="center" wrapText="1"/>
    </xf>
    <xf numFmtId="14" fontId="39" fillId="3" borderId="6" xfId="3" applyNumberFormat="1" applyFont="1" applyFill="1" applyBorder="1" applyAlignment="1">
      <alignment horizontal="center" vertical="center" wrapText="1"/>
    </xf>
    <xf numFmtId="14" fontId="39" fillId="3" borderId="5" xfId="3" applyNumberFormat="1" applyFont="1" applyFill="1" applyBorder="1" applyAlignment="1">
      <alignment horizontal="center" vertical="center" wrapText="1"/>
    </xf>
    <xf numFmtId="14" fontId="39" fillId="3" borderId="4" xfId="3" applyNumberFormat="1" applyFont="1" applyFill="1" applyBorder="1" applyAlignment="1">
      <alignment horizontal="center" vertical="center" wrapText="1"/>
    </xf>
    <xf numFmtId="174" fontId="39" fillId="4" borderId="6" xfId="3" applyNumberFormat="1" applyFont="1" applyFill="1" applyBorder="1" applyAlignment="1">
      <alignment horizontal="center" vertical="center" wrapText="1"/>
    </xf>
    <xf numFmtId="174" fontId="39" fillId="4" borderId="5" xfId="3" applyNumberFormat="1" applyFont="1" applyFill="1" applyBorder="1" applyAlignment="1">
      <alignment horizontal="center" vertical="center" wrapText="1"/>
    </xf>
    <xf numFmtId="174" fontId="39" fillId="4" borderId="4" xfId="3" applyNumberFormat="1" applyFont="1" applyFill="1" applyBorder="1" applyAlignment="1">
      <alignment horizontal="center" vertical="center" wrapText="1"/>
    </xf>
    <xf numFmtId="14" fontId="39" fillId="4" borderId="6" xfId="3" applyNumberFormat="1" applyFont="1" applyFill="1" applyBorder="1" applyAlignment="1">
      <alignment horizontal="center" vertical="center" wrapText="1"/>
    </xf>
    <xf numFmtId="14" fontId="39" fillId="4" borderId="5" xfId="3" applyNumberFormat="1" applyFont="1" applyFill="1" applyBorder="1" applyAlignment="1">
      <alignment horizontal="center" vertical="center" wrapText="1"/>
    </xf>
    <xf numFmtId="14" fontId="39" fillId="4" borderId="4" xfId="3" applyNumberFormat="1" applyFont="1" applyFill="1" applyBorder="1" applyAlignment="1">
      <alignment horizontal="center" vertical="center" wrapText="1"/>
    </xf>
    <xf numFmtId="0" fontId="10" fillId="0" borderId="6" xfId="3" applyFont="1" applyBorder="1" applyAlignment="1">
      <alignment horizontal="center" vertical="center"/>
    </xf>
    <xf numFmtId="0" fontId="10" fillId="0" borderId="5" xfId="3" applyFont="1" applyBorder="1" applyAlignment="1">
      <alignment horizontal="center" vertical="center"/>
    </xf>
    <xf numFmtId="0" fontId="10" fillId="0" borderId="4" xfId="3" applyFont="1" applyBorder="1" applyAlignment="1">
      <alignment horizontal="center" vertical="center"/>
    </xf>
    <xf numFmtId="10" fontId="65" fillId="4" borderId="6" xfId="3" applyNumberFormat="1" applyFont="1" applyFill="1" applyBorder="1" applyAlignment="1">
      <alignment horizontal="center" vertical="center"/>
    </xf>
    <xf numFmtId="10" fontId="65" fillId="4" borderId="5" xfId="3" applyNumberFormat="1" applyFont="1" applyFill="1" applyBorder="1" applyAlignment="1">
      <alignment horizontal="center" vertical="center"/>
    </xf>
    <xf numFmtId="10" fontId="65" fillId="4" borderId="4" xfId="3" applyNumberFormat="1" applyFont="1" applyFill="1" applyBorder="1" applyAlignment="1">
      <alignment horizontal="center" vertical="center"/>
    </xf>
    <xf numFmtId="10" fontId="17" fillId="4" borderId="6" xfId="2" applyNumberFormat="1" applyFont="1" applyFill="1" applyBorder="1" applyAlignment="1">
      <alignment horizontal="center" vertical="center" wrapText="1"/>
    </xf>
    <xf numFmtId="10" fontId="17" fillId="4" borderId="5" xfId="2" applyNumberFormat="1" applyFont="1" applyFill="1" applyBorder="1" applyAlignment="1">
      <alignment horizontal="center" vertical="center" wrapText="1"/>
    </xf>
    <xf numFmtId="10" fontId="17" fillId="4" borderId="4" xfId="2" applyNumberFormat="1" applyFont="1" applyFill="1" applyBorder="1" applyAlignment="1">
      <alignment horizontal="center" vertical="center" wrapText="1"/>
    </xf>
    <xf numFmtId="10" fontId="17" fillId="3" borderId="3" xfId="2" applyNumberFormat="1" applyFont="1" applyFill="1" applyBorder="1" applyAlignment="1">
      <alignment horizontal="center" vertical="center" wrapText="1"/>
    </xf>
    <xf numFmtId="10" fontId="65" fillId="3" borderId="3" xfId="3" applyNumberFormat="1" applyFont="1" applyFill="1" applyBorder="1" applyAlignment="1">
      <alignment horizontal="center" vertical="center"/>
    </xf>
    <xf numFmtId="2" fontId="65" fillId="3" borderId="3" xfId="3" applyNumberFormat="1" applyFont="1" applyFill="1" applyBorder="1" applyAlignment="1">
      <alignment horizontal="center" vertical="center"/>
    </xf>
    <xf numFmtId="167" fontId="28" fillId="8" borderId="0" xfId="8" applyNumberFormat="1" applyFont="1" applyFill="1" applyBorder="1" applyAlignment="1">
      <alignment horizontal="center" vertical="center"/>
    </xf>
    <xf numFmtId="0" fontId="3" fillId="3" borderId="70" xfId="7" applyFont="1" applyFill="1" applyBorder="1" applyAlignment="1">
      <alignment horizontal="left" vertical="center"/>
    </xf>
    <xf numFmtId="0" fontId="3" fillId="3" borderId="66" xfId="7" applyFont="1" applyFill="1" applyBorder="1" applyAlignment="1">
      <alignment horizontal="left" vertical="center"/>
    </xf>
    <xf numFmtId="0" fontId="22" fillId="3" borderId="3" xfId="3" applyFont="1" applyFill="1" applyBorder="1" applyAlignment="1">
      <alignment horizontal="center" vertical="center" wrapText="1"/>
    </xf>
    <xf numFmtId="0" fontId="15" fillId="2" borderId="6" xfId="3" applyFont="1" applyFill="1" applyBorder="1" applyAlignment="1">
      <alignment horizontal="center" vertical="center" wrapText="1"/>
    </xf>
    <xf numFmtId="0" fontId="15" fillId="2" borderId="5" xfId="3" applyFont="1" applyFill="1" applyBorder="1" applyAlignment="1">
      <alignment horizontal="center" vertical="center" wrapText="1"/>
    </xf>
    <xf numFmtId="0" fontId="15" fillId="2" borderId="4" xfId="3" applyFont="1" applyFill="1" applyBorder="1" applyAlignment="1">
      <alignment horizontal="center" vertical="center" wrapText="1"/>
    </xf>
    <xf numFmtId="0" fontId="22" fillId="3" borderId="3" xfId="3" applyFont="1" applyFill="1" applyBorder="1" applyAlignment="1">
      <alignment horizontal="center" vertical="center"/>
    </xf>
    <xf numFmtId="0" fontId="22" fillId="0" borderId="6" xfId="3" applyFont="1" applyBorder="1" applyAlignment="1">
      <alignment horizontal="center" vertical="center"/>
    </xf>
    <xf numFmtId="0" fontId="22" fillId="0" borderId="5" xfId="3" applyFont="1" applyBorder="1" applyAlignment="1">
      <alignment horizontal="center" vertical="center"/>
    </xf>
    <xf numFmtId="0" fontId="22" fillId="0" borderId="4" xfId="3" applyFont="1" applyBorder="1" applyAlignment="1">
      <alignment horizontal="center" vertical="center"/>
    </xf>
    <xf numFmtId="0" fontId="17" fillId="0" borderId="6" xfId="3" applyFont="1" applyBorder="1" applyAlignment="1">
      <alignment horizontal="center" vertical="center" wrapText="1"/>
    </xf>
    <xf numFmtId="0" fontId="17" fillId="0" borderId="5" xfId="3" applyFont="1" applyBorder="1" applyAlignment="1">
      <alignment horizontal="center" vertical="center" wrapText="1"/>
    </xf>
    <xf numFmtId="0" fontId="17" fillId="0" borderId="4" xfId="3" applyFont="1" applyBorder="1" applyAlignment="1">
      <alignment horizontal="center" vertical="center" wrapText="1"/>
    </xf>
    <xf numFmtId="0" fontId="39" fillId="4" borderId="6" xfId="3" applyFont="1" applyFill="1" applyBorder="1" applyAlignment="1">
      <alignment horizontal="center" vertical="center" wrapText="1"/>
    </xf>
    <xf numFmtId="0" fontId="39" fillId="4" borderId="5" xfId="3" applyFont="1" applyFill="1" applyBorder="1" applyAlignment="1">
      <alignment horizontal="center" vertical="center" wrapText="1"/>
    </xf>
    <xf numFmtId="0" fontId="39" fillId="4" borderId="4" xfId="3" applyFont="1" applyFill="1" applyBorder="1" applyAlignment="1">
      <alignment horizontal="center" vertical="center" wrapText="1"/>
    </xf>
    <xf numFmtId="166" fontId="39" fillId="4" borderId="6" xfId="4" applyFont="1" applyFill="1" applyBorder="1" applyAlignment="1">
      <alignment horizontal="center" vertical="center" wrapText="1"/>
    </xf>
    <xf numFmtId="166" fontId="39" fillId="4" borderId="5" xfId="4" applyFont="1" applyFill="1" applyBorder="1" applyAlignment="1">
      <alignment horizontal="center" vertical="center" wrapText="1"/>
    </xf>
    <xf numFmtId="166" fontId="39" fillId="4" borderId="4" xfId="4" applyFont="1" applyFill="1" applyBorder="1" applyAlignment="1">
      <alignment horizontal="center" vertical="center" wrapText="1"/>
    </xf>
    <xf numFmtId="49" fontId="21" fillId="4" borderId="6" xfId="0" applyNumberFormat="1" applyFont="1" applyFill="1" applyBorder="1" applyAlignment="1">
      <alignment horizontal="center" vertical="center" shrinkToFit="1"/>
    </xf>
    <xf numFmtId="49" fontId="21" fillId="4" borderId="5" xfId="0" applyNumberFormat="1" applyFont="1" applyFill="1" applyBorder="1" applyAlignment="1">
      <alignment horizontal="center" vertical="center" shrinkToFit="1"/>
    </xf>
    <xf numFmtId="171" fontId="17" fillId="4" borderId="3" xfId="2" applyNumberFormat="1" applyFont="1" applyFill="1" applyBorder="1" applyAlignment="1">
      <alignment horizontal="center" vertical="center" wrapText="1"/>
    </xf>
    <xf numFmtId="171" fontId="65" fillId="4" borderId="3" xfId="3" applyNumberFormat="1" applyFont="1" applyFill="1" applyBorder="1" applyAlignment="1">
      <alignment horizontal="center" vertical="center"/>
    </xf>
    <xf numFmtId="0" fontId="39" fillId="21" borderId="6" xfId="3" applyFont="1" applyFill="1" applyBorder="1" applyAlignment="1">
      <alignment horizontal="left" vertical="center" wrapText="1"/>
    </xf>
    <xf numFmtId="0" fontId="39" fillId="21" borderId="5" xfId="3" applyFont="1" applyFill="1" applyBorder="1" applyAlignment="1">
      <alignment horizontal="left" vertical="center" wrapText="1"/>
    </xf>
    <xf numFmtId="0" fontId="39" fillId="21" borderId="4" xfId="3" applyFont="1" applyFill="1" applyBorder="1" applyAlignment="1">
      <alignment horizontal="left" vertical="center" wrapText="1"/>
    </xf>
    <xf numFmtId="10" fontId="65" fillId="3" borderId="3" xfId="2" applyNumberFormat="1" applyFont="1" applyFill="1" applyBorder="1" applyAlignment="1">
      <alignment horizontal="center" vertical="center"/>
    </xf>
    <xf numFmtId="9" fontId="17" fillId="4" borderId="3" xfId="2" applyFont="1" applyFill="1" applyBorder="1" applyAlignment="1">
      <alignment horizontal="center" vertical="center" wrapText="1"/>
    </xf>
    <xf numFmtId="10" fontId="17" fillId="4" borderId="3" xfId="2" applyNumberFormat="1" applyFont="1" applyFill="1" applyBorder="1" applyAlignment="1">
      <alignment horizontal="center" vertical="center" wrapText="1"/>
    </xf>
    <xf numFmtId="0" fontId="39" fillId="3" borderId="9" xfId="3" applyFont="1" applyFill="1" applyBorder="1" applyAlignment="1">
      <alignment horizontal="center" vertical="center" wrapText="1"/>
    </xf>
    <xf numFmtId="166" fontId="17" fillId="3" borderId="3" xfId="10" applyNumberFormat="1" applyFont="1" applyFill="1" applyBorder="1" applyAlignment="1">
      <alignment horizontal="center" vertical="center" wrapText="1"/>
    </xf>
    <xf numFmtId="166" fontId="17" fillId="3" borderId="6" xfId="10" applyNumberFormat="1" applyFont="1" applyFill="1" applyBorder="1" applyAlignment="1">
      <alignment horizontal="center" vertical="center" wrapText="1"/>
    </xf>
    <xf numFmtId="166" fontId="17" fillId="3" borderId="5" xfId="10" applyNumberFormat="1" applyFont="1" applyFill="1" applyBorder="1" applyAlignment="1">
      <alignment horizontal="center" vertical="center" wrapText="1"/>
    </xf>
    <xf numFmtId="166" fontId="17" fillId="3" borderId="4" xfId="10" applyNumberFormat="1" applyFont="1" applyFill="1" applyBorder="1" applyAlignment="1">
      <alignment horizontal="center" vertical="center" wrapText="1"/>
    </xf>
    <xf numFmtId="166" fontId="65" fillId="4" borderId="3" xfId="10" applyNumberFormat="1" applyFont="1" applyFill="1" applyBorder="1" applyAlignment="1">
      <alignment horizontal="center" vertical="center"/>
    </xf>
    <xf numFmtId="0" fontId="39" fillId="17" borderId="9" xfId="3" applyFont="1" applyFill="1" applyBorder="1" applyAlignment="1">
      <alignment horizontal="left" vertical="center" wrapText="1"/>
    </xf>
    <xf numFmtId="0" fontId="39" fillId="17" borderId="8" xfId="3" applyFont="1" applyFill="1" applyBorder="1" applyAlignment="1">
      <alignment horizontal="left" vertical="center" wrapText="1"/>
    </xf>
    <xf numFmtId="0" fontId="39" fillId="17" borderId="7" xfId="3" applyFont="1" applyFill="1" applyBorder="1" applyAlignment="1">
      <alignment horizontal="left" vertical="center" wrapText="1"/>
    </xf>
    <xf numFmtId="14" fontId="39" fillId="17" borderId="9" xfId="3" applyNumberFormat="1" applyFont="1" applyFill="1" applyBorder="1" applyAlignment="1">
      <alignment horizontal="center" vertical="center" wrapText="1"/>
    </xf>
    <xf numFmtId="0" fontId="39" fillId="17" borderId="8" xfId="3" applyFont="1" applyFill="1" applyBorder="1" applyAlignment="1">
      <alignment horizontal="center" vertical="center" wrapText="1"/>
    </xf>
    <xf numFmtId="0" fontId="39" fillId="17" borderId="7" xfId="3" applyFont="1" applyFill="1" applyBorder="1" applyAlignment="1">
      <alignment horizontal="center" vertical="center" wrapText="1"/>
    </xf>
    <xf numFmtId="0" fontId="39" fillId="17" borderId="6" xfId="3" applyFont="1" applyFill="1" applyBorder="1" applyAlignment="1">
      <alignment horizontal="left" vertical="center" wrapText="1"/>
    </xf>
    <xf numFmtId="0" fontId="39" fillId="17" borderId="5" xfId="3" applyFont="1" applyFill="1" applyBorder="1" applyAlignment="1">
      <alignment horizontal="left" vertical="center" wrapText="1"/>
    </xf>
    <xf numFmtId="0" fontId="39" fillId="17" borderId="4" xfId="3" applyFont="1" applyFill="1" applyBorder="1" applyAlignment="1">
      <alignment horizontal="left" vertical="center" wrapText="1"/>
    </xf>
    <xf numFmtId="0" fontId="10" fillId="4" borderId="24" xfId="3" applyFont="1" applyFill="1" applyBorder="1" applyAlignment="1">
      <alignment horizontal="left" vertical="center" wrapText="1"/>
    </xf>
    <xf numFmtId="0" fontId="10" fillId="4" borderId="25" xfId="3" applyFont="1" applyFill="1" applyBorder="1" applyAlignment="1">
      <alignment horizontal="left" vertical="center" wrapText="1"/>
    </xf>
    <xf numFmtId="0" fontId="10" fillId="4" borderId="26" xfId="3" applyFont="1" applyFill="1" applyBorder="1" applyAlignment="1">
      <alignment horizontal="left" vertical="center" wrapText="1"/>
    </xf>
    <xf numFmtId="0" fontId="10" fillId="4" borderId="27" xfId="3" applyFont="1" applyFill="1" applyBorder="1" applyAlignment="1">
      <alignment horizontal="left" vertical="center" wrapText="1"/>
    </xf>
    <xf numFmtId="0" fontId="10" fillId="4" borderId="0" xfId="3" applyFont="1" applyFill="1" applyAlignment="1">
      <alignment horizontal="left" vertical="center" wrapText="1"/>
    </xf>
    <xf numFmtId="0" fontId="10" fillId="4" borderId="28" xfId="3" applyFont="1" applyFill="1" applyBorder="1" applyAlignment="1">
      <alignment horizontal="left" vertical="center" wrapText="1"/>
    </xf>
    <xf numFmtId="0" fontId="10" fillId="4" borderId="29" xfId="3" applyFont="1" applyFill="1" applyBorder="1" applyAlignment="1">
      <alignment horizontal="left" vertical="center" wrapText="1"/>
    </xf>
    <xf numFmtId="0" fontId="10" fillId="4" borderId="30" xfId="3" applyFont="1" applyFill="1" applyBorder="1" applyAlignment="1">
      <alignment horizontal="left" vertical="center" wrapText="1"/>
    </xf>
    <xf numFmtId="0" fontId="10" fillId="4" borderId="31" xfId="3" applyFont="1" applyFill="1" applyBorder="1" applyAlignment="1">
      <alignment horizontal="left" vertical="center" wrapText="1"/>
    </xf>
    <xf numFmtId="0" fontId="21" fillId="4" borderId="6" xfId="3" applyFont="1" applyFill="1" applyBorder="1" applyAlignment="1">
      <alignment horizontal="left" vertical="center" wrapText="1"/>
    </xf>
    <xf numFmtId="0" fontId="21" fillId="4" borderId="5" xfId="3" applyFont="1" applyFill="1" applyBorder="1" applyAlignment="1">
      <alignment horizontal="left" vertical="center" wrapText="1"/>
    </xf>
    <xf numFmtId="0" fontId="21" fillId="4" borderId="4" xfId="3" applyFont="1" applyFill="1" applyBorder="1" applyAlignment="1">
      <alignment horizontal="left" vertical="center" wrapText="1"/>
    </xf>
    <xf numFmtId="0" fontId="39" fillId="6" borderId="6" xfId="3" applyFont="1" applyFill="1" applyBorder="1" applyAlignment="1">
      <alignment horizontal="left" vertical="center" wrapText="1"/>
    </xf>
    <xf numFmtId="0" fontId="39" fillId="6" borderId="5" xfId="3" applyFont="1" applyFill="1" applyBorder="1" applyAlignment="1">
      <alignment horizontal="left" vertical="center" wrapText="1"/>
    </xf>
    <xf numFmtId="0" fontId="39" fillId="6" borderId="4" xfId="3" applyFont="1" applyFill="1" applyBorder="1" applyAlignment="1">
      <alignment horizontal="left" vertical="center" wrapText="1"/>
    </xf>
    <xf numFmtId="2" fontId="65" fillId="4" borderId="3" xfId="3" applyNumberFormat="1" applyFont="1" applyFill="1" applyBorder="1" applyAlignment="1">
      <alignment horizontal="center" vertical="center"/>
    </xf>
    <xf numFmtId="0" fontId="22" fillId="6" borderId="3" xfId="3" applyFont="1" applyFill="1" applyBorder="1" applyAlignment="1">
      <alignment horizontal="center" vertical="center" wrapText="1"/>
    </xf>
    <xf numFmtId="0" fontId="39" fillId="3" borderId="5" xfId="3" applyFont="1" applyFill="1" applyBorder="1" applyAlignment="1">
      <alignment horizontal="left" vertical="center"/>
    </xf>
    <xf numFmtId="0" fontId="39" fillId="3" borderId="4" xfId="3" applyFont="1" applyFill="1" applyBorder="1" applyAlignment="1">
      <alignment horizontal="left" vertical="center"/>
    </xf>
    <xf numFmtId="0" fontId="22" fillId="3" borderId="5" xfId="3" applyFont="1" applyFill="1" applyBorder="1" applyAlignment="1">
      <alignment horizontal="left" vertical="center" wrapText="1"/>
    </xf>
    <xf numFmtId="0" fontId="22" fillId="3" borderId="4" xfId="3" applyFont="1" applyFill="1" applyBorder="1" applyAlignment="1">
      <alignment horizontal="left" vertical="center" wrapText="1"/>
    </xf>
    <xf numFmtId="0" fontId="39" fillId="4" borderId="5" xfId="3" applyFont="1" applyFill="1" applyBorder="1" applyAlignment="1">
      <alignment horizontal="left" vertical="center"/>
    </xf>
    <xf numFmtId="0" fontId="39" fillId="4" borderId="4" xfId="3" applyFont="1" applyFill="1" applyBorder="1" applyAlignment="1">
      <alignment horizontal="left" vertical="center"/>
    </xf>
    <xf numFmtId="14" fontId="39" fillId="4" borderId="6" xfId="3" applyNumberFormat="1" applyFont="1" applyFill="1" applyBorder="1" applyAlignment="1">
      <alignment horizontal="left" vertical="center" wrapText="1"/>
    </xf>
    <xf numFmtId="14" fontId="39" fillId="4" borderId="5" xfId="3" applyNumberFormat="1" applyFont="1" applyFill="1" applyBorder="1" applyAlignment="1">
      <alignment horizontal="left" vertical="center" wrapText="1"/>
    </xf>
    <xf numFmtId="14" fontId="39" fillId="4" borderId="4" xfId="3" applyNumberFormat="1" applyFont="1" applyFill="1" applyBorder="1" applyAlignment="1">
      <alignment horizontal="left" vertical="center" wrapText="1"/>
    </xf>
    <xf numFmtId="0" fontId="22" fillId="17" borderId="9" xfId="3" applyFont="1" applyFill="1" applyBorder="1" applyAlignment="1">
      <alignment horizontal="center" vertical="center" wrapText="1"/>
    </xf>
    <xf numFmtId="0" fontId="22" fillId="17" borderId="8" xfId="3" applyFont="1" applyFill="1" applyBorder="1" applyAlignment="1">
      <alignment horizontal="center" vertical="center" wrapText="1"/>
    </xf>
    <xf numFmtId="0" fontId="22" fillId="17" borderId="7" xfId="3" applyFont="1" applyFill="1" applyBorder="1" applyAlignment="1">
      <alignment horizontal="center" vertical="center" wrapText="1"/>
    </xf>
    <xf numFmtId="0" fontId="76" fillId="21" borderId="24" xfId="3" applyFont="1" applyFill="1" applyBorder="1" applyAlignment="1">
      <alignment horizontal="left" vertical="center" wrapText="1"/>
    </xf>
    <xf numFmtId="0" fontId="76" fillId="21" borderId="25" xfId="3" applyFont="1" applyFill="1" applyBorder="1" applyAlignment="1">
      <alignment horizontal="left" vertical="center" wrapText="1"/>
    </xf>
    <xf numFmtId="0" fontId="76" fillId="21" borderId="26" xfId="3" applyFont="1" applyFill="1" applyBorder="1" applyAlignment="1">
      <alignment horizontal="left" vertical="center" wrapText="1"/>
    </xf>
    <xf numFmtId="0" fontId="76" fillId="21" borderId="27" xfId="3" applyFont="1" applyFill="1" applyBorder="1" applyAlignment="1">
      <alignment horizontal="left" vertical="center" wrapText="1"/>
    </xf>
    <xf numFmtId="0" fontId="76" fillId="21" borderId="0" xfId="3" applyFont="1" applyFill="1" applyAlignment="1">
      <alignment horizontal="left" vertical="center" wrapText="1"/>
    </xf>
    <xf numFmtId="0" fontId="76" fillId="21" borderId="28" xfId="3" applyFont="1" applyFill="1" applyBorder="1" applyAlignment="1">
      <alignment horizontal="left" vertical="center" wrapText="1"/>
    </xf>
    <xf numFmtId="0" fontId="76" fillId="21" borderId="29" xfId="3" applyFont="1" applyFill="1" applyBorder="1" applyAlignment="1">
      <alignment horizontal="left" vertical="center" wrapText="1"/>
    </xf>
    <xf numFmtId="0" fontId="76" fillId="21" borderId="30" xfId="3" applyFont="1" applyFill="1" applyBorder="1" applyAlignment="1">
      <alignment horizontal="left" vertical="center" wrapText="1"/>
    </xf>
    <xf numFmtId="0" fontId="76" fillId="21" borderId="31" xfId="3" applyFont="1" applyFill="1" applyBorder="1" applyAlignment="1">
      <alignment horizontal="left" vertical="center" wrapText="1"/>
    </xf>
    <xf numFmtId="0" fontId="74" fillId="0" borderId="0" xfId="0" applyFont="1" applyAlignment="1">
      <alignment horizontal="left"/>
    </xf>
    <xf numFmtId="10" fontId="6" fillId="4" borderId="6" xfId="2" applyNumberFormat="1" applyFont="1" applyFill="1" applyBorder="1" applyAlignment="1">
      <alignment horizontal="center" vertical="center" wrapText="1"/>
    </xf>
    <xf numFmtId="10" fontId="6" fillId="4" borderId="5" xfId="2" applyNumberFormat="1" applyFont="1" applyFill="1" applyBorder="1" applyAlignment="1">
      <alignment horizontal="center" vertical="center" wrapText="1"/>
    </xf>
    <xf numFmtId="10" fontId="6" fillId="4" borderId="4" xfId="2" applyNumberFormat="1" applyFont="1" applyFill="1" applyBorder="1" applyAlignment="1">
      <alignment horizontal="center" vertical="center" wrapText="1"/>
    </xf>
    <xf numFmtId="0" fontId="83" fillId="4" borderId="14" xfId="3" applyFont="1" applyFill="1" applyBorder="1" applyAlignment="1">
      <alignment vertical="center" wrapText="1"/>
    </xf>
    <xf numFmtId="0" fontId="83" fillId="4" borderId="13" xfId="3" applyFont="1" applyFill="1" applyBorder="1" applyAlignment="1">
      <alignment vertical="center" wrapText="1"/>
    </xf>
    <xf numFmtId="0" fontId="83" fillId="4" borderId="12" xfId="3" applyFont="1" applyFill="1" applyBorder="1" applyAlignment="1">
      <alignment vertical="center" wrapText="1"/>
    </xf>
    <xf numFmtId="0" fontId="83" fillId="4" borderId="11" xfId="3" applyFont="1" applyFill="1" applyBorder="1" applyAlignment="1">
      <alignment vertical="center" wrapText="1"/>
    </xf>
    <xf numFmtId="0" fontId="83" fillId="4" borderId="0" xfId="3" applyFont="1" applyFill="1" applyAlignment="1">
      <alignment vertical="center" wrapText="1"/>
    </xf>
    <xf numFmtId="0" fontId="83" fillId="4" borderId="10" xfId="3" applyFont="1" applyFill="1" applyBorder="1" applyAlignment="1">
      <alignment vertical="center" wrapText="1"/>
    </xf>
    <xf numFmtId="0" fontId="83" fillId="4" borderId="9" xfId="3" applyFont="1" applyFill="1" applyBorder="1" applyAlignment="1">
      <alignment vertical="center" wrapText="1"/>
    </xf>
    <xf numFmtId="0" fontId="83" fillId="4" borderId="8" xfId="3" applyFont="1" applyFill="1" applyBorder="1" applyAlignment="1">
      <alignment vertical="center" wrapText="1"/>
    </xf>
    <xf numFmtId="0" fontId="83" fillId="4" borderId="7" xfId="3" applyFont="1" applyFill="1" applyBorder="1" applyAlignment="1">
      <alignment vertical="center" wrapText="1"/>
    </xf>
    <xf numFmtId="171" fontId="6" fillId="4" borderId="6" xfId="2" applyNumberFormat="1" applyFont="1" applyFill="1" applyBorder="1" applyAlignment="1">
      <alignment horizontal="center" vertical="center" wrapText="1"/>
    </xf>
    <xf numFmtId="171" fontId="6" fillId="4" borderId="5" xfId="2" applyNumberFormat="1" applyFont="1" applyFill="1" applyBorder="1" applyAlignment="1">
      <alignment horizontal="center" vertical="center" wrapText="1"/>
    </xf>
    <xf numFmtId="171" fontId="6" fillId="4" borderId="4" xfId="2" applyNumberFormat="1" applyFont="1" applyFill="1" applyBorder="1" applyAlignment="1">
      <alignment horizontal="center" vertical="center" wrapText="1"/>
    </xf>
    <xf numFmtId="0" fontId="83" fillId="3" borderId="6" xfId="3" applyFont="1" applyFill="1" applyBorder="1" applyAlignment="1">
      <alignment vertical="center" wrapText="1"/>
    </xf>
    <xf numFmtId="0" fontId="83" fillId="3" borderId="5" xfId="3" applyFont="1" applyFill="1" applyBorder="1" applyAlignment="1">
      <alignment vertical="center" wrapText="1"/>
    </xf>
    <xf numFmtId="0" fontId="83" fillId="3" borderId="4" xfId="3" applyFont="1" applyFill="1" applyBorder="1" applyAlignment="1">
      <alignment vertical="center" wrapText="1"/>
    </xf>
    <xf numFmtId="171" fontId="75" fillId="4" borderId="6" xfId="3" applyNumberFormat="1" applyFont="1" applyFill="1" applyBorder="1" applyAlignment="1">
      <alignment horizontal="center" vertical="center"/>
    </xf>
    <xf numFmtId="171" fontId="75" fillId="4" borderId="5" xfId="3" applyNumberFormat="1" applyFont="1" applyFill="1" applyBorder="1" applyAlignment="1">
      <alignment horizontal="center" vertical="center"/>
    </xf>
    <xf numFmtId="171" fontId="75" fillId="4" borderId="4" xfId="3" applyNumberFormat="1" applyFont="1" applyFill="1" applyBorder="1" applyAlignment="1">
      <alignment horizontal="center" vertical="center"/>
    </xf>
    <xf numFmtId="0" fontId="27" fillId="6" borderId="44" xfId="0" applyFont="1" applyFill="1" applyBorder="1" applyAlignment="1">
      <alignment horizontal="center"/>
    </xf>
    <xf numFmtId="0" fontId="27" fillId="6" borderId="45" xfId="0" applyFont="1" applyFill="1" applyBorder="1" applyAlignment="1">
      <alignment horizontal="center"/>
    </xf>
    <xf numFmtId="0" fontId="27" fillId="6" borderId="46" xfId="0" applyFont="1" applyFill="1" applyBorder="1" applyAlignment="1">
      <alignment horizontal="center"/>
    </xf>
    <xf numFmtId="0" fontId="25" fillId="35" borderId="5" xfId="0" applyFont="1" applyFill="1" applyBorder="1" applyAlignment="1">
      <alignment horizontal="center" vertical="center"/>
    </xf>
    <xf numFmtId="0" fontId="25" fillId="35" borderId="4" xfId="0" applyFont="1" applyFill="1" applyBorder="1" applyAlignment="1">
      <alignment horizontal="center" vertical="center"/>
    </xf>
    <xf numFmtId="0" fontId="25" fillId="35" borderId="13" xfId="0" applyFont="1" applyFill="1" applyBorder="1" applyAlignment="1">
      <alignment horizontal="center" vertical="center"/>
    </xf>
    <xf numFmtId="0" fontId="25" fillId="35" borderId="12" xfId="0" applyFont="1" applyFill="1" applyBorder="1" applyAlignment="1">
      <alignment horizontal="center" vertical="center"/>
    </xf>
    <xf numFmtId="0" fontId="76" fillId="6" borderId="17" xfId="0" applyFont="1" applyFill="1" applyBorder="1" applyAlignment="1">
      <alignment horizontal="left"/>
    </xf>
    <xf numFmtId="0" fontId="76" fillId="6" borderId="16" xfId="0" applyFont="1" applyFill="1" applyBorder="1" applyAlignment="1">
      <alignment horizontal="left"/>
    </xf>
    <xf numFmtId="0" fontId="76" fillId="4" borderId="6" xfId="0" applyFont="1" applyFill="1" applyBorder="1" applyAlignment="1">
      <alignment horizontal="left" vertical="center" wrapText="1"/>
    </xf>
    <xf numFmtId="0" fontId="76" fillId="4" borderId="5" xfId="0" applyFont="1" applyFill="1" applyBorder="1" applyAlignment="1">
      <alignment horizontal="left" vertical="center" wrapText="1"/>
    </xf>
    <xf numFmtId="2" fontId="6" fillId="3" borderId="3" xfId="2" applyNumberFormat="1" applyFont="1" applyFill="1" applyBorder="1" applyAlignment="1">
      <alignment horizontal="center" vertical="center" wrapText="1"/>
    </xf>
    <xf numFmtId="2" fontId="75" fillId="3" borderId="3" xfId="3" applyNumberFormat="1" applyFont="1" applyFill="1" applyBorder="1" applyAlignment="1">
      <alignment horizontal="center" vertical="center"/>
    </xf>
    <xf numFmtId="0" fontId="76" fillId="6" borderId="46" xfId="0" applyFont="1" applyFill="1" applyBorder="1" applyAlignment="1">
      <alignment horizontal="center"/>
    </xf>
    <xf numFmtId="0" fontId="25" fillId="35" borderId="5" xfId="0" applyFont="1" applyFill="1" applyBorder="1" applyAlignment="1">
      <alignment horizontal="center" vertical="center" wrapText="1"/>
    </xf>
    <xf numFmtId="0" fontId="25" fillId="35" borderId="4" xfId="0" applyFont="1" applyFill="1" applyBorder="1" applyAlignment="1">
      <alignment horizontal="center" vertical="center" wrapText="1"/>
    </xf>
    <xf numFmtId="0" fontId="76" fillId="6" borderId="50" xfId="0" applyFont="1" applyFill="1" applyBorder="1" applyAlignment="1">
      <alignment horizontal="left"/>
    </xf>
    <xf numFmtId="0" fontId="25" fillId="37" borderId="14" xfId="3" applyFont="1" applyFill="1" applyBorder="1" applyAlignment="1">
      <alignment horizontal="center" vertical="center"/>
    </xf>
    <xf numFmtId="0" fontId="25" fillId="37" borderId="13" xfId="3" applyFont="1" applyFill="1" applyBorder="1" applyAlignment="1">
      <alignment horizontal="center" vertical="center"/>
    </xf>
    <xf numFmtId="0" fontId="25" fillId="37" borderId="11" xfId="3" applyFont="1" applyFill="1" applyBorder="1" applyAlignment="1">
      <alignment horizontal="center" vertical="center"/>
    </xf>
    <xf numFmtId="0" fontId="25" fillId="37" borderId="0" xfId="3" applyFont="1" applyFill="1" applyAlignment="1">
      <alignment horizontal="center" vertical="center"/>
    </xf>
    <xf numFmtId="0" fontId="25" fillId="37" borderId="9" xfId="3" applyFont="1" applyFill="1" applyBorder="1" applyAlignment="1">
      <alignment horizontal="center" vertical="center"/>
    </xf>
    <xf numFmtId="0" fontId="25" fillId="37" borderId="8" xfId="3" applyFont="1" applyFill="1" applyBorder="1" applyAlignment="1">
      <alignment horizontal="center" vertical="center"/>
    </xf>
    <xf numFmtId="0" fontId="96" fillId="35" borderId="1" xfId="3" applyFont="1" applyFill="1" applyBorder="1" applyAlignment="1">
      <alignment horizontal="left" vertical="center"/>
    </xf>
    <xf numFmtId="0" fontId="2" fillId="37" borderId="70" xfId="7" applyFont="1" applyFill="1" applyBorder="1" applyAlignment="1">
      <alignment horizontal="left" vertical="center"/>
    </xf>
    <xf numFmtId="0" fontId="2" fillId="37" borderId="66" xfId="7" applyFont="1" applyFill="1" applyBorder="1" applyAlignment="1">
      <alignment horizontal="left" vertical="center"/>
    </xf>
    <xf numFmtId="0" fontId="25" fillId="37" borderId="14" xfId="0" applyFont="1" applyFill="1" applyBorder="1" applyAlignment="1">
      <alignment horizontal="center" vertical="center"/>
    </xf>
    <xf numFmtId="0" fontId="25" fillId="37" borderId="13" xfId="0" applyFont="1" applyFill="1" applyBorder="1" applyAlignment="1">
      <alignment horizontal="center" vertical="center"/>
    </xf>
    <xf numFmtId="0" fontId="25" fillId="37" borderId="12" xfId="0" applyFont="1" applyFill="1" applyBorder="1" applyAlignment="1">
      <alignment horizontal="center" vertical="center"/>
    </xf>
    <xf numFmtId="0" fontId="25" fillId="37" borderId="11" xfId="0" applyFont="1" applyFill="1" applyBorder="1" applyAlignment="1">
      <alignment horizontal="center" vertical="center"/>
    </xf>
    <xf numFmtId="0" fontId="25" fillId="37" borderId="0" xfId="0" applyFont="1" applyFill="1" applyAlignment="1">
      <alignment horizontal="center" vertical="center"/>
    </xf>
    <xf numFmtId="0" fontId="25" fillId="37" borderId="10" xfId="0" applyFont="1" applyFill="1" applyBorder="1" applyAlignment="1">
      <alignment horizontal="center" vertical="center"/>
    </xf>
    <xf numFmtId="0" fontId="25" fillId="37" borderId="9" xfId="0" applyFont="1" applyFill="1" applyBorder="1" applyAlignment="1">
      <alignment horizontal="center" vertical="center"/>
    </xf>
    <xf numFmtId="0" fontId="25" fillId="37" borderId="8" xfId="0" applyFont="1" applyFill="1" applyBorder="1" applyAlignment="1">
      <alignment horizontal="center" vertical="center"/>
    </xf>
    <xf numFmtId="0" fontId="25" fillId="37" borderId="7" xfId="0" applyFont="1" applyFill="1" applyBorder="1" applyAlignment="1">
      <alignment horizontal="center" vertical="center"/>
    </xf>
    <xf numFmtId="0" fontId="25" fillId="37" borderId="3" xfId="3" applyFont="1" applyFill="1" applyBorder="1" applyAlignment="1">
      <alignment horizontal="center" vertical="center"/>
    </xf>
    <xf numFmtId="0" fontId="25" fillId="37" borderId="3" xfId="3" applyFont="1" applyFill="1" applyBorder="1" applyAlignment="1">
      <alignment horizontal="center" vertical="center" wrapText="1"/>
    </xf>
    <xf numFmtId="181" fontId="75" fillId="4" borderId="6" xfId="3" applyNumberFormat="1" applyFont="1" applyFill="1" applyBorder="1" applyAlignment="1">
      <alignment horizontal="center" vertical="center"/>
    </xf>
    <xf numFmtId="181" fontId="75" fillId="4" borderId="5" xfId="3" applyNumberFormat="1" applyFont="1" applyFill="1" applyBorder="1" applyAlignment="1">
      <alignment horizontal="center" vertical="center"/>
    </xf>
    <xf numFmtId="181" fontId="75" fillId="4" borderId="4" xfId="3" applyNumberFormat="1" applyFont="1" applyFill="1" applyBorder="1" applyAlignment="1">
      <alignment horizontal="center" vertical="center"/>
    </xf>
    <xf numFmtId="9" fontId="75" fillId="3" borderId="3" xfId="2" applyFont="1" applyFill="1" applyBorder="1" applyAlignment="1">
      <alignment horizontal="center" vertical="center"/>
    </xf>
    <xf numFmtId="0" fontId="76" fillId="3" borderId="14" xfId="0" applyFont="1" applyFill="1" applyBorder="1" applyAlignment="1">
      <alignment horizontal="left" vertical="center" wrapText="1"/>
    </xf>
    <xf numFmtId="0" fontId="76" fillId="3" borderId="13" xfId="0" applyFont="1" applyFill="1" applyBorder="1" applyAlignment="1">
      <alignment horizontal="left" vertical="center" wrapText="1"/>
    </xf>
    <xf numFmtId="0" fontId="76" fillId="3" borderId="6" xfId="0" applyFont="1" applyFill="1" applyBorder="1" applyAlignment="1">
      <alignment horizontal="left" vertical="center" wrapText="1"/>
    </xf>
    <xf numFmtId="0" fontId="76" fillId="3" borderId="5" xfId="0" applyFont="1" applyFill="1" applyBorder="1" applyAlignment="1">
      <alignment horizontal="left" vertical="center" wrapText="1"/>
    </xf>
    <xf numFmtId="0" fontId="76" fillId="21" borderId="6" xfId="0" applyFont="1" applyFill="1" applyBorder="1" applyAlignment="1">
      <alignment horizontal="left" vertical="center" wrapText="1"/>
    </xf>
    <xf numFmtId="0" fontId="76" fillId="21" borderId="5" xfId="0" applyFont="1" applyFill="1" applyBorder="1" applyAlignment="1">
      <alignment horizontal="left" vertical="center" wrapText="1"/>
    </xf>
    <xf numFmtId="0" fontId="22" fillId="4" borderId="9" xfId="3" applyFont="1" applyFill="1" applyBorder="1" applyAlignment="1">
      <alignment horizontal="center" vertical="center" wrapText="1"/>
    </xf>
    <xf numFmtId="0" fontId="22" fillId="4" borderId="8" xfId="3" applyFont="1" applyFill="1" applyBorder="1" applyAlignment="1">
      <alignment horizontal="center" vertical="center" wrapText="1"/>
    </xf>
    <xf numFmtId="0" fontId="22" fillId="4" borderId="7" xfId="3" applyFont="1" applyFill="1" applyBorder="1" applyAlignment="1">
      <alignment horizontal="center" vertical="center" wrapText="1"/>
    </xf>
    <xf numFmtId="0" fontId="39" fillId="4" borderId="9" xfId="3" applyFont="1" applyFill="1" applyBorder="1" applyAlignment="1">
      <alignment horizontal="left" vertical="center" wrapText="1"/>
    </xf>
    <xf numFmtId="0" fontId="39" fillId="4" borderId="8" xfId="3" applyFont="1" applyFill="1" applyBorder="1" applyAlignment="1">
      <alignment horizontal="left" vertical="center" wrapText="1"/>
    </xf>
    <xf numFmtId="0" fontId="39" fillId="4" borderId="7" xfId="3" applyFont="1" applyFill="1" applyBorder="1" applyAlignment="1">
      <alignment horizontal="left" vertical="center" wrapText="1"/>
    </xf>
    <xf numFmtId="174" fontId="39" fillId="4" borderId="9" xfId="3" applyNumberFormat="1" applyFont="1" applyFill="1" applyBorder="1" applyAlignment="1">
      <alignment horizontal="center" vertical="center" wrapText="1"/>
    </xf>
    <xf numFmtId="174" fontId="39" fillId="4" borderId="8" xfId="3" applyNumberFormat="1" applyFont="1" applyFill="1" applyBorder="1" applyAlignment="1">
      <alignment horizontal="center" vertical="center" wrapText="1"/>
    </xf>
    <xf numFmtId="174" fontId="39" fillId="4" borderId="7" xfId="3" applyNumberFormat="1" applyFont="1" applyFill="1" applyBorder="1" applyAlignment="1">
      <alignment horizontal="center" vertical="center" wrapText="1"/>
    </xf>
    <xf numFmtId="166" fontId="39" fillId="4" borderId="9" xfId="4" applyFont="1" applyFill="1" applyBorder="1" applyAlignment="1">
      <alignment horizontal="center" vertical="center" wrapText="1"/>
    </xf>
    <xf numFmtId="166" fontId="39" fillId="4" borderId="8" xfId="4" applyFont="1" applyFill="1" applyBorder="1" applyAlignment="1">
      <alignment horizontal="center" vertical="center" wrapText="1"/>
    </xf>
    <xf numFmtId="166" fontId="39" fillId="4" borderId="7" xfId="4" applyFont="1" applyFill="1" applyBorder="1" applyAlignment="1">
      <alignment horizontal="center" vertical="center" wrapText="1"/>
    </xf>
    <xf numFmtId="49" fontId="0" fillId="4" borderId="14" xfId="0" applyNumberFormat="1" applyFill="1" applyBorder="1" applyAlignment="1">
      <alignment horizontal="center" vertical="center" shrinkToFit="1"/>
    </xf>
    <xf numFmtId="49" fontId="0" fillId="4" borderId="13" xfId="0" applyNumberFormat="1" applyFill="1" applyBorder="1" applyAlignment="1">
      <alignment horizontal="center" vertical="center" shrinkToFit="1"/>
    </xf>
    <xf numFmtId="166" fontId="39" fillId="3" borderId="9" xfId="4" applyFont="1" applyFill="1" applyBorder="1" applyAlignment="1">
      <alignment horizontal="center" vertical="center" wrapText="1"/>
    </xf>
    <xf numFmtId="166" fontId="39" fillId="3" borderId="8" xfId="4" applyFont="1" applyFill="1" applyBorder="1" applyAlignment="1">
      <alignment horizontal="center" vertical="center" wrapText="1"/>
    </xf>
    <xf numFmtId="166" fontId="39" fillId="3" borderId="7" xfId="4" applyFont="1" applyFill="1" applyBorder="1" applyAlignment="1">
      <alignment horizontal="center" vertical="center" wrapText="1"/>
    </xf>
    <xf numFmtId="49" fontId="0" fillId="3" borderId="14" xfId="0" applyNumberFormat="1" applyFill="1" applyBorder="1" applyAlignment="1">
      <alignment horizontal="center" vertical="center" shrinkToFit="1"/>
    </xf>
    <xf numFmtId="49" fontId="0" fillId="3" borderId="13" xfId="0" applyNumberFormat="1" applyFill="1" applyBorder="1" applyAlignment="1">
      <alignment horizontal="center" vertical="center" shrinkToFit="1"/>
    </xf>
    <xf numFmtId="0" fontId="22" fillId="0" borderId="14" xfId="3" applyFont="1" applyBorder="1" applyAlignment="1">
      <alignment horizontal="left" vertical="center" wrapText="1"/>
    </xf>
    <xf numFmtId="0" fontId="22" fillId="0" borderId="13" xfId="3" applyFont="1" applyBorder="1" applyAlignment="1">
      <alignment horizontal="left" vertical="center" wrapText="1"/>
    </xf>
    <xf numFmtId="0" fontId="22" fillId="0" borderId="12" xfId="3" applyFont="1" applyBorder="1" applyAlignment="1">
      <alignment horizontal="left" vertical="center" wrapText="1"/>
    </xf>
    <xf numFmtId="0" fontId="39" fillId="0" borderId="14" xfId="3" applyFont="1" applyBorder="1" applyAlignment="1">
      <alignment horizontal="left" vertical="center" wrapText="1"/>
    </xf>
    <xf numFmtId="0" fontId="39" fillId="0" borderId="13" xfId="3" applyFont="1" applyBorder="1" applyAlignment="1">
      <alignment horizontal="left" vertical="center" wrapText="1"/>
    </xf>
    <xf numFmtId="0" fontId="39" fillId="0" borderId="12" xfId="3" applyFont="1" applyBorder="1" applyAlignment="1">
      <alignment horizontal="left" vertical="center" wrapText="1"/>
    </xf>
    <xf numFmtId="174" fontId="10" fillId="0" borderId="14" xfId="3" applyNumberFormat="1" applyFont="1" applyBorder="1" applyAlignment="1">
      <alignment horizontal="center" vertical="center" wrapText="1"/>
    </xf>
    <xf numFmtId="174" fontId="10" fillId="0" borderId="13" xfId="3" applyNumberFormat="1" applyFont="1" applyBorder="1" applyAlignment="1">
      <alignment horizontal="center" vertical="center" wrapText="1"/>
    </xf>
    <xf numFmtId="174" fontId="10" fillId="0" borderId="12" xfId="3" applyNumberFormat="1" applyFont="1" applyBorder="1" applyAlignment="1">
      <alignment horizontal="center" vertical="center" wrapText="1"/>
    </xf>
    <xf numFmtId="14" fontId="10" fillId="0" borderId="14" xfId="3" applyNumberFormat="1" applyFont="1" applyBorder="1" applyAlignment="1">
      <alignment horizontal="center" vertical="center" wrapText="1"/>
    </xf>
    <xf numFmtId="14" fontId="10" fillId="0" borderId="13" xfId="3" applyNumberFormat="1" applyFont="1" applyBorder="1" applyAlignment="1">
      <alignment horizontal="center" vertical="center" wrapText="1"/>
    </xf>
    <xf numFmtId="14" fontId="10" fillId="0" borderId="12" xfId="3" applyNumberFormat="1" applyFont="1" applyBorder="1" applyAlignment="1">
      <alignment horizontal="center" vertical="center" wrapText="1"/>
    </xf>
    <xf numFmtId="0" fontId="10" fillId="0" borderId="14" xfId="3" applyFont="1" applyBorder="1" applyAlignment="1">
      <alignment horizontal="left" vertical="center" wrapText="1"/>
    </xf>
    <xf numFmtId="0" fontId="10" fillId="0" borderId="13" xfId="3" applyFont="1" applyBorder="1" applyAlignment="1">
      <alignment horizontal="left" vertical="center" wrapText="1"/>
    </xf>
    <xf numFmtId="0" fontId="10" fillId="0" borderId="12" xfId="3" applyFont="1" applyBorder="1" applyAlignment="1">
      <alignment horizontal="left" vertical="center" wrapText="1"/>
    </xf>
    <xf numFmtId="174" fontId="10" fillId="3" borderId="6" xfId="3" applyNumberFormat="1" applyFont="1" applyFill="1" applyBorder="1" applyAlignment="1">
      <alignment horizontal="center" vertical="center" wrapText="1"/>
    </xf>
    <xf numFmtId="174" fontId="10" fillId="3" borderId="5" xfId="3" applyNumberFormat="1" applyFont="1" applyFill="1" applyBorder="1" applyAlignment="1">
      <alignment horizontal="center" vertical="center" wrapText="1"/>
    </xf>
    <xf numFmtId="174" fontId="10" fillId="3" borderId="4" xfId="3" applyNumberFormat="1" applyFont="1" applyFill="1" applyBorder="1" applyAlignment="1">
      <alignment horizontal="center" vertical="center" wrapText="1"/>
    </xf>
    <xf numFmtId="14" fontId="10" fillId="3" borderId="6" xfId="3" applyNumberFormat="1" applyFont="1" applyFill="1" applyBorder="1" applyAlignment="1">
      <alignment horizontal="center" vertical="center" wrapText="1"/>
    </xf>
    <xf numFmtId="14" fontId="10" fillId="3" borderId="5" xfId="3" applyNumberFormat="1" applyFont="1" applyFill="1" applyBorder="1" applyAlignment="1">
      <alignment horizontal="center" vertical="center" wrapText="1"/>
    </xf>
    <xf numFmtId="14" fontId="10" fillId="3" borderId="4" xfId="3" applyNumberFormat="1" applyFont="1" applyFill="1" applyBorder="1" applyAlignment="1">
      <alignment horizontal="center" vertical="center" wrapText="1"/>
    </xf>
    <xf numFmtId="0" fontId="10" fillId="3" borderId="6" xfId="3" applyFont="1" applyFill="1" applyBorder="1" applyAlignment="1">
      <alignment horizontal="left" vertical="center" wrapText="1"/>
    </xf>
    <xf numFmtId="0" fontId="10" fillId="3" borderId="5" xfId="3" applyFont="1" applyFill="1" applyBorder="1" applyAlignment="1">
      <alignment horizontal="left" vertical="center" wrapText="1"/>
    </xf>
    <xf numFmtId="0" fontId="10" fillId="3" borderId="4" xfId="3" applyFont="1" applyFill="1" applyBorder="1" applyAlignment="1">
      <alignment horizontal="left" vertical="center" wrapText="1"/>
    </xf>
    <xf numFmtId="174" fontId="10" fillId="4" borderId="6" xfId="3" applyNumberFormat="1" applyFont="1" applyFill="1" applyBorder="1" applyAlignment="1">
      <alignment horizontal="center" vertical="center" wrapText="1"/>
    </xf>
    <xf numFmtId="174" fontId="10" fillId="4" borderId="5" xfId="3" applyNumberFormat="1" applyFont="1" applyFill="1" applyBorder="1" applyAlignment="1">
      <alignment horizontal="center" vertical="center" wrapText="1"/>
    </xf>
    <xf numFmtId="174" fontId="10" fillId="4" borderId="4" xfId="3" applyNumberFormat="1" applyFont="1" applyFill="1" applyBorder="1" applyAlignment="1">
      <alignment horizontal="center" vertical="center" wrapText="1"/>
    </xf>
    <xf numFmtId="14" fontId="10" fillId="4" borderId="6" xfId="3" applyNumberFormat="1" applyFont="1" applyFill="1" applyBorder="1" applyAlignment="1">
      <alignment horizontal="center" vertical="center" wrapText="1"/>
    </xf>
    <xf numFmtId="14" fontId="10" fillId="4" borderId="5" xfId="3" applyNumberFormat="1" applyFont="1" applyFill="1" applyBorder="1" applyAlignment="1">
      <alignment horizontal="center" vertical="center" wrapText="1"/>
    </xf>
    <xf numFmtId="14" fontId="10" fillId="4" borderId="4" xfId="3" applyNumberFormat="1" applyFont="1" applyFill="1" applyBorder="1" applyAlignment="1">
      <alignment horizontal="center" vertical="center" wrapText="1"/>
    </xf>
    <xf numFmtId="0" fontId="10" fillId="4" borderId="6" xfId="3" applyFont="1" applyFill="1" applyBorder="1" applyAlignment="1">
      <alignment horizontal="left" vertical="center" wrapText="1"/>
    </xf>
    <xf numFmtId="0" fontId="10" fillId="4" borderId="5" xfId="3" applyFont="1" applyFill="1" applyBorder="1" applyAlignment="1">
      <alignment horizontal="left" vertical="center" wrapText="1"/>
    </xf>
    <xf numFmtId="0" fontId="10" fillId="4" borderId="4" xfId="3" applyFont="1" applyFill="1" applyBorder="1" applyAlignment="1">
      <alignment horizontal="left" vertical="center" wrapText="1"/>
    </xf>
    <xf numFmtId="0" fontId="39" fillId="4" borderId="9" xfId="3" applyFont="1" applyFill="1" applyBorder="1" applyAlignment="1">
      <alignment horizontal="center" vertical="center" wrapText="1"/>
    </xf>
    <xf numFmtId="0" fontId="39" fillId="4" borderId="8" xfId="3" applyFont="1" applyFill="1" applyBorder="1" applyAlignment="1">
      <alignment horizontal="center" vertical="center" wrapText="1"/>
    </xf>
    <xf numFmtId="0" fontId="39" fillId="4" borderId="7" xfId="3" applyFont="1" applyFill="1" applyBorder="1" applyAlignment="1">
      <alignment horizontal="center" vertical="center" wrapText="1"/>
    </xf>
    <xf numFmtId="0" fontId="10" fillId="0" borderId="0" xfId="3" applyFont="1" applyAlignment="1">
      <alignment vertical="center"/>
    </xf>
    <xf numFmtId="44" fontId="17" fillId="4" borderId="3" xfId="10" applyFont="1" applyFill="1" applyBorder="1" applyAlignment="1">
      <alignment horizontal="center" vertical="center" wrapText="1"/>
    </xf>
    <xf numFmtId="44" fontId="17" fillId="4" borderId="3" xfId="10" applyFont="1" applyFill="1" applyBorder="1" applyAlignment="1">
      <alignment horizontal="center" vertical="center"/>
    </xf>
    <xf numFmtId="9" fontId="17" fillId="3" borderId="3" xfId="3" applyNumberFormat="1" applyFont="1" applyFill="1" applyBorder="1" applyAlignment="1">
      <alignment horizontal="center" vertical="center"/>
    </xf>
    <xf numFmtId="9" fontId="17" fillId="4" borderId="3" xfId="3" applyNumberFormat="1" applyFont="1" applyFill="1" applyBorder="1" applyAlignment="1">
      <alignment horizontal="center" vertical="center"/>
    </xf>
    <xf numFmtId="164" fontId="17" fillId="3" borderId="3" xfId="2" applyNumberFormat="1" applyFont="1" applyFill="1" applyBorder="1" applyAlignment="1">
      <alignment horizontal="center" vertical="center" wrapText="1"/>
    </xf>
    <xf numFmtId="164" fontId="17" fillId="4" borderId="3" xfId="3" applyNumberFormat="1" applyFont="1" applyFill="1" applyBorder="1" applyAlignment="1">
      <alignment horizontal="center" vertical="center"/>
    </xf>
    <xf numFmtId="0" fontId="17" fillId="3" borderId="3" xfId="3" applyFont="1" applyFill="1" applyBorder="1" applyAlignment="1">
      <alignment horizontal="center" vertical="center"/>
    </xf>
    <xf numFmtId="0" fontId="10" fillId="0" borderId="68" xfId="3" applyFont="1" applyBorder="1" applyAlignment="1">
      <alignment horizontal="left" vertical="center" wrapText="1"/>
    </xf>
    <xf numFmtId="0" fontId="10" fillId="0" borderId="67" xfId="3" applyFont="1" applyBorder="1" applyAlignment="1">
      <alignment horizontal="left" vertical="center"/>
    </xf>
    <xf numFmtId="0" fontId="10" fillId="0" borderId="69" xfId="3" applyFont="1" applyBorder="1" applyAlignment="1">
      <alignment horizontal="left" vertical="center"/>
    </xf>
    <xf numFmtId="0" fontId="10" fillId="0" borderId="18" xfId="3" applyFont="1" applyBorder="1" applyAlignment="1">
      <alignment horizontal="left" vertical="center"/>
    </xf>
    <xf numFmtId="0" fontId="10" fillId="0" borderId="0" xfId="3" applyFont="1" applyAlignment="1">
      <alignment horizontal="left" vertical="center"/>
    </xf>
    <xf numFmtId="0" fontId="10" fillId="0" borderId="21" xfId="3" applyFont="1" applyBorder="1" applyAlignment="1">
      <alignment horizontal="left" vertical="center"/>
    </xf>
    <xf numFmtId="0" fontId="10" fillId="0" borderId="22" xfId="3" applyFont="1" applyBorder="1" applyAlignment="1">
      <alignment horizontal="left" vertical="center"/>
    </xf>
    <xf numFmtId="0" fontId="10" fillId="0" borderId="1" xfId="3" applyFont="1" applyBorder="1" applyAlignment="1">
      <alignment horizontal="left" vertical="center"/>
    </xf>
    <xf numFmtId="0" fontId="10" fillId="0" borderId="23" xfId="3" applyFont="1" applyBorder="1" applyAlignment="1">
      <alignment horizontal="left" vertical="center"/>
    </xf>
    <xf numFmtId="167" fontId="9" fillId="8" borderId="0" xfId="8" applyNumberFormat="1" applyFont="1" applyFill="1" applyBorder="1" applyAlignment="1">
      <alignment horizontal="center" vertical="center"/>
    </xf>
    <xf numFmtId="0" fontId="14" fillId="3" borderId="70" xfId="7" applyFont="1" applyFill="1" applyBorder="1" applyAlignment="1">
      <alignment horizontal="left" vertical="center" wrapText="1"/>
    </xf>
    <xf numFmtId="0" fontId="14" fillId="3" borderId="66" xfId="7" applyFont="1" applyFill="1" applyBorder="1" applyAlignment="1">
      <alignment horizontal="left" vertical="center" wrapText="1"/>
    </xf>
    <xf numFmtId="0" fontId="14" fillId="3" borderId="66" xfId="7" applyFont="1" applyFill="1" applyBorder="1" applyAlignment="1">
      <alignment horizontal="center" vertical="center" wrapText="1"/>
    </xf>
    <xf numFmtId="49" fontId="0" fillId="4" borderId="6" xfId="0" applyNumberFormat="1" applyFill="1" applyBorder="1" applyAlignment="1">
      <alignment horizontal="center" vertical="center" shrinkToFit="1"/>
    </xf>
    <xf numFmtId="49" fontId="0" fillId="4" borderId="5" xfId="0" applyNumberFormat="1" applyFill="1" applyBorder="1" applyAlignment="1">
      <alignment horizontal="center" vertical="center" shrinkToFit="1"/>
    </xf>
    <xf numFmtId="166" fontId="15" fillId="2" borderId="6" xfId="4" applyFont="1" applyFill="1" applyBorder="1" applyAlignment="1">
      <alignment horizontal="center" vertical="center" wrapText="1"/>
    </xf>
    <xf numFmtId="166" fontId="15" fillId="2" borderId="5" xfId="4" applyFont="1" applyFill="1" applyBorder="1" applyAlignment="1">
      <alignment horizontal="center" vertical="center" wrapText="1"/>
    </xf>
    <xf numFmtId="166" fontId="15" fillId="2" borderId="4" xfId="4" applyFont="1" applyFill="1" applyBorder="1" applyAlignment="1">
      <alignment horizontal="center" vertical="center" wrapText="1"/>
    </xf>
  </cellXfs>
  <cellStyles count="27">
    <cellStyle name="Accent2" xfId="24" builtinId="33"/>
    <cellStyle name="Bad" xfId="12" builtinId="27"/>
    <cellStyle name="Calculation" xfId="13" builtinId="22"/>
    <cellStyle name="Comma" xfId="1" builtinId="3"/>
    <cellStyle name="Comma 2" xfId="5" xr:uid="{00000000-0005-0000-0000-000003000000}"/>
    <cellStyle name="Currency" xfId="10" builtinId="4"/>
    <cellStyle name="Currency 15" xfId="11" xr:uid="{00000000-0005-0000-0000-000005000000}"/>
    <cellStyle name="Currency 2" xfId="4" xr:uid="{00000000-0005-0000-0000-000006000000}"/>
    <cellStyle name="Good" xfId="15" builtinId="26"/>
    <cellStyle name="Header 5" xfId="7" xr:uid="{00000000-0005-0000-0000-000008000000}"/>
    <cellStyle name="Heading 2" xfId="16" builtinId="17"/>
    <cellStyle name="Heading 3" xfId="17" builtinId="18"/>
    <cellStyle name="Heading 4" xfId="18" builtinId="19"/>
    <cellStyle name="Hyperlink" xfId="14" builtinId="8"/>
    <cellStyle name="Input 2" xfId="8" xr:uid="{00000000-0005-0000-0000-00000E000000}"/>
    <cellStyle name="Normal" xfId="0" builtinId="0"/>
    <cellStyle name="Normal 2" xfId="3" xr:uid="{00000000-0005-0000-0000-000010000000}"/>
    <cellStyle name="Normal 3" xfId="19" xr:uid="{00000000-0005-0000-0000-000011000000}"/>
    <cellStyle name="Normal 4" xfId="20" xr:uid="{00000000-0005-0000-0000-000012000000}"/>
    <cellStyle name="Normal 4 2" xfId="21" xr:uid="{00000000-0005-0000-0000-000013000000}"/>
    <cellStyle name="Normal 5" xfId="22" xr:uid="{00000000-0005-0000-0000-000014000000}"/>
    <cellStyle name="Normal 6" xfId="23" xr:uid="{00000000-0005-0000-0000-000015000000}"/>
    <cellStyle name="Normal 7" xfId="25" xr:uid="{CADCF31B-363E-43F4-9B3D-621E245682C4}"/>
    <cellStyle name="Normal 7 2" xfId="26" xr:uid="{2367C358-810A-4CA5-A4FE-0DD27B5276A3}"/>
    <cellStyle name="Percent" xfId="2" builtinId="5"/>
    <cellStyle name="Percent 2" xfId="6" xr:uid="{00000000-0005-0000-0000-000017000000}"/>
    <cellStyle name="Title 2" xfId="9" xr:uid="{00000000-0005-0000-0000-000018000000}"/>
  </cellStyles>
  <dxfs count="2462">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006100"/>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ill>
        <patternFill patternType="gray0625">
          <fgColor rgb="FFFF757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006100"/>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ill>
        <patternFill patternType="gray0625">
          <fgColor rgb="FFFF757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ont>
        <color rgb="FF9C0006"/>
      </font>
      <fill>
        <patternFill>
          <bgColor rgb="FFFFC7CE"/>
        </patternFill>
      </fill>
    </dxf>
    <dxf>
      <font>
        <color theme="0"/>
      </font>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006100"/>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ill>
        <patternFill patternType="gray0625">
          <fgColor rgb="FFFF757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3F3F76"/>
      </font>
      <fill>
        <patternFill>
          <bgColor rgb="FFFFCC99"/>
        </patternFill>
      </fill>
      <border>
        <left style="thin">
          <color rgb="FF757575"/>
        </left>
        <right style="thin">
          <color rgb="FF757575"/>
        </right>
        <top style="thin">
          <color rgb="FF757575"/>
        </top>
        <bottom style="thin">
          <color rgb="FF757575"/>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B9B"/>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ill>
        <patternFill patternType="gray0625">
          <fgColor rgb="FFFF7575"/>
        </patternFill>
      </fill>
    </dxf>
    <dxf>
      <font>
        <color rgb="FF006100"/>
      </font>
      <fill>
        <patternFill>
          <bgColor rgb="FFC6EFCE"/>
        </patternFill>
      </fill>
    </dxf>
    <dxf>
      <font>
        <color rgb="FF9C6500"/>
      </font>
      <fill>
        <patternFill>
          <bgColor rgb="FFFFEB9C"/>
        </patternFill>
      </fill>
    </dxf>
    <dxf>
      <font>
        <color rgb="FFC00000"/>
      </font>
      <fill>
        <patternFill>
          <bgColor rgb="FFFFCCCC"/>
        </patternFill>
      </fill>
      <border>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3" tint="-0.499984740745262"/>
        </patternFill>
      </fill>
    </dxf>
    <dxf>
      <font>
        <b/>
        <i val="0"/>
        <color theme="0"/>
      </font>
      <fill>
        <patternFill>
          <bgColor theme="9" tint="-0.24994659260841701"/>
        </patternFill>
      </fill>
    </dxf>
    <dxf>
      <font>
        <b/>
        <i val="0"/>
        <color theme="1"/>
      </font>
      <fill>
        <patternFill>
          <bgColor rgb="FFFFFF00"/>
        </patternFill>
      </fill>
    </dxf>
    <dxf>
      <font>
        <b/>
        <i val="0"/>
        <color theme="0"/>
      </font>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3" tint="-0.499984740745262"/>
        </patternFill>
      </fill>
    </dxf>
    <dxf>
      <font>
        <b/>
        <i val="0"/>
        <color theme="0"/>
      </font>
      <fill>
        <patternFill>
          <bgColor theme="9" tint="-0.24994659260841701"/>
        </patternFill>
      </fill>
    </dxf>
    <dxf>
      <font>
        <b/>
        <i val="0"/>
        <color theme="1"/>
      </font>
      <fill>
        <patternFill>
          <bgColor rgb="FFFFFF00"/>
        </patternFill>
      </fill>
    </dxf>
    <dxf>
      <font>
        <b/>
        <i val="0"/>
        <color theme="0"/>
      </font>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006100"/>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ill>
        <patternFill patternType="gray0625">
          <fgColor rgb="FFFF7575"/>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3" tint="-0.499984740745262"/>
        </patternFill>
      </fill>
    </dxf>
    <dxf>
      <font>
        <b/>
        <i val="0"/>
        <color theme="0"/>
      </font>
      <fill>
        <patternFill>
          <bgColor theme="9" tint="-0.24994659260841701"/>
        </patternFill>
      </fill>
    </dxf>
    <dxf>
      <font>
        <b/>
        <i val="0"/>
        <color theme="1"/>
      </font>
      <fill>
        <patternFill>
          <bgColor rgb="FFFFFF00"/>
        </patternFill>
      </fill>
    </dxf>
    <dxf>
      <font>
        <b/>
        <i val="0"/>
        <color theme="0"/>
      </font>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3" tint="-0.499984740745262"/>
        </patternFill>
      </fill>
    </dxf>
    <dxf>
      <font>
        <b/>
        <i val="0"/>
        <color theme="0"/>
      </font>
      <fill>
        <patternFill>
          <bgColor theme="9" tint="-0.24994659260841701"/>
        </patternFill>
      </fill>
    </dxf>
    <dxf>
      <font>
        <b/>
        <i val="0"/>
        <color theme="1"/>
      </font>
      <fill>
        <patternFill>
          <bgColor rgb="FFFFFF00"/>
        </patternFill>
      </fill>
    </dxf>
    <dxf>
      <font>
        <b/>
        <i val="0"/>
        <color theme="0"/>
      </font>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006100"/>
      </font>
      <fill>
        <patternFill>
          <bgColor theme="9" tint="0.59996337778862885"/>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1" tint="0.24994659260841701"/>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numFmt numFmtId="13" formatCode="0%"/>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rgb="FFFF7575"/>
        </patternFill>
      </fill>
    </dxf>
    <dxf>
      <fill>
        <patternFill patternType="gray0625">
          <fgColor auto="1"/>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3" tint="-0.499984740745262"/>
        </patternFill>
      </fill>
    </dxf>
    <dxf>
      <font>
        <b/>
        <i val="0"/>
        <color theme="0"/>
      </font>
      <fill>
        <patternFill>
          <bgColor theme="9" tint="-0.24994659260841701"/>
        </patternFill>
      </fill>
    </dxf>
    <dxf>
      <font>
        <b/>
        <i val="0"/>
        <color theme="1"/>
      </font>
      <fill>
        <patternFill>
          <bgColor rgb="FFFFFF00"/>
        </patternFill>
      </fill>
    </dxf>
    <dxf>
      <font>
        <b/>
        <i val="0"/>
        <color theme="0"/>
      </font>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3" tint="-0.499984740745262"/>
        </patternFill>
      </fill>
    </dxf>
    <dxf>
      <font>
        <b/>
        <i val="0"/>
        <color theme="0"/>
      </font>
      <fill>
        <patternFill>
          <bgColor theme="9" tint="-0.24994659260841701"/>
        </patternFill>
      </fill>
    </dxf>
    <dxf>
      <font>
        <b/>
        <i val="0"/>
        <color theme="1"/>
      </font>
      <fill>
        <patternFill>
          <bgColor rgb="FFFFFF00"/>
        </patternFill>
      </fill>
    </dxf>
    <dxf>
      <font>
        <b/>
        <i val="0"/>
        <color theme="0"/>
      </font>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fgColor rgb="FFFF7575"/>
        </patternFill>
      </fill>
    </dxf>
    <dxf>
      <fill>
        <patternFill patternType="gray0625">
          <fgColor auto="1"/>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theme="0"/>
      </font>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3" tint="-0.499984740745262"/>
        </patternFill>
      </fill>
    </dxf>
    <dxf>
      <font>
        <b/>
        <i val="0"/>
        <color theme="0"/>
      </font>
      <fill>
        <patternFill>
          <bgColor theme="9" tint="-0.24994659260841701"/>
        </patternFill>
      </fill>
    </dxf>
    <dxf>
      <font>
        <b/>
        <i val="0"/>
        <color theme="1"/>
      </font>
      <fill>
        <patternFill>
          <bgColor rgb="FFFFFF00"/>
        </patternFill>
      </fill>
    </dxf>
    <dxf>
      <font>
        <b/>
        <i val="0"/>
        <color theme="0"/>
      </font>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3" tint="-0.499984740745262"/>
        </patternFill>
      </fill>
    </dxf>
    <dxf>
      <font>
        <b/>
        <i val="0"/>
        <color theme="0"/>
      </font>
      <fill>
        <patternFill>
          <bgColor theme="9" tint="-0.24994659260841701"/>
        </patternFill>
      </fill>
    </dxf>
    <dxf>
      <font>
        <b/>
        <i val="0"/>
        <color theme="1"/>
      </font>
      <fill>
        <patternFill>
          <bgColor rgb="FFFFFF00"/>
        </patternFill>
      </fill>
    </dxf>
    <dxf>
      <font>
        <b/>
        <i val="0"/>
        <color theme="0"/>
      </font>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rgb="FFFF7575"/>
        </patternFill>
      </fill>
    </dxf>
    <dxf>
      <fill>
        <patternFill patternType="gray0625">
          <fgColor auto="1"/>
          <bgColor rgb="FFFF9F9F"/>
        </patternFill>
      </fill>
    </dxf>
    <dxf>
      <font>
        <color rgb="FF3F3F76"/>
      </font>
      <fill>
        <patternFill>
          <bgColor rgb="FFFFCC99"/>
        </patternFill>
      </fill>
      <border>
        <left style="thin">
          <color rgb="FF757575"/>
        </left>
        <right style="thin">
          <color rgb="FF757575"/>
        </right>
        <top style="thin">
          <color rgb="FF757575"/>
        </top>
        <bottom style="thin">
          <color rgb="FF757575"/>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theme="0"/>
      </font>
    </dxf>
    <dxf>
      <fill>
        <patternFill patternType="gray0625">
          <bgColor rgb="FFFF9B9B"/>
        </patternFill>
      </fill>
    </dxf>
    <dxf>
      <fill>
        <patternFill patternType="gray0625">
          <bgColor rgb="FFFF9B9B"/>
        </patternFill>
      </fill>
    </dxf>
    <dxf>
      <fill>
        <patternFill patternType="gray0625">
          <bgColor rgb="FFFF9B9B"/>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ont>
        <color rgb="FF9C0006"/>
      </font>
      <fill>
        <patternFill>
          <bgColor rgb="FFFFC7CE"/>
        </patternFill>
      </fill>
    </dxf>
    <dxf>
      <font>
        <color rgb="FF9C0006"/>
      </font>
      <fill>
        <patternFill>
          <bgColor rgb="FFFFC7CE"/>
        </patternFill>
      </fill>
    </dxf>
    <dxf>
      <font>
        <color rgb="FF006100"/>
      </font>
      <fill>
        <patternFill>
          <bgColor theme="9"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ill>
        <patternFill patternType="gray0625">
          <fgColor rgb="FFFF7575"/>
        </patternFill>
      </fill>
    </dxf>
    <dxf>
      <fill>
        <patternFill patternType="gray0625">
          <bgColor rgb="FFFF9F9F"/>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theme="9"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3" tint="-0.499984740745262"/>
        </patternFill>
      </fill>
    </dxf>
    <dxf>
      <font>
        <b/>
        <i val="0"/>
        <color theme="0"/>
      </font>
      <fill>
        <patternFill>
          <bgColor theme="9" tint="-0.24994659260841701"/>
        </patternFill>
      </fill>
    </dxf>
    <dxf>
      <font>
        <b/>
        <i val="0"/>
        <color theme="1"/>
      </font>
      <fill>
        <patternFill>
          <bgColor rgb="FFFFFF00"/>
        </patternFill>
      </fill>
    </dxf>
    <dxf>
      <font>
        <b/>
        <i val="0"/>
        <color theme="0"/>
      </font>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theme="9" tint="0.79998168889431442"/>
        </patternFill>
      </fill>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ill>
        <patternFill patternType="gray0625">
          <fgColor rgb="FFFF7575"/>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fgColor auto="1"/>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theme="0"/>
      </font>
    </dxf>
    <dxf>
      <font>
        <color rgb="FF9C0006"/>
      </font>
      <fill>
        <patternFill>
          <bgColor rgb="FFFFC7CE"/>
        </patternFill>
      </fill>
    </dxf>
    <dxf>
      <font>
        <color rgb="FF006100"/>
      </font>
      <fill>
        <patternFill>
          <bgColor theme="9" tint="0.79998168889431442"/>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fgColor auto="1"/>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1" tint="0.24994659260841701"/>
      </font>
      <fill>
        <patternFill>
          <bgColor theme="0" tint="-4.9989318521683403E-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1" tint="0.24994659260841701"/>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theme="1" tint="0.24994659260841701"/>
      </font>
      <fill>
        <patternFill>
          <bgColor theme="0" tint="-4.9989318521683403E-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theme="1" tint="0.24994659260841701"/>
      </font>
      <fill>
        <patternFill>
          <bgColor rgb="FFD9D9D9"/>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theme="1" tint="0.24994659260841701"/>
      </font>
      <fill>
        <patternFill>
          <bgColor theme="0" tint="-4.9989318521683403E-2"/>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theme="1" tint="0.24994659260841701"/>
      </font>
      <fill>
        <patternFill>
          <bgColor rgb="FFD9D9D9"/>
        </patternFill>
      </fill>
    </dxf>
    <dxf>
      <font>
        <color theme="0"/>
      </font>
    </dxf>
    <dxf>
      <font>
        <color rgb="FF9C0006"/>
      </font>
      <fill>
        <patternFill>
          <bgColor rgb="FFFFC7CE"/>
        </patternFill>
      </fill>
    </dxf>
    <dxf>
      <font>
        <color theme="0"/>
      </font>
    </dxf>
    <dxf>
      <font>
        <color rgb="FF9C0006"/>
      </font>
      <fill>
        <patternFill>
          <bgColor rgb="FFFFC7CE"/>
        </patternFill>
      </fill>
    </dxf>
    <dxf>
      <font>
        <color rgb="FF006100"/>
      </font>
      <fill>
        <patternFill>
          <bgColor theme="9"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fgColor auto="1"/>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1" tint="0.24994659260841701"/>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1" tint="0.24994659260841701"/>
      </font>
      <fill>
        <patternFill>
          <bgColor theme="0" tint="-4.9989318521683403E-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theme="0"/>
      </font>
    </dxf>
    <dxf>
      <font>
        <color rgb="FF9C0006"/>
      </font>
      <fill>
        <patternFill>
          <bgColor rgb="FFFFC7CE"/>
        </patternFill>
      </fill>
    </dxf>
    <dxf>
      <font>
        <color rgb="FF006100"/>
      </font>
      <fill>
        <patternFill>
          <bgColor theme="9"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ill>
        <patternFill patternType="gray0625">
          <bgColor rgb="FFFF9B9B"/>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fgColor auto="1"/>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theme="1" tint="0.24994659260841701"/>
      </font>
      <fill>
        <patternFill>
          <bgColor theme="0" tint="-4.9989318521683403E-2"/>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theme="9"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fgColor auto="1"/>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404040"/>
      </font>
      <fill>
        <patternFill>
          <bgColor rgb="FFF2F2F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theme="1" tint="0.24994659260841701"/>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0"/>
      </font>
    </dxf>
    <dxf>
      <font>
        <color theme="0"/>
      </font>
    </dxf>
    <dxf>
      <font>
        <color rgb="FF9C0006"/>
      </font>
      <fill>
        <patternFill>
          <bgColor rgb="FFFFC7CE"/>
        </patternFill>
      </fill>
    </dxf>
    <dxf>
      <font>
        <color theme="0"/>
      </font>
    </dxf>
    <dxf>
      <font>
        <color rgb="FF9C0006"/>
      </font>
      <fill>
        <patternFill>
          <bgColor rgb="FFFFC7CE"/>
        </patternFill>
      </fill>
    </dxf>
    <dxf>
      <font>
        <color rgb="FF006100"/>
      </font>
      <fill>
        <patternFill>
          <bgColor theme="9"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fgColor auto="1"/>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tint="0.24994659260841701"/>
      </font>
      <fill>
        <patternFill>
          <bgColor rgb="FFF2F2F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1" tint="0.24994659260841701"/>
      </font>
      <fill>
        <patternFill>
          <bgColor rgb="FFD9D9D9"/>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006100"/>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patternType="none">
          <bgColor auto="1"/>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color theme="0"/>
      </font>
      <fill>
        <patternFill>
          <bgColor rgb="FFFF0000"/>
        </patternFill>
      </fill>
    </dxf>
    <dxf>
      <font>
        <color auto="1"/>
      </font>
      <fill>
        <patternFill>
          <bgColor rgb="FFFFFF00"/>
        </patternFill>
      </fill>
    </dxf>
    <dxf>
      <font>
        <color theme="0"/>
      </font>
      <fill>
        <patternFill>
          <bgColor rgb="FF00B050"/>
        </patternFill>
      </fill>
    </dxf>
    <dxf>
      <font>
        <color auto="1"/>
      </font>
      <fill>
        <patternFill patternType="none">
          <bgColor auto="1"/>
        </patternFill>
      </fill>
    </dxf>
    <dxf>
      <font>
        <color theme="0"/>
      </font>
      <fill>
        <patternFill>
          <bgColor rgb="FFFF0000"/>
        </patternFill>
      </fill>
    </dxf>
    <dxf>
      <font>
        <color auto="1"/>
      </font>
      <fill>
        <patternFill>
          <bgColor rgb="FFFFFF00"/>
        </patternFill>
      </fill>
    </dxf>
    <dxf>
      <font>
        <color theme="0"/>
      </font>
      <fill>
        <patternFill>
          <bgColor rgb="FF00B050"/>
        </patternFill>
      </fill>
    </dxf>
    <dxf>
      <font>
        <color auto="1"/>
      </font>
      <fill>
        <patternFill patternType="none">
          <bgColor auto="1"/>
        </patternFill>
      </fill>
    </dxf>
    <dxf>
      <font>
        <color theme="1"/>
      </font>
      <fill>
        <patternFill>
          <bgColor rgb="FFFFFF00"/>
        </patternFill>
      </fill>
    </dxf>
    <dxf>
      <font>
        <color theme="0"/>
      </font>
      <fill>
        <patternFill>
          <bgColor rgb="FF00B050"/>
        </patternFill>
      </fill>
    </dxf>
    <dxf>
      <font>
        <color auto="1"/>
      </font>
      <fill>
        <patternFill patternType="solid">
          <bgColor rgb="FFFF0000"/>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color theme="0"/>
      </font>
      <fill>
        <patternFill patternType="solid">
          <bgColor rgb="FFFF0000"/>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s>
  <tableStyles count="1" defaultTableStyle="TableStyleMedium2" defaultPivotStyle="PivotStyleLight16">
    <tableStyle name="Invisible" pivot="0" table="0" count="0" xr9:uid="{C2CD802B-7023-4A72-A795-AD82F07A1740}"/>
  </tableStyles>
  <colors>
    <mruColors>
      <color rgb="FFFFF2CC"/>
      <color rgb="FF00FF00"/>
      <color rgb="FF0070C0"/>
      <color rgb="FFA5A5A5"/>
      <color rgb="FF5B9BD5"/>
      <color rgb="FFFFEB9C"/>
      <color rgb="FFED7D31"/>
      <color rgb="FFD9D9D9"/>
      <color rgb="FFF2F2F2"/>
      <color rgb="FFA6A6A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theme" Target="theme/theme1.xml"/><Relationship Id="rId42"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sheetMetadata" Target="metadata.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43" Type="http://schemas.openxmlformats.org/officeDocument/2006/relationships/customXml" Target="../customXml/item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chartUserShapes" Target="../drawings/drawing9.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 Id="rId4" Type="http://schemas.openxmlformats.org/officeDocument/2006/relationships/chartUserShapes" Target="../drawings/drawing11.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 Id="rId4" Type="http://schemas.openxmlformats.org/officeDocument/2006/relationships/chartUserShapes" Target="../drawings/drawing12.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 Id="rId4" Type="http://schemas.openxmlformats.org/officeDocument/2006/relationships/chartUserShapes" Target="../drawings/drawing13.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14.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2.xml"/><Relationship Id="rId1" Type="http://schemas.microsoft.com/office/2011/relationships/chartStyle" Target="style12.xml"/><Relationship Id="rId4" Type="http://schemas.openxmlformats.org/officeDocument/2006/relationships/chartUserShapes" Target="../drawings/drawing16.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16.xml"/><Relationship Id="rId1" Type="http://schemas.microsoft.com/office/2011/relationships/chartStyle" Target="style16.xml"/><Relationship Id="rId4" Type="http://schemas.openxmlformats.org/officeDocument/2006/relationships/chartUserShapes" Target="../drawings/drawing18.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19.xml"/><Relationship Id="rId1" Type="http://schemas.microsoft.com/office/2011/relationships/chartStyle" Target="style19.xml"/><Relationship Id="rId4" Type="http://schemas.openxmlformats.org/officeDocument/2006/relationships/chartUserShapes" Target="../drawings/drawing21.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20.xml"/><Relationship Id="rId1" Type="http://schemas.microsoft.com/office/2011/relationships/chartStyle" Target="style20.xml"/><Relationship Id="rId4" Type="http://schemas.openxmlformats.org/officeDocument/2006/relationships/chartUserShapes" Target="../drawings/drawing22.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21.xml"/><Relationship Id="rId1" Type="http://schemas.microsoft.com/office/2011/relationships/chartStyle" Target="style21.xml"/><Relationship Id="rId4" Type="http://schemas.openxmlformats.org/officeDocument/2006/relationships/chartUserShapes" Target="../drawings/drawing23.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21.xml"/><Relationship Id="rId2" Type="http://schemas.microsoft.com/office/2011/relationships/chartColorStyle" Target="colors22.xml"/><Relationship Id="rId1" Type="http://schemas.microsoft.com/office/2011/relationships/chartStyle" Target="style22.xml"/><Relationship Id="rId4" Type="http://schemas.openxmlformats.org/officeDocument/2006/relationships/chartUserShapes" Target="../drawings/drawing24.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22.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23.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24.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25.xml"/><Relationship Id="rId2" Type="http://schemas.microsoft.com/office/2011/relationships/chartColorStyle" Target="colors26.xml"/><Relationship Id="rId1" Type="http://schemas.microsoft.com/office/2011/relationships/chartStyle" Target="style26.xml"/><Relationship Id="rId4" Type="http://schemas.openxmlformats.org/officeDocument/2006/relationships/chartUserShapes" Target="../drawings/drawing25.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6.xml"/><Relationship Id="rId2" Type="http://schemas.microsoft.com/office/2011/relationships/chartColorStyle" Target="colors27.xml"/><Relationship Id="rId1" Type="http://schemas.microsoft.com/office/2011/relationships/chartStyle" Target="style27.xml"/><Relationship Id="rId4" Type="http://schemas.openxmlformats.org/officeDocument/2006/relationships/chartUserShapes" Target="../drawings/drawing27.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27.xml"/><Relationship Id="rId2" Type="http://schemas.microsoft.com/office/2011/relationships/chartColorStyle" Target="colors28.xml"/><Relationship Id="rId1" Type="http://schemas.microsoft.com/office/2011/relationships/chartStyle" Target="style28.xml"/><Relationship Id="rId4" Type="http://schemas.openxmlformats.org/officeDocument/2006/relationships/chartUserShapes" Target="../drawings/drawing28.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28.xml"/><Relationship Id="rId2" Type="http://schemas.microsoft.com/office/2011/relationships/chartColorStyle" Target="colors29.xml"/><Relationship Id="rId1" Type="http://schemas.microsoft.com/office/2011/relationships/chartStyle" Target="style29.xml"/><Relationship Id="rId4" Type="http://schemas.openxmlformats.org/officeDocument/2006/relationships/chartUserShapes" Target="../drawings/drawing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29.xml"/><Relationship Id="rId2" Type="http://schemas.microsoft.com/office/2011/relationships/chartColorStyle" Target="colors31.xml"/><Relationship Id="rId1" Type="http://schemas.microsoft.com/office/2011/relationships/chartStyle" Target="style31.xml"/><Relationship Id="rId4" Type="http://schemas.openxmlformats.org/officeDocument/2006/relationships/chartUserShapes" Target="../drawings/drawing33.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30.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31.xml"/><Relationship Id="rId2" Type="http://schemas.microsoft.com/office/2011/relationships/chartColorStyle" Target="colors33.xml"/><Relationship Id="rId1" Type="http://schemas.microsoft.com/office/2011/relationships/chartStyle" Target="style33.xml"/><Relationship Id="rId4" Type="http://schemas.openxmlformats.org/officeDocument/2006/relationships/chartUserShapes" Target="../drawings/drawing34.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32.xml"/><Relationship Id="rId2" Type="http://schemas.microsoft.com/office/2011/relationships/chartColorStyle" Target="colors34.xml"/><Relationship Id="rId1" Type="http://schemas.microsoft.com/office/2011/relationships/chartStyle" Target="style34.xml"/><Relationship Id="rId4" Type="http://schemas.openxmlformats.org/officeDocument/2006/relationships/chartUserShapes" Target="../drawings/drawing35.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33.xml"/><Relationship Id="rId2" Type="http://schemas.microsoft.com/office/2011/relationships/chartColorStyle" Target="colors35.xml"/><Relationship Id="rId1" Type="http://schemas.microsoft.com/office/2011/relationships/chartStyle" Target="style35.xml"/><Relationship Id="rId4" Type="http://schemas.openxmlformats.org/officeDocument/2006/relationships/chartUserShapes" Target="../drawings/drawing36.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34.xml"/><Relationship Id="rId2" Type="http://schemas.microsoft.com/office/2011/relationships/chartColorStyle" Target="colors37.xml"/><Relationship Id="rId1" Type="http://schemas.microsoft.com/office/2011/relationships/chartStyle" Target="style37.xml"/><Relationship Id="rId4" Type="http://schemas.openxmlformats.org/officeDocument/2006/relationships/chartUserShapes" Target="../drawings/drawing38.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35.xml"/><Relationship Id="rId2" Type="http://schemas.microsoft.com/office/2011/relationships/chartColorStyle" Target="colors38.xml"/><Relationship Id="rId1" Type="http://schemas.microsoft.com/office/2011/relationships/chartStyle" Target="style38.xml"/><Relationship Id="rId4" Type="http://schemas.openxmlformats.org/officeDocument/2006/relationships/chartUserShapes" Target="../drawings/drawing39.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36.xml"/><Relationship Id="rId2" Type="http://schemas.microsoft.com/office/2011/relationships/chartColorStyle" Target="colors39.xml"/><Relationship Id="rId1" Type="http://schemas.microsoft.com/office/2011/relationships/chartStyle" Target="style39.xml"/><Relationship Id="rId4" Type="http://schemas.openxmlformats.org/officeDocument/2006/relationships/chartUserShapes" Target="../drawings/drawing40.xml"/></Relationships>
</file>

<file path=xl/charts/_rels/chart40.xml.rels><?xml version="1.0" encoding="UTF-8" standalone="yes"?>
<Relationships xmlns="http://schemas.openxmlformats.org/package/2006/relationships"><Relationship Id="rId3" Type="http://schemas.openxmlformats.org/officeDocument/2006/relationships/themeOverride" Target="../theme/themeOverride37.xml"/><Relationship Id="rId2" Type="http://schemas.microsoft.com/office/2011/relationships/chartColorStyle" Target="colors40.xml"/><Relationship Id="rId1" Type="http://schemas.microsoft.com/office/2011/relationships/chartStyle" Target="style40.xml"/><Relationship Id="rId4" Type="http://schemas.openxmlformats.org/officeDocument/2006/relationships/chartUserShapes" Target="../drawings/drawing41.xml"/></Relationships>
</file>

<file path=xl/charts/_rels/chart41.xml.rels><?xml version="1.0" encoding="UTF-8" standalone="yes"?>
<Relationships xmlns="http://schemas.openxmlformats.org/package/2006/relationships"><Relationship Id="rId3" Type="http://schemas.openxmlformats.org/officeDocument/2006/relationships/themeOverride" Target="../theme/themeOverride38.xml"/><Relationship Id="rId2" Type="http://schemas.microsoft.com/office/2011/relationships/chartColorStyle" Target="colors41.xml"/><Relationship Id="rId1" Type="http://schemas.microsoft.com/office/2011/relationships/chartStyle" Target="style41.xml"/><Relationship Id="rId4" Type="http://schemas.openxmlformats.org/officeDocument/2006/relationships/chartUserShapes" Target="../drawings/drawing42.xml"/></Relationships>
</file>

<file path=xl/charts/_rels/chart42.xml.rels><?xml version="1.0" encoding="UTF-8" standalone="yes"?>
<Relationships xmlns="http://schemas.openxmlformats.org/package/2006/relationships"><Relationship Id="rId3" Type="http://schemas.openxmlformats.org/officeDocument/2006/relationships/themeOverride" Target="../theme/themeOverride39.xml"/><Relationship Id="rId2" Type="http://schemas.microsoft.com/office/2011/relationships/chartColorStyle" Target="colors42.xml"/><Relationship Id="rId1" Type="http://schemas.microsoft.com/office/2011/relationships/chartStyle" Target="style42.xml"/><Relationship Id="rId4" Type="http://schemas.openxmlformats.org/officeDocument/2006/relationships/chartUserShapes" Target="../drawings/drawing43.xml"/></Relationships>
</file>

<file path=xl/charts/_rels/chart44.xml.rels><?xml version="1.0" encoding="UTF-8" standalone="yes"?>
<Relationships xmlns="http://schemas.openxmlformats.org/package/2006/relationships"><Relationship Id="rId3" Type="http://schemas.openxmlformats.org/officeDocument/2006/relationships/themeOverride" Target="../theme/themeOverride40.xml"/><Relationship Id="rId2" Type="http://schemas.microsoft.com/office/2011/relationships/chartColorStyle" Target="colors43.xml"/><Relationship Id="rId1" Type="http://schemas.microsoft.com/office/2011/relationships/chartStyle" Target="style43.xml"/><Relationship Id="rId4" Type="http://schemas.openxmlformats.org/officeDocument/2006/relationships/chartUserShapes" Target="../drawings/drawing45.xml"/></Relationships>
</file>

<file path=xl/charts/_rels/chart45.xml.rels><?xml version="1.0" encoding="UTF-8" standalone="yes"?>
<Relationships xmlns="http://schemas.openxmlformats.org/package/2006/relationships"><Relationship Id="rId3" Type="http://schemas.openxmlformats.org/officeDocument/2006/relationships/themeOverride" Target="../theme/themeOverride41.xml"/><Relationship Id="rId2" Type="http://schemas.microsoft.com/office/2011/relationships/chartColorStyle" Target="colors44.xml"/><Relationship Id="rId1" Type="http://schemas.microsoft.com/office/2011/relationships/chartStyle" Target="style44.xml"/><Relationship Id="rId4" Type="http://schemas.openxmlformats.org/officeDocument/2006/relationships/chartUserShapes" Target="../drawings/drawing47.xml"/></Relationships>
</file>

<file path=xl/charts/_rels/chart46.xml.rels><?xml version="1.0" encoding="UTF-8" standalone="yes"?>
<Relationships xmlns="http://schemas.openxmlformats.org/package/2006/relationships"><Relationship Id="rId3" Type="http://schemas.openxmlformats.org/officeDocument/2006/relationships/themeOverride" Target="../theme/themeOverride42.xml"/><Relationship Id="rId2" Type="http://schemas.microsoft.com/office/2011/relationships/chartColorStyle" Target="colors45.xml"/><Relationship Id="rId1" Type="http://schemas.microsoft.com/office/2011/relationships/chartStyle" Target="style45.xml"/><Relationship Id="rId4" Type="http://schemas.openxmlformats.org/officeDocument/2006/relationships/chartUserShapes" Target="../drawings/drawing48.xml"/></Relationships>
</file>

<file path=xl/charts/_rels/chart47.xml.rels><?xml version="1.0" encoding="UTF-8" standalone="yes"?>
<Relationships xmlns="http://schemas.openxmlformats.org/package/2006/relationships"><Relationship Id="rId3" Type="http://schemas.openxmlformats.org/officeDocument/2006/relationships/themeOverride" Target="../theme/themeOverride43.xml"/><Relationship Id="rId2" Type="http://schemas.microsoft.com/office/2011/relationships/chartColorStyle" Target="colors46.xml"/><Relationship Id="rId1" Type="http://schemas.microsoft.com/office/2011/relationships/chartStyle" Target="style46.xml"/><Relationship Id="rId4" Type="http://schemas.openxmlformats.org/officeDocument/2006/relationships/chartUserShapes" Target="../drawings/drawing49.xml"/></Relationships>
</file>

<file path=xl/charts/_rels/chart48.xml.rels><?xml version="1.0" encoding="UTF-8" standalone="yes"?>
<Relationships xmlns="http://schemas.openxmlformats.org/package/2006/relationships"><Relationship Id="rId3" Type="http://schemas.openxmlformats.org/officeDocument/2006/relationships/themeOverride" Target="../theme/themeOverride44.xml"/><Relationship Id="rId2" Type="http://schemas.microsoft.com/office/2011/relationships/chartColorStyle" Target="colors47.xml"/><Relationship Id="rId1" Type="http://schemas.microsoft.com/office/2011/relationships/chartStyle" Target="style47.xml"/><Relationship Id="rId4" Type="http://schemas.openxmlformats.org/officeDocument/2006/relationships/chartUserShapes" Target="../drawings/drawing50.xml"/></Relationships>
</file>

<file path=xl/charts/_rels/chart49.xml.rels><?xml version="1.0" encoding="UTF-8" standalone="yes"?>
<Relationships xmlns="http://schemas.openxmlformats.org/package/2006/relationships"><Relationship Id="rId3" Type="http://schemas.openxmlformats.org/officeDocument/2006/relationships/themeOverride" Target="../theme/themeOverride45.xml"/><Relationship Id="rId2" Type="http://schemas.microsoft.com/office/2011/relationships/chartColorStyle" Target="colors48.xml"/><Relationship Id="rId1" Type="http://schemas.microsoft.com/office/2011/relationships/chartStyle" Target="style48.xml"/><Relationship Id="rId4" Type="http://schemas.openxmlformats.org/officeDocument/2006/relationships/chartUserShapes" Target="../drawings/drawing52.xml"/></Relationships>
</file>

<file path=xl/charts/_rels/chart50.xml.rels><?xml version="1.0" encoding="UTF-8" standalone="yes"?>
<Relationships xmlns="http://schemas.openxmlformats.org/package/2006/relationships"><Relationship Id="rId3" Type="http://schemas.openxmlformats.org/officeDocument/2006/relationships/themeOverride" Target="../theme/themeOverride46.xml"/><Relationship Id="rId2" Type="http://schemas.microsoft.com/office/2011/relationships/chartColorStyle" Target="colors49.xml"/><Relationship Id="rId1" Type="http://schemas.microsoft.com/office/2011/relationships/chartStyle" Target="style49.xml"/><Relationship Id="rId4" Type="http://schemas.openxmlformats.org/officeDocument/2006/relationships/chartUserShapes" Target="../drawings/drawing53.xml"/></Relationships>
</file>

<file path=xl/charts/_rels/chart51.xml.rels><?xml version="1.0" encoding="UTF-8" standalone="yes"?>
<Relationships xmlns="http://schemas.openxmlformats.org/package/2006/relationships"><Relationship Id="rId3" Type="http://schemas.openxmlformats.org/officeDocument/2006/relationships/themeOverride" Target="../theme/themeOverride47.xml"/><Relationship Id="rId2" Type="http://schemas.microsoft.com/office/2011/relationships/chartColorStyle" Target="colors50.xml"/><Relationship Id="rId1" Type="http://schemas.microsoft.com/office/2011/relationships/chartStyle" Target="style50.xml"/><Relationship Id="rId4" Type="http://schemas.openxmlformats.org/officeDocument/2006/relationships/chartUserShapes" Target="../drawings/drawing54.xml"/></Relationships>
</file>

<file path=xl/charts/_rels/chart52.xml.rels><?xml version="1.0" encoding="UTF-8" standalone="yes"?>
<Relationships xmlns="http://schemas.openxmlformats.org/package/2006/relationships"><Relationship Id="rId3" Type="http://schemas.openxmlformats.org/officeDocument/2006/relationships/themeOverride" Target="../theme/themeOverride48.xml"/><Relationship Id="rId2" Type="http://schemas.microsoft.com/office/2011/relationships/chartColorStyle" Target="colors51.xml"/><Relationship Id="rId1" Type="http://schemas.microsoft.com/office/2011/relationships/chartStyle" Target="style51.xml"/><Relationship Id="rId4" Type="http://schemas.openxmlformats.org/officeDocument/2006/relationships/chartUserShapes" Target="../drawings/drawing55.xml"/></Relationships>
</file>

<file path=xl/charts/_rels/chart53.xml.rels><?xml version="1.0" encoding="UTF-8" standalone="yes"?>
<Relationships xmlns="http://schemas.openxmlformats.org/package/2006/relationships"><Relationship Id="rId3" Type="http://schemas.openxmlformats.org/officeDocument/2006/relationships/themeOverride" Target="../theme/themeOverride49.xml"/><Relationship Id="rId2" Type="http://schemas.microsoft.com/office/2011/relationships/chartColorStyle" Target="colors52.xml"/><Relationship Id="rId1" Type="http://schemas.microsoft.com/office/2011/relationships/chartStyle" Target="style52.xml"/><Relationship Id="rId4" Type="http://schemas.openxmlformats.org/officeDocument/2006/relationships/chartUserShapes" Target="../drawings/drawing56.xml"/></Relationships>
</file>

<file path=xl/charts/_rels/chart54.xml.rels><?xml version="1.0" encoding="UTF-8" standalone="yes"?>
<Relationships xmlns="http://schemas.openxmlformats.org/package/2006/relationships"><Relationship Id="rId3" Type="http://schemas.openxmlformats.org/officeDocument/2006/relationships/themeOverride" Target="../theme/themeOverride50.xml"/><Relationship Id="rId2" Type="http://schemas.microsoft.com/office/2011/relationships/chartColorStyle" Target="colors53.xml"/><Relationship Id="rId1" Type="http://schemas.microsoft.com/office/2011/relationships/chartStyle" Target="style53.xml"/><Relationship Id="rId4" Type="http://schemas.openxmlformats.org/officeDocument/2006/relationships/chartUserShapes" Target="../drawings/drawing57.xml"/></Relationships>
</file>

<file path=xl/charts/_rels/chart55.xml.rels><?xml version="1.0" encoding="UTF-8" standalone="yes"?>
<Relationships xmlns="http://schemas.openxmlformats.org/package/2006/relationships"><Relationship Id="rId3" Type="http://schemas.openxmlformats.org/officeDocument/2006/relationships/themeOverride" Target="../theme/themeOverride51.xml"/><Relationship Id="rId2" Type="http://schemas.microsoft.com/office/2011/relationships/chartColorStyle" Target="colors54.xml"/><Relationship Id="rId1" Type="http://schemas.microsoft.com/office/2011/relationships/chartStyle" Target="style54.xml"/><Relationship Id="rId4" Type="http://schemas.openxmlformats.org/officeDocument/2006/relationships/chartUserShapes" Target="../drawings/drawing59.xml"/></Relationships>
</file>

<file path=xl/charts/_rels/chart56.xml.rels><?xml version="1.0" encoding="UTF-8" standalone="yes"?>
<Relationships xmlns="http://schemas.openxmlformats.org/package/2006/relationships"><Relationship Id="rId3" Type="http://schemas.openxmlformats.org/officeDocument/2006/relationships/themeOverride" Target="../theme/themeOverride52.xml"/><Relationship Id="rId2" Type="http://schemas.microsoft.com/office/2011/relationships/chartColorStyle" Target="colors55.xml"/><Relationship Id="rId1" Type="http://schemas.microsoft.com/office/2011/relationships/chartStyle" Target="style55.xml"/><Relationship Id="rId4" Type="http://schemas.openxmlformats.org/officeDocument/2006/relationships/chartUserShapes" Target="../drawings/drawing60.xml"/></Relationships>
</file>

<file path=xl/charts/_rels/chart57.xml.rels><?xml version="1.0" encoding="UTF-8" standalone="yes"?>
<Relationships xmlns="http://schemas.openxmlformats.org/package/2006/relationships"><Relationship Id="rId3" Type="http://schemas.openxmlformats.org/officeDocument/2006/relationships/themeOverride" Target="../theme/themeOverride53.xml"/><Relationship Id="rId2" Type="http://schemas.microsoft.com/office/2011/relationships/chartColorStyle" Target="colors56.xml"/><Relationship Id="rId1" Type="http://schemas.microsoft.com/office/2011/relationships/chartStyle" Target="style56.xml"/><Relationship Id="rId4" Type="http://schemas.openxmlformats.org/officeDocument/2006/relationships/chartUserShapes" Target="../drawings/drawing62.xml"/></Relationships>
</file>

<file path=xl/charts/_rels/chart58.xml.rels><?xml version="1.0" encoding="UTF-8" standalone="yes"?>
<Relationships xmlns="http://schemas.openxmlformats.org/package/2006/relationships"><Relationship Id="rId3" Type="http://schemas.openxmlformats.org/officeDocument/2006/relationships/themeOverride" Target="../theme/themeOverride54.xml"/><Relationship Id="rId2" Type="http://schemas.microsoft.com/office/2011/relationships/chartColorStyle" Target="colors57.xml"/><Relationship Id="rId1" Type="http://schemas.microsoft.com/office/2011/relationships/chartStyle" Target="style57.xml"/><Relationship Id="rId4" Type="http://schemas.openxmlformats.org/officeDocument/2006/relationships/chartUserShapes" Target="../drawings/drawing63.xml"/></Relationships>
</file>

<file path=xl/charts/_rels/chart59.xml.rels><?xml version="1.0" encoding="UTF-8" standalone="yes"?>
<Relationships xmlns="http://schemas.openxmlformats.org/package/2006/relationships"><Relationship Id="rId3" Type="http://schemas.openxmlformats.org/officeDocument/2006/relationships/themeOverride" Target="../theme/themeOverride55.xml"/><Relationship Id="rId2" Type="http://schemas.microsoft.com/office/2011/relationships/chartColorStyle" Target="colors58.xml"/><Relationship Id="rId1" Type="http://schemas.microsoft.com/office/2011/relationships/chartStyle" Target="style58.xml"/><Relationship Id="rId4" Type="http://schemas.openxmlformats.org/officeDocument/2006/relationships/chartUserShapes" Target="../drawings/drawing64.xml"/></Relationships>
</file>

<file path=xl/charts/_rels/chart60.xml.rels><?xml version="1.0" encoding="UTF-8" standalone="yes"?>
<Relationships xmlns="http://schemas.openxmlformats.org/package/2006/relationships"><Relationship Id="rId3" Type="http://schemas.openxmlformats.org/officeDocument/2006/relationships/themeOverride" Target="../theme/themeOverride56.xml"/><Relationship Id="rId2" Type="http://schemas.microsoft.com/office/2011/relationships/chartColorStyle" Target="colors59.xml"/><Relationship Id="rId1" Type="http://schemas.microsoft.com/office/2011/relationships/chartStyle" Target="style59.xml"/><Relationship Id="rId4" Type="http://schemas.openxmlformats.org/officeDocument/2006/relationships/chartUserShapes" Target="../drawings/drawing65.xml"/></Relationships>
</file>

<file path=xl/charts/_rels/chart61.xml.rels><?xml version="1.0" encoding="UTF-8" standalone="yes"?>
<Relationships xmlns="http://schemas.openxmlformats.org/package/2006/relationships"><Relationship Id="rId3" Type="http://schemas.openxmlformats.org/officeDocument/2006/relationships/themeOverride" Target="../theme/themeOverride57.xml"/><Relationship Id="rId2" Type="http://schemas.microsoft.com/office/2011/relationships/chartColorStyle" Target="colors60.xml"/><Relationship Id="rId1" Type="http://schemas.microsoft.com/office/2011/relationships/chartStyle" Target="style60.xml"/></Relationships>
</file>

<file path=xl/charts/_rels/chart62.xml.rels><?xml version="1.0" encoding="UTF-8" standalone="yes"?>
<Relationships xmlns="http://schemas.openxmlformats.org/package/2006/relationships"><Relationship Id="rId3" Type="http://schemas.openxmlformats.org/officeDocument/2006/relationships/themeOverride" Target="../theme/themeOverride58.xml"/><Relationship Id="rId2" Type="http://schemas.microsoft.com/office/2011/relationships/chartColorStyle" Target="colors61.xml"/><Relationship Id="rId1" Type="http://schemas.microsoft.com/office/2011/relationships/chartStyle" Target="style61.xml"/></Relationships>
</file>

<file path=xl/charts/_rels/chart63.xml.rels><?xml version="1.0" encoding="UTF-8" standalone="yes"?>
<Relationships xmlns="http://schemas.openxmlformats.org/package/2006/relationships"><Relationship Id="rId3" Type="http://schemas.openxmlformats.org/officeDocument/2006/relationships/themeOverride" Target="../theme/themeOverride59.xml"/><Relationship Id="rId2" Type="http://schemas.microsoft.com/office/2011/relationships/chartColorStyle" Target="colors62.xml"/><Relationship Id="rId1" Type="http://schemas.microsoft.com/office/2011/relationships/chartStyle" Target="style62.xml"/></Relationships>
</file>

<file path=xl/charts/_rels/chart64.xml.rels><?xml version="1.0" encoding="UTF-8" standalone="yes"?>
<Relationships xmlns="http://schemas.openxmlformats.org/package/2006/relationships"><Relationship Id="rId3" Type="http://schemas.openxmlformats.org/officeDocument/2006/relationships/themeOverride" Target="../theme/themeOverride60.xml"/><Relationship Id="rId2" Type="http://schemas.microsoft.com/office/2011/relationships/chartColorStyle" Target="colors63.xml"/><Relationship Id="rId1" Type="http://schemas.microsoft.com/office/2011/relationships/chartStyle" Target="style63.xml"/></Relationships>
</file>

<file path=xl/charts/_rels/chart65.xml.rels><?xml version="1.0" encoding="UTF-8" standalone="yes"?>
<Relationships xmlns="http://schemas.openxmlformats.org/package/2006/relationships"><Relationship Id="rId3" Type="http://schemas.openxmlformats.org/officeDocument/2006/relationships/themeOverride" Target="../theme/themeOverride61.xml"/><Relationship Id="rId2" Type="http://schemas.microsoft.com/office/2011/relationships/chartColorStyle" Target="colors64.xml"/><Relationship Id="rId1" Type="http://schemas.microsoft.com/office/2011/relationships/chartStyle" Target="style64.xml"/></Relationships>
</file>

<file path=xl/charts/_rels/chart66.xml.rels><?xml version="1.0" encoding="UTF-8" standalone="yes"?>
<Relationships xmlns="http://schemas.openxmlformats.org/package/2006/relationships"><Relationship Id="rId3" Type="http://schemas.openxmlformats.org/officeDocument/2006/relationships/themeOverride" Target="../theme/themeOverride62.xml"/><Relationship Id="rId2" Type="http://schemas.microsoft.com/office/2011/relationships/chartColorStyle" Target="colors65.xml"/><Relationship Id="rId1" Type="http://schemas.microsoft.com/office/2011/relationships/chartStyle" Target="style65.xml"/></Relationships>
</file>

<file path=xl/charts/_rels/chart67.xml.rels><?xml version="1.0" encoding="UTF-8" standalone="yes"?>
<Relationships xmlns="http://schemas.openxmlformats.org/package/2006/relationships"><Relationship Id="rId3" Type="http://schemas.openxmlformats.org/officeDocument/2006/relationships/themeOverride" Target="../theme/themeOverride63.xml"/><Relationship Id="rId2" Type="http://schemas.microsoft.com/office/2011/relationships/chartColorStyle" Target="colors66.xml"/><Relationship Id="rId1" Type="http://schemas.microsoft.com/office/2011/relationships/chartStyle" Target="style66.xml"/><Relationship Id="rId4" Type="http://schemas.openxmlformats.org/officeDocument/2006/relationships/chartUserShapes" Target="../drawings/drawing70.xml"/></Relationships>
</file>

<file path=xl/charts/_rels/chart68.xml.rels><?xml version="1.0" encoding="UTF-8" standalone="yes"?>
<Relationships xmlns="http://schemas.openxmlformats.org/package/2006/relationships"><Relationship Id="rId3" Type="http://schemas.openxmlformats.org/officeDocument/2006/relationships/themeOverride" Target="../theme/themeOverride64.xml"/><Relationship Id="rId2" Type="http://schemas.microsoft.com/office/2011/relationships/chartColorStyle" Target="colors67.xml"/><Relationship Id="rId1" Type="http://schemas.microsoft.com/office/2011/relationships/chartStyle" Target="style67.xml"/><Relationship Id="rId4" Type="http://schemas.openxmlformats.org/officeDocument/2006/relationships/chartUserShapes" Target="../drawings/drawing71.xml"/></Relationships>
</file>

<file path=xl/charts/_rels/chart69.xml.rels><?xml version="1.0" encoding="UTF-8" standalone="yes"?>
<Relationships xmlns="http://schemas.openxmlformats.org/package/2006/relationships"><Relationship Id="rId3" Type="http://schemas.openxmlformats.org/officeDocument/2006/relationships/themeOverride" Target="../theme/themeOverride65.xml"/><Relationship Id="rId2" Type="http://schemas.microsoft.com/office/2011/relationships/chartColorStyle" Target="colors68.xml"/><Relationship Id="rId1" Type="http://schemas.microsoft.com/office/2011/relationships/chartStyle" Target="style68.xml"/><Relationship Id="rId4" Type="http://schemas.openxmlformats.org/officeDocument/2006/relationships/chartUserShapes" Target="../drawings/drawing72.xml"/></Relationships>
</file>

<file path=xl/charts/_rels/chart70.xml.rels><?xml version="1.0" encoding="UTF-8" standalone="yes"?>
<Relationships xmlns="http://schemas.openxmlformats.org/package/2006/relationships"><Relationship Id="rId3" Type="http://schemas.openxmlformats.org/officeDocument/2006/relationships/themeOverride" Target="../theme/themeOverride66.xml"/><Relationship Id="rId2" Type="http://schemas.microsoft.com/office/2011/relationships/chartColorStyle" Target="colors69.xml"/><Relationship Id="rId1" Type="http://schemas.microsoft.com/office/2011/relationships/chartStyle" Target="style69.xml"/><Relationship Id="rId4" Type="http://schemas.openxmlformats.org/officeDocument/2006/relationships/chartUserShapes" Target="../drawings/drawing74.xml"/></Relationships>
</file>

<file path=xl/charts/_rels/chart71.xml.rels><?xml version="1.0" encoding="UTF-8" standalone="yes"?>
<Relationships xmlns="http://schemas.openxmlformats.org/package/2006/relationships"><Relationship Id="rId3" Type="http://schemas.openxmlformats.org/officeDocument/2006/relationships/themeOverride" Target="../theme/themeOverride67.xml"/><Relationship Id="rId2" Type="http://schemas.microsoft.com/office/2011/relationships/chartColorStyle" Target="colors70.xml"/><Relationship Id="rId1" Type="http://schemas.microsoft.com/office/2011/relationships/chartStyle" Target="style70.xml"/><Relationship Id="rId4" Type="http://schemas.openxmlformats.org/officeDocument/2006/relationships/chartUserShapes" Target="../drawings/drawing75.xml"/></Relationships>
</file>

<file path=xl/charts/_rels/chart72.xml.rels><?xml version="1.0" encoding="UTF-8" standalone="yes"?>
<Relationships xmlns="http://schemas.openxmlformats.org/package/2006/relationships"><Relationship Id="rId3" Type="http://schemas.openxmlformats.org/officeDocument/2006/relationships/themeOverride" Target="../theme/themeOverride68.xml"/><Relationship Id="rId2" Type="http://schemas.microsoft.com/office/2011/relationships/chartColorStyle" Target="colors71.xml"/><Relationship Id="rId1" Type="http://schemas.microsoft.com/office/2011/relationships/chartStyle" Target="style71.xml"/><Relationship Id="rId4" Type="http://schemas.openxmlformats.org/officeDocument/2006/relationships/chartUserShapes" Target="../drawings/drawing7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Control Status by 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3"/>
          <c:order val="0"/>
          <c:tx>
            <c:strRef>
              <c:f>SOX!$Q$14</c:f>
              <c:strCache>
                <c:ptCount val="1"/>
                <c:pt idx="0">
                  <c:v>Issue-Open</c:v>
                </c:pt>
              </c:strCache>
            </c:strRef>
          </c:tx>
          <c:spPr>
            <a:solidFill>
              <a:srgbClr val="FF0000"/>
            </a:solidFill>
            <a:ln>
              <a:solidFill>
                <a:srgbClr val="FF0000"/>
              </a:solidFill>
            </a:ln>
            <a:effectLst/>
          </c:spPr>
          <c:invertIfNegative val="0"/>
          <c:cat>
            <c:multiLvlStrRef>
              <c:extLst>
                <c:ext xmlns:c15="http://schemas.microsoft.com/office/drawing/2012/chart" uri="{02D57815-91ED-43cb-92C2-25804820EDAC}">
                  <c15:fullRef>
                    <c15:sqref>SOX!$N$15:$O$31</c15:sqref>
                  </c15:fullRef>
                </c:ext>
              </c:extLst>
              <c:f>(SOX!$N$15:$O$16,SOX!$N$18:$O$19,SOX!$N$21:$O$22,SOX!$N$24:$O$25,SOX!$N$27:$O$28,SOX!$N$30:$O$31)</c:f>
              <c:multiLvlStrCache>
                <c:ptCount val="12"/>
                <c:lvl>
                  <c:pt idx="0">
                    <c:v>FY'20</c:v>
                  </c:pt>
                  <c:pt idx="1">
                    <c:v>FY'21</c:v>
                  </c:pt>
                  <c:pt idx="2">
                    <c:v>FY'20</c:v>
                  </c:pt>
                  <c:pt idx="3">
                    <c:v>FY'21</c:v>
                  </c:pt>
                  <c:pt idx="4">
                    <c:v>FY'20</c:v>
                  </c:pt>
                  <c:pt idx="5">
                    <c:v>FY'21</c:v>
                  </c:pt>
                  <c:pt idx="6">
                    <c:v>FY'20</c:v>
                  </c:pt>
                  <c:pt idx="7">
                    <c:v>FY'21</c:v>
                  </c:pt>
                  <c:pt idx="8">
                    <c:v>FY'20</c:v>
                  </c:pt>
                  <c:pt idx="9">
                    <c:v>FY'21</c:v>
                  </c:pt>
                  <c:pt idx="10">
                    <c:v>FY'20</c:v>
                  </c:pt>
                  <c:pt idx="11">
                    <c:v>FY'21</c:v>
                  </c:pt>
                </c:lvl>
                <c:lvl>
                  <c:pt idx="0">
                    <c:v>AR</c:v>
                  </c:pt>
                  <c:pt idx="2">
                    <c:v>CB</c:v>
                  </c:pt>
                  <c:pt idx="4">
                    <c:v>FA</c:v>
                  </c:pt>
                  <c:pt idx="6">
                    <c:v>GL</c:v>
                  </c:pt>
                  <c:pt idx="8">
                    <c:v>AP</c:v>
                  </c:pt>
                  <c:pt idx="10">
                    <c:v>PR</c:v>
                  </c:pt>
                </c:lvl>
              </c:multiLvlStrCache>
            </c:multiLvlStrRef>
          </c:cat>
          <c:val>
            <c:numRef>
              <c:extLst>
                <c:ext xmlns:c15="http://schemas.microsoft.com/office/drawing/2012/chart" uri="{02D57815-91ED-43cb-92C2-25804820EDAC}">
                  <c15:fullRef>
                    <c15:sqref>SOX!$Q$15:$Q$31</c15:sqref>
                  </c15:fullRef>
                </c:ext>
              </c:extLst>
              <c:f>(SOX!$Q$15:$Q$16,SOX!$Q$18:$Q$19,SOX!$Q$21:$Q$22,SOX!$Q$24:$Q$25,SOX!$Q$27:$Q$28,SOX!$Q$30:$Q$31)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B4D9-4C41-8072-7A304F0E0CC8}"/>
            </c:ext>
          </c:extLst>
        </c:ser>
        <c:ser>
          <c:idx val="1"/>
          <c:order val="1"/>
          <c:tx>
            <c:strRef>
              <c:f>SOX!$R$14</c:f>
              <c:strCache>
                <c:ptCount val="1"/>
              </c:strCache>
            </c:strRef>
          </c:tx>
          <c:spPr>
            <a:solidFill>
              <a:srgbClr val="FFC000"/>
            </a:solidFill>
            <a:ln>
              <a:solidFill>
                <a:srgbClr val="FFC000"/>
              </a:solidFill>
            </a:ln>
            <a:effectLst/>
          </c:spPr>
          <c:invertIfNegative val="0"/>
          <c:cat>
            <c:multiLvlStrRef>
              <c:extLst>
                <c:ext xmlns:c15="http://schemas.microsoft.com/office/drawing/2012/chart" uri="{02D57815-91ED-43cb-92C2-25804820EDAC}">
                  <c15:fullRef>
                    <c15:sqref>SOX!$N$15:$O$31</c15:sqref>
                  </c15:fullRef>
                </c:ext>
              </c:extLst>
              <c:f>(SOX!$N$15:$O$16,SOX!$N$18:$O$19,SOX!$N$21:$O$22,SOX!$N$24:$O$25,SOX!$N$27:$O$28,SOX!$N$30:$O$31)</c:f>
              <c:multiLvlStrCache>
                <c:ptCount val="12"/>
                <c:lvl>
                  <c:pt idx="0">
                    <c:v>FY'20</c:v>
                  </c:pt>
                  <c:pt idx="1">
                    <c:v>FY'21</c:v>
                  </c:pt>
                  <c:pt idx="2">
                    <c:v>FY'20</c:v>
                  </c:pt>
                  <c:pt idx="3">
                    <c:v>FY'21</c:v>
                  </c:pt>
                  <c:pt idx="4">
                    <c:v>FY'20</c:v>
                  </c:pt>
                  <c:pt idx="5">
                    <c:v>FY'21</c:v>
                  </c:pt>
                  <c:pt idx="6">
                    <c:v>FY'20</c:v>
                  </c:pt>
                  <c:pt idx="7">
                    <c:v>FY'21</c:v>
                  </c:pt>
                  <c:pt idx="8">
                    <c:v>FY'20</c:v>
                  </c:pt>
                  <c:pt idx="9">
                    <c:v>FY'21</c:v>
                  </c:pt>
                  <c:pt idx="10">
                    <c:v>FY'20</c:v>
                  </c:pt>
                  <c:pt idx="11">
                    <c:v>FY'21</c:v>
                  </c:pt>
                </c:lvl>
                <c:lvl>
                  <c:pt idx="0">
                    <c:v>AR</c:v>
                  </c:pt>
                  <c:pt idx="2">
                    <c:v>CB</c:v>
                  </c:pt>
                  <c:pt idx="4">
                    <c:v>FA</c:v>
                  </c:pt>
                  <c:pt idx="6">
                    <c:v>GL</c:v>
                  </c:pt>
                  <c:pt idx="8">
                    <c:v>AP</c:v>
                  </c:pt>
                  <c:pt idx="10">
                    <c:v>PR</c:v>
                  </c:pt>
                </c:lvl>
              </c:multiLvlStrCache>
            </c:multiLvlStrRef>
          </c:cat>
          <c:val>
            <c:numRef>
              <c:extLst>
                <c:ext xmlns:c15="http://schemas.microsoft.com/office/drawing/2012/chart" uri="{02D57815-91ED-43cb-92C2-25804820EDAC}">
                  <c15:fullRef>
                    <c15:sqref>SOX!$R$15:$R$31</c15:sqref>
                  </c15:fullRef>
                </c:ext>
              </c:extLst>
              <c:f>(SOX!$R$15:$R$16,SOX!$R$18:$R$19,SOX!$R$21:$R$22,SOX!$R$24:$R$25,SOX!$R$27:$R$28,SOX!$R$30:$R$31)</c:f>
              <c:numCache>
                <c:formatCode>0</c:formatCode>
                <c:ptCount val="12"/>
              </c:numCache>
            </c:numRef>
          </c:val>
          <c:extLst>
            <c:ext xmlns:c16="http://schemas.microsoft.com/office/drawing/2014/chart" uri="{C3380CC4-5D6E-409C-BE32-E72D297353CC}">
              <c16:uniqueId val="{00000001-B4D9-4C41-8072-7A304F0E0CC8}"/>
            </c:ext>
          </c:extLst>
        </c:ser>
        <c:ser>
          <c:idx val="2"/>
          <c:order val="2"/>
          <c:tx>
            <c:strRef>
              <c:f>SOX!$P$14</c:f>
              <c:strCache>
                <c:ptCount val="1"/>
                <c:pt idx="0">
                  <c:v>Pass</c:v>
                </c:pt>
              </c:strCache>
            </c:strRef>
          </c:tx>
          <c:spPr>
            <a:solidFill>
              <a:srgbClr val="00B050"/>
            </a:solidFill>
            <a:ln>
              <a:solidFill>
                <a:srgbClr val="00FF00"/>
              </a:solidFill>
            </a:ln>
            <a:effectLst/>
          </c:spPr>
          <c:invertIfNegative val="0"/>
          <c:cat>
            <c:multiLvlStrRef>
              <c:extLst>
                <c:ext xmlns:c15="http://schemas.microsoft.com/office/drawing/2012/chart" uri="{02D57815-91ED-43cb-92C2-25804820EDAC}">
                  <c15:fullRef>
                    <c15:sqref>SOX!$N$15:$O$31</c15:sqref>
                  </c15:fullRef>
                </c:ext>
              </c:extLst>
              <c:f>(SOX!$N$15:$O$16,SOX!$N$18:$O$19,SOX!$N$21:$O$22,SOX!$N$24:$O$25,SOX!$N$27:$O$28,SOX!$N$30:$O$31)</c:f>
              <c:multiLvlStrCache>
                <c:ptCount val="12"/>
                <c:lvl>
                  <c:pt idx="0">
                    <c:v>FY'20</c:v>
                  </c:pt>
                  <c:pt idx="1">
                    <c:v>FY'21</c:v>
                  </c:pt>
                  <c:pt idx="2">
                    <c:v>FY'20</c:v>
                  </c:pt>
                  <c:pt idx="3">
                    <c:v>FY'21</c:v>
                  </c:pt>
                  <c:pt idx="4">
                    <c:v>FY'20</c:v>
                  </c:pt>
                  <c:pt idx="5">
                    <c:v>FY'21</c:v>
                  </c:pt>
                  <c:pt idx="6">
                    <c:v>FY'20</c:v>
                  </c:pt>
                  <c:pt idx="7">
                    <c:v>FY'21</c:v>
                  </c:pt>
                  <c:pt idx="8">
                    <c:v>FY'20</c:v>
                  </c:pt>
                  <c:pt idx="9">
                    <c:v>FY'21</c:v>
                  </c:pt>
                  <c:pt idx="10">
                    <c:v>FY'20</c:v>
                  </c:pt>
                  <c:pt idx="11">
                    <c:v>FY'21</c:v>
                  </c:pt>
                </c:lvl>
                <c:lvl>
                  <c:pt idx="0">
                    <c:v>AR</c:v>
                  </c:pt>
                  <c:pt idx="2">
                    <c:v>CB</c:v>
                  </c:pt>
                  <c:pt idx="4">
                    <c:v>FA</c:v>
                  </c:pt>
                  <c:pt idx="6">
                    <c:v>GL</c:v>
                  </c:pt>
                  <c:pt idx="8">
                    <c:v>AP</c:v>
                  </c:pt>
                  <c:pt idx="10">
                    <c:v>PR</c:v>
                  </c:pt>
                </c:lvl>
              </c:multiLvlStrCache>
            </c:multiLvlStrRef>
          </c:cat>
          <c:val>
            <c:numRef>
              <c:extLst>
                <c:ext xmlns:c15="http://schemas.microsoft.com/office/drawing/2012/chart" uri="{02D57815-91ED-43cb-92C2-25804820EDAC}">
                  <c15:fullRef>
                    <c15:sqref>SOX!$P$15:$P$31</c15:sqref>
                  </c15:fullRef>
                </c:ext>
              </c:extLst>
              <c:f>(SOX!$P$15:$P$16,SOX!$P$18:$P$19,SOX!$P$21:$P$22,SOX!$P$24:$P$25,SOX!$P$27:$P$28,SOX!$P$30:$P$31)</c:f>
              <c:numCache>
                <c:formatCode>0</c:formatCode>
                <c:ptCount val="12"/>
                <c:pt idx="0">
                  <c:v>9</c:v>
                </c:pt>
                <c:pt idx="1">
                  <c:v>0</c:v>
                </c:pt>
                <c:pt idx="2">
                  <c:v>6</c:v>
                </c:pt>
                <c:pt idx="3">
                  <c:v>0</c:v>
                </c:pt>
                <c:pt idx="4">
                  <c:v>4</c:v>
                </c:pt>
                <c:pt idx="5">
                  <c:v>0</c:v>
                </c:pt>
                <c:pt idx="6">
                  <c:v>2</c:v>
                </c:pt>
                <c:pt idx="7">
                  <c:v>0</c:v>
                </c:pt>
                <c:pt idx="8">
                  <c:v>7</c:v>
                </c:pt>
                <c:pt idx="9">
                  <c:v>0</c:v>
                </c:pt>
                <c:pt idx="10">
                  <c:v>4</c:v>
                </c:pt>
                <c:pt idx="11">
                  <c:v>0</c:v>
                </c:pt>
              </c:numCache>
            </c:numRef>
          </c:val>
          <c:extLst>
            <c:ext xmlns:c16="http://schemas.microsoft.com/office/drawing/2014/chart" uri="{C3380CC4-5D6E-409C-BE32-E72D297353CC}">
              <c16:uniqueId val="{00000002-B4D9-4C41-8072-7A304F0E0CC8}"/>
            </c:ext>
          </c:extLst>
        </c:ser>
        <c:ser>
          <c:idx val="0"/>
          <c:order val="3"/>
          <c:tx>
            <c:strRef>
              <c:f>SOX!$T$14</c:f>
              <c:strCache>
                <c:ptCount val="1"/>
              </c:strCache>
            </c:strRef>
          </c:tx>
          <c:spPr>
            <a:solidFill>
              <a:srgbClr val="FF0000"/>
            </a:solidFill>
            <a:ln>
              <a:solidFill>
                <a:srgbClr val="FF0000"/>
              </a:solidFill>
            </a:ln>
            <a:effectLst/>
          </c:spPr>
          <c:invertIfNegative val="0"/>
          <c:cat>
            <c:multiLvlStrRef>
              <c:extLst>
                <c:ext xmlns:c15="http://schemas.microsoft.com/office/drawing/2012/chart" uri="{02D57815-91ED-43cb-92C2-25804820EDAC}">
                  <c15:fullRef>
                    <c15:sqref>SOX!$N$15:$O$31</c15:sqref>
                  </c15:fullRef>
                </c:ext>
              </c:extLst>
              <c:f>(SOX!$N$15:$O$16,SOX!$N$18:$O$19,SOX!$N$21:$O$22,SOX!$N$24:$O$25,SOX!$N$27:$O$28,SOX!$N$30:$O$31)</c:f>
              <c:multiLvlStrCache>
                <c:ptCount val="12"/>
                <c:lvl>
                  <c:pt idx="0">
                    <c:v>FY'20</c:v>
                  </c:pt>
                  <c:pt idx="1">
                    <c:v>FY'21</c:v>
                  </c:pt>
                  <c:pt idx="2">
                    <c:v>FY'20</c:v>
                  </c:pt>
                  <c:pt idx="3">
                    <c:v>FY'21</c:v>
                  </c:pt>
                  <c:pt idx="4">
                    <c:v>FY'20</c:v>
                  </c:pt>
                  <c:pt idx="5">
                    <c:v>FY'21</c:v>
                  </c:pt>
                  <c:pt idx="6">
                    <c:v>FY'20</c:v>
                  </c:pt>
                  <c:pt idx="7">
                    <c:v>FY'21</c:v>
                  </c:pt>
                  <c:pt idx="8">
                    <c:v>FY'20</c:v>
                  </c:pt>
                  <c:pt idx="9">
                    <c:v>FY'21</c:v>
                  </c:pt>
                  <c:pt idx="10">
                    <c:v>FY'20</c:v>
                  </c:pt>
                  <c:pt idx="11">
                    <c:v>FY'21</c:v>
                  </c:pt>
                </c:lvl>
                <c:lvl>
                  <c:pt idx="0">
                    <c:v>AR</c:v>
                  </c:pt>
                  <c:pt idx="2">
                    <c:v>CB</c:v>
                  </c:pt>
                  <c:pt idx="4">
                    <c:v>FA</c:v>
                  </c:pt>
                  <c:pt idx="6">
                    <c:v>GL</c:v>
                  </c:pt>
                  <c:pt idx="8">
                    <c:v>AP</c:v>
                  </c:pt>
                  <c:pt idx="10">
                    <c:v>PR</c:v>
                  </c:pt>
                </c:lvl>
              </c:multiLvlStrCache>
            </c:multiLvlStrRef>
          </c:cat>
          <c:val>
            <c:numRef>
              <c:extLst>
                <c:ext xmlns:c15="http://schemas.microsoft.com/office/drawing/2012/chart" uri="{02D57815-91ED-43cb-92C2-25804820EDAC}">
                  <c15:fullRef>
                    <c15:sqref>SOX!$T$15:$T$31</c15:sqref>
                  </c15:fullRef>
                </c:ext>
              </c:extLst>
              <c:f>(SOX!$T$15:$T$16,SOX!$T$18:$T$19,SOX!$T$21:$T$22,SOX!$T$24:$T$25,SOX!$T$27:$T$28,SOX!$T$30:$T$31)</c:f>
              <c:numCache>
                <c:formatCode>0</c:formatCode>
                <c:ptCount val="12"/>
              </c:numCache>
            </c:numRef>
          </c:val>
          <c:extLst>
            <c:ext xmlns:c16="http://schemas.microsoft.com/office/drawing/2014/chart" uri="{C3380CC4-5D6E-409C-BE32-E72D297353CC}">
              <c16:uniqueId val="{00000004-B4D9-4C41-8072-7A304F0E0CC8}"/>
            </c:ext>
          </c:extLst>
        </c:ser>
        <c:ser>
          <c:idx val="5"/>
          <c:order val="4"/>
          <c:tx>
            <c:strRef>
              <c:f>SOX!$U$14</c:f>
              <c:strCache>
                <c:ptCount val="1"/>
                <c:pt idx="0">
                  <c:v>CY Testing</c:v>
                </c:pt>
              </c:strCache>
            </c:strRef>
          </c:tx>
          <c:spPr>
            <a:solidFill>
              <a:schemeClr val="bg1"/>
            </a:solidFill>
            <a:ln>
              <a:solidFill>
                <a:schemeClr val="bg2">
                  <a:lumMod val="90000"/>
                </a:schemeClr>
              </a:solidFill>
            </a:ln>
            <a:effectLst/>
          </c:spPr>
          <c:invertIfNegative val="0"/>
          <c:cat>
            <c:multiLvlStrRef>
              <c:extLst>
                <c:ext xmlns:c15="http://schemas.microsoft.com/office/drawing/2012/chart" uri="{02D57815-91ED-43cb-92C2-25804820EDAC}">
                  <c15:fullRef>
                    <c15:sqref>SOX!$N$15:$O$31</c15:sqref>
                  </c15:fullRef>
                </c:ext>
              </c:extLst>
              <c:f>(SOX!$N$15:$O$16,SOX!$N$18:$O$19,SOX!$N$21:$O$22,SOX!$N$24:$O$25,SOX!$N$27:$O$28,SOX!$N$30:$O$31)</c:f>
              <c:multiLvlStrCache>
                <c:ptCount val="12"/>
                <c:lvl>
                  <c:pt idx="0">
                    <c:v>FY'20</c:v>
                  </c:pt>
                  <c:pt idx="1">
                    <c:v>FY'21</c:v>
                  </c:pt>
                  <c:pt idx="2">
                    <c:v>FY'20</c:v>
                  </c:pt>
                  <c:pt idx="3">
                    <c:v>FY'21</c:v>
                  </c:pt>
                  <c:pt idx="4">
                    <c:v>FY'20</c:v>
                  </c:pt>
                  <c:pt idx="5">
                    <c:v>FY'21</c:v>
                  </c:pt>
                  <c:pt idx="6">
                    <c:v>FY'20</c:v>
                  </c:pt>
                  <c:pt idx="7">
                    <c:v>FY'21</c:v>
                  </c:pt>
                  <c:pt idx="8">
                    <c:v>FY'20</c:v>
                  </c:pt>
                  <c:pt idx="9">
                    <c:v>FY'21</c:v>
                  </c:pt>
                  <c:pt idx="10">
                    <c:v>FY'20</c:v>
                  </c:pt>
                  <c:pt idx="11">
                    <c:v>FY'21</c:v>
                  </c:pt>
                </c:lvl>
                <c:lvl>
                  <c:pt idx="0">
                    <c:v>AR</c:v>
                  </c:pt>
                  <c:pt idx="2">
                    <c:v>CB</c:v>
                  </c:pt>
                  <c:pt idx="4">
                    <c:v>FA</c:v>
                  </c:pt>
                  <c:pt idx="6">
                    <c:v>GL</c:v>
                  </c:pt>
                  <c:pt idx="8">
                    <c:v>AP</c:v>
                  </c:pt>
                  <c:pt idx="10">
                    <c:v>PR</c:v>
                  </c:pt>
                </c:lvl>
              </c:multiLvlStrCache>
            </c:multiLvlStrRef>
          </c:cat>
          <c:val>
            <c:numRef>
              <c:extLst>
                <c:ext xmlns:c15="http://schemas.microsoft.com/office/drawing/2012/chart" uri="{02D57815-91ED-43cb-92C2-25804820EDAC}">
                  <c15:fullRef>
                    <c15:sqref>SOX!$U$15:$U$31</c15:sqref>
                  </c15:fullRef>
                </c:ext>
              </c:extLst>
              <c:f>(SOX!$U$15:$U$16,SOX!$U$18:$U$19,SOX!$U$21:$U$22,SOX!$U$24:$U$25,SOX!$U$27:$U$28,SOX!$U$30:$U$31)</c:f>
              <c:numCache>
                <c:formatCode>General</c:formatCode>
                <c:ptCount val="12"/>
                <c:pt idx="1">
                  <c:v>9</c:v>
                </c:pt>
                <c:pt idx="3">
                  <c:v>6</c:v>
                </c:pt>
                <c:pt idx="5" formatCode="0">
                  <c:v>4</c:v>
                </c:pt>
                <c:pt idx="7" formatCode="0">
                  <c:v>2</c:v>
                </c:pt>
                <c:pt idx="9" formatCode="0">
                  <c:v>7</c:v>
                </c:pt>
                <c:pt idx="11" formatCode="0">
                  <c:v>4</c:v>
                </c:pt>
              </c:numCache>
            </c:numRef>
          </c:val>
          <c:extLst>
            <c:ext xmlns:c16="http://schemas.microsoft.com/office/drawing/2014/chart" uri="{C3380CC4-5D6E-409C-BE32-E72D297353CC}">
              <c16:uniqueId val="{00000005-B4D9-4C41-8072-7A304F0E0CC8}"/>
            </c:ext>
          </c:extLst>
        </c:ser>
        <c:ser>
          <c:idx val="4"/>
          <c:order val="5"/>
          <c:tx>
            <c:strRef>
              <c:f>SOX!$S$14</c:f>
              <c:strCache>
                <c:ptCount val="1"/>
              </c:strCache>
            </c:strRef>
          </c:tx>
          <c:spPr>
            <a:solidFill>
              <a:srgbClr val="00B050"/>
            </a:solidFill>
            <a:ln>
              <a:solidFill>
                <a:srgbClr val="00B050"/>
              </a:solidFill>
            </a:ln>
            <a:effectLst/>
          </c:spPr>
          <c:invertIfNegative val="0"/>
          <c:cat>
            <c:multiLvlStrRef>
              <c:extLst>
                <c:ext xmlns:c15="http://schemas.microsoft.com/office/drawing/2012/chart" uri="{02D57815-91ED-43cb-92C2-25804820EDAC}">
                  <c15:fullRef>
                    <c15:sqref>SOX!$N$15:$O$31</c15:sqref>
                  </c15:fullRef>
                </c:ext>
              </c:extLst>
              <c:f>(SOX!$N$15:$O$16,SOX!$N$18:$O$19,SOX!$N$21:$O$22,SOX!$N$24:$O$25,SOX!$N$27:$O$28,SOX!$N$30:$O$31)</c:f>
              <c:multiLvlStrCache>
                <c:ptCount val="12"/>
                <c:lvl>
                  <c:pt idx="0">
                    <c:v>FY'20</c:v>
                  </c:pt>
                  <c:pt idx="1">
                    <c:v>FY'21</c:v>
                  </c:pt>
                  <c:pt idx="2">
                    <c:v>FY'20</c:v>
                  </c:pt>
                  <c:pt idx="3">
                    <c:v>FY'21</c:v>
                  </c:pt>
                  <c:pt idx="4">
                    <c:v>FY'20</c:v>
                  </c:pt>
                  <c:pt idx="5">
                    <c:v>FY'21</c:v>
                  </c:pt>
                  <c:pt idx="6">
                    <c:v>FY'20</c:v>
                  </c:pt>
                  <c:pt idx="7">
                    <c:v>FY'21</c:v>
                  </c:pt>
                  <c:pt idx="8">
                    <c:v>FY'20</c:v>
                  </c:pt>
                  <c:pt idx="9">
                    <c:v>FY'21</c:v>
                  </c:pt>
                  <c:pt idx="10">
                    <c:v>FY'20</c:v>
                  </c:pt>
                  <c:pt idx="11">
                    <c:v>FY'21</c:v>
                  </c:pt>
                </c:lvl>
                <c:lvl>
                  <c:pt idx="0">
                    <c:v>AR</c:v>
                  </c:pt>
                  <c:pt idx="2">
                    <c:v>CB</c:v>
                  </c:pt>
                  <c:pt idx="4">
                    <c:v>FA</c:v>
                  </c:pt>
                  <c:pt idx="6">
                    <c:v>GL</c:v>
                  </c:pt>
                  <c:pt idx="8">
                    <c:v>AP</c:v>
                  </c:pt>
                  <c:pt idx="10">
                    <c:v>PR</c:v>
                  </c:pt>
                </c:lvl>
              </c:multiLvlStrCache>
            </c:multiLvlStrRef>
          </c:cat>
          <c:val>
            <c:numRef>
              <c:extLst>
                <c:ext xmlns:c15="http://schemas.microsoft.com/office/drawing/2012/chart" uri="{02D57815-91ED-43cb-92C2-25804820EDAC}">
                  <c15:fullRef>
                    <c15:sqref>SOX!$S$15:$S$31</c15:sqref>
                  </c15:fullRef>
                </c:ext>
              </c:extLst>
              <c:f>(SOX!$S$15:$S$16,SOX!$S$18:$S$19,SOX!$S$21:$S$22,SOX!$S$24:$S$25,SOX!$S$27:$S$28,SOX!$S$30:$S$31)</c:f>
              <c:numCache>
                <c:formatCode>0</c:formatCode>
                <c:ptCount val="12"/>
              </c:numCache>
            </c:numRef>
          </c:val>
          <c:extLst>
            <c:ext xmlns:c16="http://schemas.microsoft.com/office/drawing/2014/chart" uri="{C3380CC4-5D6E-409C-BE32-E72D297353CC}">
              <c16:uniqueId val="{00000006-B4D9-4C41-8072-7A304F0E0CC8}"/>
            </c:ext>
          </c:extLst>
        </c:ser>
        <c:ser>
          <c:idx val="6"/>
          <c:order val="6"/>
          <c:tx>
            <c:strRef>
              <c:f>SOX!$V$14</c:f>
              <c:strCache>
                <c:ptCount val="1"/>
              </c:strCache>
            </c:strRef>
          </c:tx>
          <c:spPr>
            <a:noFill/>
            <a:ln>
              <a:solidFill>
                <a:schemeClr val="bg2">
                  <a:lumMod val="75000"/>
                </a:schemeClr>
              </a:solidFill>
            </a:ln>
            <a:effectLst/>
          </c:spPr>
          <c:invertIfNegative val="0"/>
          <c:cat>
            <c:multiLvlStrRef>
              <c:extLst>
                <c:ext xmlns:c15="http://schemas.microsoft.com/office/drawing/2012/chart" uri="{02D57815-91ED-43cb-92C2-25804820EDAC}">
                  <c15:fullRef>
                    <c15:sqref>SOX!$N$15:$O$31</c15:sqref>
                  </c15:fullRef>
                </c:ext>
              </c:extLst>
              <c:f>(SOX!$N$15:$O$16,SOX!$N$18:$O$19,SOX!$N$21:$O$22,SOX!$N$24:$O$25,SOX!$N$27:$O$28,SOX!$N$30:$O$31)</c:f>
              <c:multiLvlStrCache>
                <c:ptCount val="12"/>
                <c:lvl>
                  <c:pt idx="0">
                    <c:v>FY'20</c:v>
                  </c:pt>
                  <c:pt idx="1">
                    <c:v>FY'21</c:v>
                  </c:pt>
                  <c:pt idx="2">
                    <c:v>FY'20</c:v>
                  </c:pt>
                  <c:pt idx="3">
                    <c:v>FY'21</c:v>
                  </c:pt>
                  <c:pt idx="4">
                    <c:v>FY'20</c:v>
                  </c:pt>
                  <c:pt idx="5">
                    <c:v>FY'21</c:v>
                  </c:pt>
                  <c:pt idx="6">
                    <c:v>FY'20</c:v>
                  </c:pt>
                  <c:pt idx="7">
                    <c:v>FY'21</c:v>
                  </c:pt>
                  <c:pt idx="8">
                    <c:v>FY'20</c:v>
                  </c:pt>
                  <c:pt idx="9">
                    <c:v>FY'21</c:v>
                  </c:pt>
                  <c:pt idx="10">
                    <c:v>FY'20</c:v>
                  </c:pt>
                  <c:pt idx="11">
                    <c:v>FY'21</c:v>
                  </c:pt>
                </c:lvl>
                <c:lvl>
                  <c:pt idx="0">
                    <c:v>AR</c:v>
                  </c:pt>
                  <c:pt idx="2">
                    <c:v>CB</c:v>
                  </c:pt>
                  <c:pt idx="4">
                    <c:v>FA</c:v>
                  </c:pt>
                  <c:pt idx="6">
                    <c:v>GL</c:v>
                  </c:pt>
                  <c:pt idx="8">
                    <c:v>AP</c:v>
                  </c:pt>
                  <c:pt idx="10">
                    <c:v>PR</c:v>
                  </c:pt>
                </c:lvl>
              </c:multiLvlStrCache>
            </c:multiLvlStrRef>
          </c:cat>
          <c:val>
            <c:numRef>
              <c:extLst>
                <c:ext xmlns:c15="http://schemas.microsoft.com/office/drawing/2012/chart" uri="{02D57815-91ED-43cb-92C2-25804820EDAC}">
                  <c15:fullRef>
                    <c15:sqref>SOX!$V$15:$V$31</c15:sqref>
                  </c15:fullRef>
                </c:ext>
              </c:extLst>
              <c:f>(SOX!$V$15:$V$16,SOX!$V$18:$V$19,SOX!$V$21:$V$22,SOX!$V$24:$V$25,SOX!$V$27:$V$28,SOX!$V$30:$V$31)</c:f>
              <c:numCache>
                <c:formatCode>0</c:formatCode>
                <c:ptCount val="12"/>
              </c:numCache>
            </c:numRef>
          </c:val>
          <c:extLst>
            <c:ext xmlns:c16="http://schemas.microsoft.com/office/drawing/2014/chart" uri="{C3380CC4-5D6E-409C-BE32-E72D297353CC}">
              <c16:uniqueId val="{00000003-B4D9-4C41-8072-7A304F0E0CC8}"/>
            </c:ext>
          </c:extLst>
        </c:ser>
        <c:dLbls>
          <c:showLegendKey val="0"/>
          <c:showVal val="0"/>
          <c:showCatName val="0"/>
          <c:showSerName val="0"/>
          <c:showPercent val="0"/>
          <c:showBubbleSize val="0"/>
        </c:dLbls>
        <c:gapWidth val="75"/>
        <c:overlap val="100"/>
        <c:axId val="476812336"/>
        <c:axId val="476814296"/>
      </c:barChart>
      <c:catAx>
        <c:axId val="47681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6814296"/>
        <c:crosses val="autoZero"/>
        <c:auto val="1"/>
        <c:lblAlgn val="ctr"/>
        <c:lblOffset val="100"/>
        <c:noMultiLvlLbl val="0"/>
      </c:catAx>
      <c:valAx>
        <c:axId val="476814296"/>
        <c:scaling>
          <c:orientation val="minMax"/>
          <c:max val="13"/>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Control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8123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Incident Resolution</a:t>
            </a:r>
          </a:p>
        </c:rich>
      </c:tx>
      <c:layout>
        <c:manualLayout>
          <c:xMode val="edge"/>
          <c:yMode val="edge"/>
          <c:x val="0.39237292405358254"/>
          <c:y val="3.19887101938143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AR!$BY$25</c:f>
              <c:strCache>
                <c:ptCount val="1"/>
                <c:pt idx="0">
                  <c:v>Quantity</c:v>
                </c:pt>
              </c:strCache>
            </c:strRef>
          </c:tx>
          <c:spPr>
            <a:solidFill>
              <a:schemeClr val="bg1">
                <a:lumMod val="65000"/>
              </a:schemeClr>
            </a:solidFill>
            <a:ln>
              <a:noFill/>
            </a:ln>
            <a:effectLst/>
          </c:spPr>
          <c:invertIfNegative val="0"/>
          <c:cat>
            <c:strRef>
              <c:f>AR!$BX$26:$BX$38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AR!$BY$26:$BY$38</c:f>
              <c:numCache>
                <c:formatCode>0.0</c:formatCode>
                <c:ptCount val="13"/>
                <c:pt idx="0">
                  <c:v>5.3410000000000002</c:v>
                </c:pt>
                <c:pt idx="1">
                  <c:v>4.4459999999999997</c:v>
                </c:pt>
                <c:pt idx="2">
                  <c:v>6.7939999999999996</c:v>
                </c:pt>
                <c:pt idx="3">
                  <c:v>5.2309999999999999</c:v>
                </c:pt>
                <c:pt idx="4">
                  <c:v>5.7329999999999997</c:v>
                </c:pt>
                <c:pt idx="5">
                  <c:v>7.3419999999999996</c:v>
                </c:pt>
                <c:pt idx="6">
                  <c:v>5.65</c:v>
                </c:pt>
                <c:pt idx="7">
                  <c:v>6.024</c:v>
                </c:pt>
                <c:pt idx="8">
                  <c:v>7.13</c:v>
                </c:pt>
                <c:pt idx="9">
                  <c:v>5.1340000000000003</c:v>
                </c:pt>
                <c:pt idx="10">
                  <c:v>5.4210000000000003</c:v>
                </c:pt>
                <c:pt idx="11">
                  <c:v>7.1020000000000003</c:v>
                </c:pt>
                <c:pt idx="12">
                  <c:v>5.6710000000000003</c:v>
                </c:pt>
              </c:numCache>
            </c:numRef>
          </c:val>
          <c:extLst>
            <c:ext xmlns:c16="http://schemas.microsoft.com/office/drawing/2014/chart" uri="{C3380CC4-5D6E-409C-BE32-E72D297353CC}">
              <c16:uniqueId val="{00000000-6330-41B8-AFF9-546223385D85}"/>
            </c:ext>
          </c:extLst>
        </c:ser>
        <c:dLbls>
          <c:showLegendKey val="0"/>
          <c:showVal val="0"/>
          <c:showCatName val="0"/>
          <c:showSerName val="0"/>
          <c:showPercent val="0"/>
          <c:showBubbleSize val="0"/>
        </c:dLbls>
        <c:gapWidth val="75"/>
        <c:overlap val="100"/>
        <c:axId val="476811552"/>
        <c:axId val="476822920"/>
      </c:barChart>
      <c:lineChart>
        <c:grouping val="standard"/>
        <c:varyColors val="0"/>
        <c:ser>
          <c:idx val="2"/>
          <c:order val="1"/>
          <c:tx>
            <c:strRef>
              <c:f>AR!$BZ$25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AR!$BX$26:$BX$38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AR!$BZ$26:$BZ$38</c:f>
              <c:numCache>
                <c:formatCode>0%</c:formatCode>
                <c:ptCount val="13"/>
                <c:pt idx="0">
                  <c:v>0.95</c:v>
                </c:pt>
                <c:pt idx="1">
                  <c:v>0.95</c:v>
                </c:pt>
                <c:pt idx="2">
                  <c:v>0.95</c:v>
                </c:pt>
                <c:pt idx="3">
                  <c:v>0.95</c:v>
                </c:pt>
                <c:pt idx="4">
                  <c:v>0.95</c:v>
                </c:pt>
                <c:pt idx="5">
                  <c:v>0.95</c:v>
                </c:pt>
                <c:pt idx="6">
                  <c:v>0.95</c:v>
                </c:pt>
                <c:pt idx="7">
                  <c:v>0.95</c:v>
                </c:pt>
                <c:pt idx="8">
                  <c:v>0.95</c:v>
                </c:pt>
                <c:pt idx="9">
                  <c:v>0.95</c:v>
                </c:pt>
                <c:pt idx="10">
                  <c:v>0.95</c:v>
                </c:pt>
                <c:pt idx="11">
                  <c:v>0.95</c:v>
                </c:pt>
                <c:pt idx="12">
                  <c:v>0.95</c:v>
                </c:pt>
              </c:numCache>
            </c:numRef>
          </c:val>
          <c:smooth val="0"/>
          <c:extLst>
            <c:ext xmlns:c16="http://schemas.microsoft.com/office/drawing/2014/chart" uri="{C3380CC4-5D6E-409C-BE32-E72D297353CC}">
              <c16:uniqueId val="{00000001-6330-41B8-AFF9-546223385D85}"/>
            </c:ext>
          </c:extLst>
        </c:ser>
        <c:ser>
          <c:idx val="1"/>
          <c:order val="2"/>
          <c:tx>
            <c:strRef>
              <c:f>AR!$CA$25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AR!$BX$26:$BX$38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AR!$CA$26:$CA$38</c:f>
              <c:numCache>
                <c:formatCode>0.0%</c:formatCode>
                <c:ptCount val="13"/>
                <c:pt idx="0">
                  <c:v>0.9951319977532298</c:v>
                </c:pt>
                <c:pt idx="1">
                  <c:v>0.99212775528565</c:v>
                </c:pt>
                <c:pt idx="2">
                  <c:v>0.99057992346187829</c:v>
                </c:pt>
                <c:pt idx="3">
                  <c:v>0.98547122921047603</c:v>
                </c:pt>
                <c:pt idx="4">
                  <c:v>0.99040641897784765</c:v>
                </c:pt>
                <c:pt idx="5">
                  <c:v>0.99210024516480522</c:v>
                </c:pt>
                <c:pt idx="6">
                  <c:v>0.98619469026548667</c:v>
                </c:pt>
                <c:pt idx="7">
                  <c:v>0.99219787516600266</c:v>
                </c:pt>
                <c:pt idx="8">
                  <c:v>0.99158485273492292</c:v>
                </c:pt>
                <c:pt idx="9">
                  <c:v>0.99571484222828199</c:v>
                </c:pt>
                <c:pt idx="10">
                  <c:v>0.98966980261944293</c:v>
                </c:pt>
                <c:pt idx="11">
                  <c:v>0.94184736693889037</c:v>
                </c:pt>
                <c:pt idx="12">
                  <c:v>0.80338564627049902</c:v>
                </c:pt>
              </c:numCache>
            </c:numRef>
          </c:val>
          <c:smooth val="0"/>
          <c:extLst>
            <c:ext xmlns:c16="http://schemas.microsoft.com/office/drawing/2014/chart" uri="{C3380CC4-5D6E-409C-BE32-E72D297353CC}">
              <c16:uniqueId val="{00000002-6330-41B8-AFF9-546223385D85}"/>
            </c:ext>
          </c:extLst>
        </c:ser>
        <c:dLbls>
          <c:showLegendKey val="0"/>
          <c:showVal val="0"/>
          <c:showCatName val="0"/>
          <c:showSerName val="0"/>
          <c:showPercent val="0"/>
          <c:showBubbleSize val="0"/>
        </c:dLbls>
        <c:marker val="1"/>
        <c:smooth val="0"/>
        <c:axId val="476819000"/>
        <c:axId val="476820568"/>
      </c:lineChart>
      <c:valAx>
        <c:axId val="47682292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Service Now Tickets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811552"/>
        <c:crosses val="max"/>
        <c:crossBetween val="between"/>
      </c:valAx>
      <c:catAx>
        <c:axId val="476811552"/>
        <c:scaling>
          <c:orientation val="minMax"/>
        </c:scaling>
        <c:delete val="1"/>
        <c:axPos val="b"/>
        <c:numFmt formatCode="General" sourceLinked="1"/>
        <c:majorTickMark val="out"/>
        <c:minorTickMark val="none"/>
        <c:tickLblPos val="nextTo"/>
        <c:crossAx val="476822920"/>
        <c:crosses val="autoZero"/>
        <c:auto val="1"/>
        <c:lblAlgn val="ctr"/>
        <c:lblOffset val="100"/>
        <c:noMultiLvlLbl val="0"/>
      </c:catAx>
      <c:valAx>
        <c:axId val="476820568"/>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819000"/>
        <c:crosses val="autoZero"/>
        <c:crossBetween val="between"/>
      </c:valAx>
      <c:catAx>
        <c:axId val="476819000"/>
        <c:scaling>
          <c:orientation val="minMax"/>
        </c:scaling>
        <c:delete val="1"/>
        <c:axPos val="b"/>
        <c:numFmt formatCode="General" sourceLinked="1"/>
        <c:majorTickMark val="out"/>
        <c:minorTickMark val="none"/>
        <c:tickLblPos val="nextTo"/>
        <c:crossAx val="47682056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Unapplied Cash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AR!$BY$44</c:f>
              <c:strCache>
                <c:ptCount val="1"/>
                <c:pt idx="0">
                  <c:v>Quantity</c:v>
                </c:pt>
              </c:strCache>
            </c:strRef>
          </c:tx>
          <c:spPr>
            <a:solidFill>
              <a:schemeClr val="bg1">
                <a:lumMod val="65000"/>
              </a:schemeClr>
            </a:solidFill>
            <a:ln>
              <a:noFill/>
            </a:ln>
            <a:effectLst/>
          </c:spPr>
          <c:invertIfNegative val="0"/>
          <c:cat>
            <c:strRef>
              <c:f>AR!$BX$45:$BX$57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AR!$BY$45:$BY$57</c:f>
              <c:numCache>
                <c:formatCode>0.0</c:formatCode>
                <c:ptCount val="13"/>
                <c:pt idx="0">
                  <c:v>945.92265299999997</c:v>
                </c:pt>
                <c:pt idx="1">
                  <c:v>955.23008400000003</c:v>
                </c:pt>
                <c:pt idx="2">
                  <c:v>824.647921</c:v>
                </c:pt>
                <c:pt idx="3">
                  <c:v>863.47940800000003</c:v>
                </c:pt>
                <c:pt idx="4">
                  <c:v>887.72550699999999</c:v>
                </c:pt>
                <c:pt idx="5">
                  <c:v>856.29076499999996</c:v>
                </c:pt>
                <c:pt idx="6">
                  <c:v>921.98112600000002</c:v>
                </c:pt>
                <c:pt idx="7">
                  <c:v>871.520172</c:v>
                </c:pt>
                <c:pt idx="8">
                  <c:v>757.69491600000003</c:v>
                </c:pt>
                <c:pt idx="9">
                  <c:v>746.59340099999997</c:v>
                </c:pt>
                <c:pt idx="10">
                  <c:v>782.04072099999996</c:v>
                </c:pt>
                <c:pt idx="11">
                  <c:v>882.55028570000002</c:v>
                </c:pt>
                <c:pt idx="12">
                  <c:v>1032.726574</c:v>
                </c:pt>
              </c:numCache>
            </c:numRef>
          </c:val>
          <c:extLst>
            <c:ext xmlns:c16="http://schemas.microsoft.com/office/drawing/2014/chart" uri="{C3380CC4-5D6E-409C-BE32-E72D297353CC}">
              <c16:uniqueId val="{00000000-B749-488B-A448-AD5F9732D3FA}"/>
            </c:ext>
          </c:extLst>
        </c:ser>
        <c:dLbls>
          <c:showLegendKey val="0"/>
          <c:showVal val="0"/>
          <c:showCatName val="0"/>
          <c:showSerName val="0"/>
          <c:showPercent val="0"/>
          <c:showBubbleSize val="0"/>
        </c:dLbls>
        <c:gapWidth val="75"/>
        <c:overlap val="100"/>
        <c:axId val="476817040"/>
        <c:axId val="476814688"/>
      </c:barChart>
      <c:lineChart>
        <c:grouping val="standard"/>
        <c:varyColors val="0"/>
        <c:ser>
          <c:idx val="2"/>
          <c:order val="1"/>
          <c:tx>
            <c:strRef>
              <c:f>AR!$BZ$44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AR!$BX$45:$BX$57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AR!$BZ$45:$BZ$57</c:f>
              <c:numCache>
                <c:formatCode>0%</c:formatCode>
                <c:ptCount val="13"/>
                <c:pt idx="0">
                  <c:v>0.02</c:v>
                </c:pt>
                <c:pt idx="1">
                  <c:v>0.02</c:v>
                </c:pt>
                <c:pt idx="2">
                  <c:v>0.02</c:v>
                </c:pt>
                <c:pt idx="3">
                  <c:v>0.02</c:v>
                </c:pt>
                <c:pt idx="4">
                  <c:v>0.02</c:v>
                </c:pt>
                <c:pt idx="5">
                  <c:v>0.02</c:v>
                </c:pt>
                <c:pt idx="6">
                  <c:v>0.02</c:v>
                </c:pt>
                <c:pt idx="7">
                  <c:v>0.02</c:v>
                </c:pt>
                <c:pt idx="8">
                  <c:v>0.02</c:v>
                </c:pt>
                <c:pt idx="9">
                  <c:v>0.02</c:v>
                </c:pt>
                <c:pt idx="10">
                  <c:v>0.02</c:v>
                </c:pt>
                <c:pt idx="11">
                  <c:v>0.02</c:v>
                </c:pt>
                <c:pt idx="12">
                  <c:v>0.02</c:v>
                </c:pt>
              </c:numCache>
            </c:numRef>
          </c:val>
          <c:smooth val="0"/>
          <c:extLst>
            <c:ext xmlns:c16="http://schemas.microsoft.com/office/drawing/2014/chart" uri="{C3380CC4-5D6E-409C-BE32-E72D297353CC}">
              <c16:uniqueId val="{00000001-B749-488B-A448-AD5F9732D3FA}"/>
            </c:ext>
          </c:extLst>
        </c:ser>
        <c:ser>
          <c:idx val="1"/>
          <c:order val="2"/>
          <c:tx>
            <c:strRef>
              <c:f>AR!$CA$44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AR!$BX$45:$BX$57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AR!$CA$45:$CA$57</c:f>
              <c:numCache>
                <c:formatCode>0.0%</c:formatCode>
                <c:ptCount val="13"/>
                <c:pt idx="0">
                  <c:v>1.9092046207714618E-2</c:v>
                </c:pt>
                <c:pt idx="1">
                  <c:v>2.0830091444230519E-2</c:v>
                </c:pt>
                <c:pt idx="2">
                  <c:v>1.708126661244563E-2</c:v>
                </c:pt>
                <c:pt idx="3">
                  <c:v>1.9464518602625436E-2</c:v>
                </c:pt>
                <c:pt idx="4">
                  <c:v>1.8434629703616257E-2</c:v>
                </c:pt>
                <c:pt idx="5">
                  <c:v>1.9530543459732399E-2</c:v>
                </c:pt>
                <c:pt idx="6">
                  <c:v>1.6777817423564049E-2</c:v>
                </c:pt>
                <c:pt idx="7">
                  <c:v>2.3424998819189694E-2</c:v>
                </c:pt>
                <c:pt idx="8">
                  <c:v>2.1776272549253847E-2</c:v>
                </c:pt>
                <c:pt idx="9">
                  <c:v>2.2767142031034374E-2</c:v>
                </c:pt>
                <c:pt idx="10">
                  <c:v>4.3683831394759301E-2</c:v>
                </c:pt>
                <c:pt idx="11">
                  <c:v>2.725605598883327E-2</c:v>
                </c:pt>
                <c:pt idx="12">
                  <c:v>3.5742392932749299E-2</c:v>
                </c:pt>
              </c:numCache>
            </c:numRef>
          </c:val>
          <c:smooth val="0"/>
          <c:extLst>
            <c:ext xmlns:c16="http://schemas.microsoft.com/office/drawing/2014/chart" uri="{C3380CC4-5D6E-409C-BE32-E72D297353CC}">
              <c16:uniqueId val="{00000002-B749-488B-A448-AD5F9732D3FA}"/>
            </c:ext>
          </c:extLst>
        </c:ser>
        <c:dLbls>
          <c:showLegendKey val="0"/>
          <c:showVal val="0"/>
          <c:showCatName val="0"/>
          <c:showSerName val="0"/>
          <c:showPercent val="0"/>
          <c:showBubbleSize val="0"/>
        </c:dLbls>
        <c:marker val="1"/>
        <c:smooth val="0"/>
        <c:axId val="476818216"/>
        <c:axId val="476817432"/>
      </c:lineChart>
      <c:valAx>
        <c:axId val="476814688"/>
        <c:scaling>
          <c:orientation val="minMax"/>
          <c:max val="120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Gross AR in Ms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817040"/>
        <c:crosses val="max"/>
        <c:crossBetween val="between"/>
      </c:valAx>
      <c:catAx>
        <c:axId val="476817040"/>
        <c:scaling>
          <c:orientation val="minMax"/>
        </c:scaling>
        <c:delete val="1"/>
        <c:axPos val="b"/>
        <c:numFmt formatCode="General" sourceLinked="1"/>
        <c:majorTickMark val="out"/>
        <c:minorTickMark val="none"/>
        <c:tickLblPos val="nextTo"/>
        <c:crossAx val="476814688"/>
        <c:crosses val="autoZero"/>
        <c:auto val="1"/>
        <c:lblAlgn val="ctr"/>
        <c:lblOffset val="100"/>
        <c:noMultiLvlLbl val="0"/>
      </c:catAx>
      <c:valAx>
        <c:axId val="476817432"/>
        <c:scaling>
          <c:orientation val="minMax"/>
          <c:max val="5.000000000000001E-2"/>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Gross AR</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818216"/>
        <c:crosses val="autoZero"/>
        <c:crossBetween val="between"/>
      </c:valAx>
      <c:catAx>
        <c:axId val="476818216"/>
        <c:scaling>
          <c:orientation val="minMax"/>
        </c:scaling>
        <c:delete val="1"/>
        <c:axPos val="b"/>
        <c:numFmt formatCode="General" sourceLinked="1"/>
        <c:majorTickMark val="out"/>
        <c:minorTickMark val="none"/>
        <c:tickLblPos val="nextTo"/>
        <c:crossAx val="47681743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SNow Request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AR!$BY$82</c:f>
              <c:strCache>
                <c:ptCount val="1"/>
                <c:pt idx="0">
                  <c:v>Quantity</c:v>
                </c:pt>
              </c:strCache>
            </c:strRef>
          </c:tx>
          <c:spPr>
            <a:solidFill>
              <a:schemeClr val="bg1">
                <a:lumMod val="65000"/>
              </a:schemeClr>
            </a:solidFill>
            <a:ln>
              <a:noFill/>
            </a:ln>
            <a:effectLst/>
          </c:spPr>
          <c:invertIfNegative val="0"/>
          <c:cat>
            <c:strRef>
              <c:f>AR!$BX$83:$BX$95</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AR!$BY$83:$BY$95</c:f>
              <c:numCache>
                <c:formatCode>0.0</c:formatCode>
                <c:ptCount val="13"/>
                <c:pt idx="0">
                  <c:v>5.3410000000000002</c:v>
                </c:pt>
                <c:pt idx="1">
                  <c:v>4.4459999999999997</c:v>
                </c:pt>
                <c:pt idx="2">
                  <c:v>6.7939999999999996</c:v>
                </c:pt>
                <c:pt idx="3">
                  <c:v>5.2309999999999999</c:v>
                </c:pt>
                <c:pt idx="4">
                  <c:v>5.7329999999999997</c:v>
                </c:pt>
                <c:pt idx="5">
                  <c:v>7.3419999999999996</c:v>
                </c:pt>
                <c:pt idx="6">
                  <c:v>5.65</c:v>
                </c:pt>
                <c:pt idx="7">
                  <c:v>6.024</c:v>
                </c:pt>
                <c:pt idx="8">
                  <c:v>7.13</c:v>
                </c:pt>
                <c:pt idx="9">
                  <c:v>5.1340000000000003</c:v>
                </c:pt>
                <c:pt idx="10">
                  <c:v>5.4210000000000003</c:v>
                </c:pt>
                <c:pt idx="11">
                  <c:v>7.1020000000000003</c:v>
                </c:pt>
                <c:pt idx="12">
                  <c:v>5.6710000000000003</c:v>
                </c:pt>
              </c:numCache>
            </c:numRef>
          </c:val>
          <c:extLst>
            <c:ext xmlns:c16="http://schemas.microsoft.com/office/drawing/2014/chart" uri="{C3380CC4-5D6E-409C-BE32-E72D297353CC}">
              <c16:uniqueId val="{00000000-7AE0-482B-A82D-D087288216E0}"/>
            </c:ext>
          </c:extLst>
        </c:ser>
        <c:dLbls>
          <c:showLegendKey val="0"/>
          <c:showVal val="0"/>
          <c:showCatName val="0"/>
          <c:showSerName val="0"/>
          <c:showPercent val="0"/>
          <c:showBubbleSize val="0"/>
        </c:dLbls>
        <c:gapWidth val="75"/>
        <c:overlap val="100"/>
        <c:axId val="586386800"/>
        <c:axId val="586386016"/>
      </c:barChart>
      <c:lineChart>
        <c:grouping val="standard"/>
        <c:varyColors val="0"/>
        <c:ser>
          <c:idx val="2"/>
          <c:order val="1"/>
          <c:tx>
            <c:strRef>
              <c:f>AR!$BZ$82</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AR!$BX$83:$BX$95</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AR!$BZ$83:$BZ$95</c:f>
              <c:numCache>
                <c:formatCode>0.0</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Cache>
            </c:numRef>
          </c:val>
          <c:smooth val="0"/>
          <c:extLst>
            <c:ext xmlns:c16="http://schemas.microsoft.com/office/drawing/2014/chart" uri="{C3380CC4-5D6E-409C-BE32-E72D297353CC}">
              <c16:uniqueId val="{00000001-7AE0-482B-A82D-D087288216E0}"/>
            </c:ext>
          </c:extLst>
        </c:ser>
        <c:ser>
          <c:idx val="1"/>
          <c:order val="2"/>
          <c:tx>
            <c:strRef>
              <c:f>AR!$CA$82</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AR!$BX$83:$BX$95</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AR!$CA$83:$CA$95</c:f>
              <c:numCache>
                <c:formatCode>_("$"* #,##0.00_);_("$"* \(#,##0.00\);_("$"* "-"??_);_(@_)</c:formatCode>
                <c:ptCount val="13"/>
                <c:pt idx="0">
                  <c:v>4.7337577232727952</c:v>
                </c:pt>
                <c:pt idx="1">
                  <c:v>5.6275303643724701</c:v>
                </c:pt>
                <c:pt idx="2">
                  <c:v>3.9057992346187818</c:v>
                </c:pt>
                <c:pt idx="3">
                  <c:v>4.2012999426495892</c:v>
                </c:pt>
                <c:pt idx="4">
                  <c:v>4.543694400837258</c:v>
                </c:pt>
                <c:pt idx="5">
                  <c:v>4.5858076818305635</c:v>
                </c:pt>
                <c:pt idx="6">
                  <c:v>4.4700884955752214</c:v>
                </c:pt>
                <c:pt idx="7">
                  <c:v>4.1726427622841964</c:v>
                </c:pt>
                <c:pt idx="8">
                  <c:v>5.1281907433380081</c:v>
                </c:pt>
                <c:pt idx="9">
                  <c:v>5.4785742111414093</c:v>
                </c:pt>
                <c:pt idx="10">
                  <c:v>4.6805017524441981</c:v>
                </c:pt>
                <c:pt idx="11">
                  <c:v>4.1226415094339623</c:v>
                </c:pt>
                <c:pt idx="12">
                  <c:v>4.8827367307353198</c:v>
                </c:pt>
              </c:numCache>
            </c:numRef>
          </c:val>
          <c:smooth val="0"/>
          <c:extLst>
            <c:ext xmlns:c16="http://schemas.microsoft.com/office/drawing/2014/chart" uri="{C3380CC4-5D6E-409C-BE32-E72D297353CC}">
              <c16:uniqueId val="{00000002-7AE0-482B-A82D-D087288216E0}"/>
            </c:ext>
          </c:extLst>
        </c:ser>
        <c:dLbls>
          <c:showLegendKey val="0"/>
          <c:showVal val="0"/>
          <c:showCatName val="0"/>
          <c:showSerName val="0"/>
          <c:showPercent val="0"/>
          <c:showBubbleSize val="0"/>
        </c:dLbls>
        <c:marker val="1"/>
        <c:smooth val="0"/>
        <c:axId val="586383664"/>
        <c:axId val="586395032"/>
      </c:lineChart>
      <c:valAx>
        <c:axId val="58638601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Requests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86800"/>
        <c:crosses val="max"/>
        <c:crossBetween val="between"/>
      </c:valAx>
      <c:catAx>
        <c:axId val="586386800"/>
        <c:scaling>
          <c:orientation val="minMax"/>
        </c:scaling>
        <c:delete val="1"/>
        <c:axPos val="b"/>
        <c:numFmt formatCode="General" sourceLinked="1"/>
        <c:majorTickMark val="out"/>
        <c:minorTickMark val="none"/>
        <c:tickLblPos val="nextTo"/>
        <c:crossAx val="586386016"/>
        <c:crosses val="autoZero"/>
        <c:auto val="1"/>
        <c:lblAlgn val="ctr"/>
        <c:lblOffset val="100"/>
        <c:noMultiLvlLbl val="0"/>
      </c:catAx>
      <c:valAx>
        <c:axId val="586395032"/>
        <c:scaling>
          <c:orientation val="minMax"/>
          <c:max val="2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per Request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83664"/>
        <c:crosses val="autoZero"/>
        <c:crossBetween val="between"/>
      </c:valAx>
      <c:catAx>
        <c:axId val="586383664"/>
        <c:scaling>
          <c:orientation val="minMax"/>
        </c:scaling>
        <c:delete val="1"/>
        <c:axPos val="b"/>
        <c:numFmt formatCode="General" sourceLinked="1"/>
        <c:majorTickMark val="out"/>
        <c:minorTickMark val="none"/>
        <c:tickLblPos val="nextTo"/>
        <c:crossAx val="58639503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Manual Receipt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AR!$BY$63</c:f>
              <c:strCache>
                <c:ptCount val="1"/>
                <c:pt idx="0">
                  <c:v>Quantity</c:v>
                </c:pt>
              </c:strCache>
            </c:strRef>
          </c:tx>
          <c:spPr>
            <a:solidFill>
              <a:schemeClr val="bg1">
                <a:lumMod val="65000"/>
              </a:schemeClr>
            </a:solidFill>
            <a:ln>
              <a:noFill/>
            </a:ln>
            <a:effectLst/>
          </c:spPr>
          <c:invertIfNegative val="0"/>
          <c:cat>
            <c:strRef>
              <c:f>AR!$BX$64:$BX$76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AR!$BY$64:$BY$76</c:f>
              <c:numCache>
                <c:formatCode>0.0</c:formatCode>
                <c:ptCount val="13"/>
                <c:pt idx="0">
                  <c:v>3.198</c:v>
                </c:pt>
                <c:pt idx="1">
                  <c:v>3.2029999999999998</c:v>
                </c:pt>
                <c:pt idx="2">
                  <c:v>4.0910000000000002</c:v>
                </c:pt>
                <c:pt idx="3">
                  <c:v>2.8490000000000002</c:v>
                </c:pt>
                <c:pt idx="4">
                  <c:v>3.351</c:v>
                </c:pt>
                <c:pt idx="5">
                  <c:v>4.3490000000000002</c:v>
                </c:pt>
                <c:pt idx="6">
                  <c:v>3.2509999999999999</c:v>
                </c:pt>
                <c:pt idx="7">
                  <c:v>3.5049999999999999</c:v>
                </c:pt>
                <c:pt idx="8">
                  <c:v>4.2380000000000004</c:v>
                </c:pt>
                <c:pt idx="9">
                  <c:v>2.9380000000000002</c:v>
                </c:pt>
                <c:pt idx="10">
                  <c:v>2.7879999999999998</c:v>
                </c:pt>
                <c:pt idx="11">
                  <c:v>4.0519999999999996</c:v>
                </c:pt>
                <c:pt idx="12">
                  <c:v>3.32</c:v>
                </c:pt>
              </c:numCache>
            </c:numRef>
          </c:val>
          <c:extLst>
            <c:ext xmlns:c16="http://schemas.microsoft.com/office/drawing/2014/chart" uri="{C3380CC4-5D6E-409C-BE32-E72D297353CC}">
              <c16:uniqueId val="{00000000-794D-4EEA-8C25-5A55935DE048}"/>
            </c:ext>
          </c:extLst>
        </c:ser>
        <c:dLbls>
          <c:showLegendKey val="0"/>
          <c:showVal val="0"/>
          <c:showCatName val="0"/>
          <c:showSerName val="0"/>
          <c:showPercent val="0"/>
          <c:showBubbleSize val="0"/>
        </c:dLbls>
        <c:gapWidth val="75"/>
        <c:overlap val="100"/>
        <c:axId val="586394640"/>
        <c:axId val="586387192"/>
      </c:barChart>
      <c:lineChart>
        <c:grouping val="standard"/>
        <c:varyColors val="0"/>
        <c:ser>
          <c:idx val="2"/>
          <c:order val="1"/>
          <c:tx>
            <c:strRef>
              <c:f>AR!$BZ$63</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AR!$BX$64:$BX$76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AR!$BZ$64:$BZ$76</c:f>
              <c:numCache>
                <c:formatCode>0.0</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Cache>
            </c:numRef>
          </c:val>
          <c:smooth val="0"/>
          <c:extLst>
            <c:ext xmlns:c16="http://schemas.microsoft.com/office/drawing/2014/chart" uri="{C3380CC4-5D6E-409C-BE32-E72D297353CC}">
              <c16:uniqueId val="{00000001-794D-4EEA-8C25-5A55935DE048}"/>
            </c:ext>
          </c:extLst>
        </c:ser>
        <c:ser>
          <c:idx val="1"/>
          <c:order val="2"/>
          <c:tx>
            <c:strRef>
              <c:f>AR!$CA$63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AR!$BX$64:$BX$76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AR!$CA$64:$CA$76</c:f>
              <c:numCache>
                <c:formatCode>_("$"* #,##0.00_);_("$"* \(#,##0.00\);_("$"* "-"??_);_(@_)</c:formatCode>
                <c:ptCount val="13"/>
                <c:pt idx="0">
                  <c:v>6.5425265791119447</c:v>
                </c:pt>
                <c:pt idx="1">
                  <c:v>6.4586325320012499</c:v>
                </c:pt>
                <c:pt idx="2">
                  <c:v>5.8215595208995348</c:v>
                </c:pt>
                <c:pt idx="3">
                  <c:v>7.3394173394173388</c:v>
                </c:pt>
                <c:pt idx="4">
                  <c:v>6.455386451805432</c:v>
                </c:pt>
                <c:pt idx="5">
                  <c:v>5.8263968728443318</c:v>
                </c:pt>
                <c:pt idx="6">
                  <c:v>6.0224546293448178</c:v>
                </c:pt>
                <c:pt idx="7">
                  <c:v>5.5592011412268185</c:v>
                </c:pt>
                <c:pt idx="8">
                  <c:v>5.7420953279848979</c:v>
                </c:pt>
                <c:pt idx="9">
                  <c:v>6.4063989108236887</c:v>
                </c:pt>
                <c:pt idx="10">
                  <c:v>6.3217360114777623</c:v>
                </c:pt>
                <c:pt idx="11">
                  <c:v>6.0382527147087863</c:v>
                </c:pt>
                <c:pt idx="12">
                  <c:v>6.0400602409638555</c:v>
                </c:pt>
              </c:numCache>
            </c:numRef>
          </c:val>
          <c:smooth val="0"/>
          <c:extLst>
            <c:ext xmlns:c16="http://schemas.microsoft.com/office/drawing/2014/chart" uri="{C3380CC4-5D6E-409C-BE32-E72D297353CC}">
              <c16:uniqueId val="{00000002-794D-4EEA-8C25-5A55935DE048}"/>
            </c:ext>
          </c:extLst>
        </c:ser>
        <c:dLbls>
          <c:showLegendKey val="0"/>
          <c:showVal val="0"/>
          <c:showCatName val="0"/>
          <c:showSerName val="0"/>
          <c:showPercent val="0"/>
          <c:showBubbleSize val="0"/>
        </c:dLbls>
        <c:marker val="1"/>
        <c:smooth val="0"/>
        <c:axId val="586391896"/>
        <c:axId val="586389936"/>
      </c:lineChart>
      <c:valAx>
        <c:axId val="58638719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Receipts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94640"/>
        <c:crosses val="max"/>
        <c:crossBetween val="between"/>
      </c:valAx>
      <c:catAx>
        <c:axId val="586394640"/>
        <c:scaling>
          <c:orientation val="minMax"/>
        </c:scaling>
        <c:delete val="1"/>
        <c:axPos val="b"/>
        <c:numFmt formatCode="General" sourceLinked="1"/>
        <c:majorTickMark val="out"/>
        <c:minorTickMark val="none"/>
        <c:tickLblPos val="nextTo"/>
        <c:crossAx val="586387192"/>
        <c:crosses val="autoZero"/>
        <c:auto val="1"/>
        <c:lblAlgn val="ctr"/>
        <c:lblOffset val="100"/>
        <c:noMultiLvlLbl val="0"/>
      </c:catAx>
      <c:valAx>
        <c:axId val="586389936"/>
        <c:scaling>
          <c:orientation val="minMax"/>
          <c:max val="2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Per Receipt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91896"/>
        <c:crosses val="autoZero"/>
        <c:crossBetween val="between"/>
      </c:valAx>
      <c:catAx>
        <c:axId val="586391896"/>
        <c:scaling>
          <c:orientation val="minMax"/>
        </c:scaling>
        <c:delete val="1"/>
        <c:axPos val="b"/>
        <c:numFmt formatCode="General" sourceLinked="1"/>
        <c:majorTickMark val="out"/>
        <c:minorTickMark val="none"/>
        <c:tickLblPos val="nextTo"/>
        <c:crossAx val="58638993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Pending Items (60+)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CB!$BY$25</c:f>
              <c:strCache>
                <c:ptCount val="1"/>
                <c:pt idx="0">
                  <c:v>Quantity</c:v>
                </c:pt>
              </c:strCache>
            </c:strRef>
          </c:tx>
          <c:spPr>
            <a:solidFill>
              <a:schemeClr val="bg1">
                <a:lumMod val="65000"/>
              </a:schemeClr>
            </a:solidFill>
            <a:ln>
              <a:noFill/>
            </a:ln>
            <a:effectLst/>
          </c:spPr>
          <c:invertIfNegative val="0"/>
          <c:cat>
            <c:strRef>
              <c:f>CB!$BX$26:$BX$38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CB!$BY$26:$BY$38</c:f>
              <c:numCache>
                <c:formatCode>0.0</c:formatCode>
                <c:ptCount val="13"/>
                <c:pt idx="0">
                  <c:v>31.131</c:v>
                </c:pt>
                <c:pt idx="1">
                  <c:v>21.192</c:v>
                </c:pt>
                <c:pt idx="2">
                  <c:v>8.6969999999999992</c:v>
                </c:pt>
                <c:pt idx="3">
                  <c:v>9.4309999999999992</c:v>
                </c:pt>
                <c:pt idx="4">
                  <c:v>8.3729999999999993</c:v>
                </c:pt>
                <c:pt idx="5">
                  <c:v>2.9430000000000001</c:v>
                </c:pt>
                <c:pt idx="6">
                  <c:v>3.105</c:v>
                </c:pt>
                <c:pt idx="7">
                  <c:v>6.8120000000000003</c:v>
                </c:pt>
                <c:pt idx="8">
                  <c:v>2.6829999999999998</c:v>
                </c:pt>
                <c:pt idx="9">
                  <c:v>2.1760000000000002</c:v>
                </c:pt>
                <c:pt idx="10">
                  <c:v>2.032</c:v>
                </c:pt>
                <c:pt idx="11">
                  <c:v>1.2090000000000001</c:v>
                </c:pt>
                <c:pt idx="12">
                  <c:v>2.327</c:v>
                </c:pt>
              </c:numCache>
            </c:numRef>
          </c:val>
          <c:extLst>
            <c:ext xmlns:c16="http://schemas.microsoft.com/office/drawing/2014/chart" uri="{C3380CC4-5D6E-409C-BE32-E72D297353CC}">
              <c16:uniqueId val="{00000000-2D27-431F-A0FB-6D8E7E582964}"/>
            </c:ext>
          </c:extLst>
        </c:ser>
        <c:dLbls>
          <c:showLegendKey val="0"/>
          <c:showVal val="0"/>
          <c:showCatName val="0"/>
          <c:showSerName val="0"/>
          <c:showPercent val="0"/>
          <c:showBubbleSize val="0"/>
        </c:dLbls>
        <c:gapWidth val="75"/>
        <c:overlap val="100"/>
        <c:axId val="586388760"/>
        <c:axId val="586387584"/>
      </c:barChart>
      <c:lineChart>
        <c:grouping val="standard"/>
        <c:varyColors val="0"/>
        <c:ser>
          <c:idx val="2"/>
          <c:order val="1"/>
          <c:tx>
            <c:strRef>
              <c:f>CB!$BZ$25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CB!$BX$26:$BX$38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CB!$BZ$26:$BZ$38</c:f>
              <c:numCache>
                <c:formatCode>0%</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1-2D27-431F-A0FB-6D8E7E582964}"/>
            </c:ext>
          </c:extLst>
        </c:ser>
        <c:ser>
          <c:idx val="1"/>
          <c:order val="2"/>
          <c:tx>
            <c:strRef>
              <c:f>CB!$CA$25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CB!$BX$26:$BX$38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CB!$CA$26:$CA$38</c:f>
              <c:numCache>
                <c:formatCode>0.0%</c:formatCode>
                <c:ptCount val="13"/>
                <c:pt idx="0">
                  <c:v>1</c:v>
                </c:pt>
                <c:pt idx="1">
                  <c:v>1</c:v>
                </c:pt>
                <c:pt idx="2">
                  <c:v>1</c:v>
                </c:pt>
                <c:pt idx="3">
                  <c:v>0.8334216944120455</c:v>
                </c:pt>
                <c:pt idx="4">
                  <c:v>0.81798638480831254</c:v>
                </c:pt>
                <c:pt idx="5">
                  <c:v>0.97417601087325856</c:v>
                </c:pt>
                <c:pt idx="6">
                  <c:v>0.99935587761674727</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2-2D27-431F-A0FB-6D8E7E582964}"/>
            </c:ext>
          </c:extLst>
        </c:ser>
        <c:dLbls>
          <c:showLegendKey val="0"/>
          <c:showVal val="0"/>
          <c:showCatName val="0"/>
          <c:showSerName val="0"/>
          <c:showPercent val="0"/>
          <c:showBubbleSize val="0"/>
        </c:dLbls>
        <c:marker val="1"/>
        <c:smooth val="0"/>
        <c:axId val="586393072"/>
        <c:axId val="586384056"/>
      </c:lineChart>
      <c:valAx>
        <c:axId val="586387584"/>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Pending Items in 1000s</a:t>
                </a:r>
              </a:p>
            </c:rich>
          </c:tx>
          <c:layout>
            <c:manualLayout>
              <c:xMode val="edge"/>
              <c:yMode val="edge"/>
              <c:x val="0.94718104431723749"/>
              <c:y val="0.26979934507056491"/>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88760"/>
        <c:crosses val="max"/>
        <c:crossBetween val="between"/>
      </c:valAx>
      <c:catAx>
        <c:axId val="586388760"/>
        <c:scaling>
          <c:orientation val="minMax"/>
        </c:scaling>
        <c:delete val="1"/>
        <c:axPos val="b"/>
        <c:numFmt formatCode="General" sourceLinked="1"/>
        <c:majorTickMark val="out"/>
        <c:minorTickMark val="none"/>
        <c:tickLblPos val="nextTo"/>
        <c:crossAx val="586387584"/>
        <c:crosses val="autoZero"/>
        <c:auto val="1"/>
        <c:lblAlgn val="ctr"/>
        <c:lblOffset val="100"/>
        <c:noMultiLvlLbl val="0"/>
      </c:catAx>
      <c:valAx>
        <c:axId val="58638405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Achieved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93072"/>
        <c:crosses val="autoZero"/>
        <c:crossBetween val="between"/>
      </c:valAx>
      <c:catAx>
        <c:axId val="586393072"/>
        <c:scaling>
          <c:orientation val="minMax"/>
        </c:scaling>
        <c:delete val="1"/>
        <c:axPos val="b"/>
        <c:numFmt formatCode="General" sourceLinked="1"/>
        <c:majorTickMark val="out"/>
        <c:minorTickMark val="none"/>
        <c:tickLblPos val="nextTo"/>
        <c:crossAx val="58638405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Bank Account Reconciliation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CB!$BY$44</c:f>
              <c:strCache>
                <c:ptCount val="1"/>
                <c:pt idx="0">
                  <c:v>Quantity</c:v>
                </c:pt>
              </c:strCache>
            </c:strRef>
          </c:tx>
          <c:spPr>
            <a:solidFill>
              <a:schemeClr val="bg1">
                <a:lumMod val="65000"/>
              </a:schemeClr>
            </a:solidFill>
            <a:ln>
              <a:noFill/>
            </a:ln>
            <a:effectLst/>
          </c:spPr>
          <c:invertIfNegative val="0"/>
          <c:cat>
            <c:strRef>
              <c:f>CB!$BX$45:$BX$57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CB!$BY$45:$BY$57</c:f>
              <c:numCache>
                <c:formatCode>0</c:formatCode>
                <c:ptCount val="13"/>
                <c:pt idx="0">
                  <c:v>538</c:v>
                </c:pt>
                <c:pt idx="1">
                  <c:v>538</c:v>
                </c:pt>
                <c:pt idx="2">
                  <c:v>538</c:v>
                </c:pt>
                <c:pt idx="3">
                  <c:v>538</c:v>
                </c:pt>
                <c:pt idx="4">
                  <c:v>468</c:v>
                </c:pt>
                <c:pt idx="5">
                  <c:v>451</c:v>
                </c:pt>
                <c:pt idx="6">
                  <c:v>462</c:v>
                </c:pt>
                <c:pt idx="7">
                  <c:v>461</c:v>
                </c:pt>
                <c:pt idx="8">
                  <c:v>461</c:v>
                </c:pt>
                <c:pt idx="9">
                  <c:v>458</c:v>
                </c:pt>
                <c:pt idx="10">
                  <c:v>462</c:v>
                </c:pt>
                <c:pt idx="11">
                  <c:v>462</c:v>
                </c:pt>
                <c:pt idx="12">
                  <c:v>463</c:v>
                </c:pt>
              </c:numCache>
            </c:numRef>
          </c:val>
          <c:extLst>
            <c:ext xmlns:c16="http://schemas.microsoft.com/office/drawing/2014/chart" uri="{C3380CC4-5D6E-409C-BE32-E72D297353CC}">
              <c16:uniqueId val="{00000000-F92C-44A9-9662-53FAB31B26B2}"/>
            </c:ext>
          </c:extLst>
        </c:ser>
        <c:dLbls>
          <c:showLegendKey val="0"/>
          <c:showVal val="0"/>
          <c:showCatName val="0"/>
          <c:showSerName val="0"/>
          <c:showPercent val="0"/>
          <c:showBubbleSize val="0"/>
        </c:dLbls>
        <c:gapWidth val="75"/>
        <c:overlap val="100"/>
        <c:axId val="586382880"/>
        <c:axId val="586394248"/>
      </c:barChart>
      <c:lineChart>
        <c:grouping val="standard"/>
        <c:varyColors val="0"/>
        <c:ser>
          <c:idx val="2"/>
          <c:order val="1"/>
          <c:tx>
            <c:strRef>
              <c:f>CB!$BZ$44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CB!$BX$45:$BX$57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CB!$BZ$45:$BZ$57</c:f>
              <c:numCache>
                <c:formatCode>0%</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1-F92C-44A9-9662-53FAB31B26B2}"/>
            </c:ext>
          </c:extLst>
        </c:ser>
        <c:ser>
          <c:idx val="1"/>
          <c:order val="2"/>
          <c:tx>
            <c:strRef>
              <c:f>CB!$CA$44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CB!$BX$45:$BX$57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CB!$CA$45:$CA$57</c:f>
              <c:numCache>
                <c:formatCode>0.0%</c:formatCode>
                <c:ptCount val="13"/>
                <c:pt idx="0">
                  <c:v>0.99442379182156138</c:v>
                </c:pt>
                <c:pt idx="1">
                  <c:v>0.99442379182156138</c:v>
                </c:pt>
                <c:pt idx="2">
                  <c:v>0.9981412639405205</c:v>
                </c:pt>
                <c:pt idx="3">
                  <c:v>1</c:v>
                </c:pt>
                <c:pt idx="4">
                  <c:v>1</c:v>
                </c:pt>
                <c:pt idx="5">
                  <c:v>1</c:v>
                </c:pt>
                <c:pt idx="6">
                  <c:v>1</c:v>
                </c:pt>
                <c:pt idx="7">
                  <c:v>1</c:v>
                </c:pt>
                <c:pt idx="8">
                  <c:v>1</c:v>
                </c:pt>
                <c:pt idx="9">
                  <c:v>1</c:v>
                </c:pt>
                <c:pt idx="10">
                  <c:v>1</c:v>
                </c:pt>
                <c:pt idx="11">
                  <c:v>1</c:v>
                </c:pt>
                <c:pt idx="12">
                  <c:v>0.98920086393088547</c:v>
                </c:pt>
              </c:numCache>
            </c:numRef>
          </c:val>
          <c:smooth val="0"/>
          <c:extLst>
            <c:ext xmlns:c16="http://schemas.microsoft.com/office/drawing/2014/chart" uri="{C3380CC4-5D6E-409C-BE32-E72D297353CC}">
              <c16:uniqueId val="{00000002-F92C-44A9-9662-53FAB31B26B2}"/>
            </c:ext>
          </c:extLst>
        </c:ser>
        <c:dLbls>
          <c:showLegendKey val="0"/>
          <c:showVal val="0"/>
          <c:showCatName val="0"/>
          <c:showSerName val="0"/>
          <c:showPercent val="0"/>
          <c:showBubbleSize val="0"/>
        </c:dLbls>
        <c:marker val="1"/>
        <c:smooth val="0"/>
        <c:axId val="586385624"/>
        <c:axId val="586384840"/>
      </c:lineChart>
      <c:valAx>
        <c:axId val="586394248"/>
        <c:scaling>
          <c:orientation val="minMax"/>
          <c:max val="600"/>
          <c:min val="30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Master Account Count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82880"/>
        <c:crosses val="max"/>
        <c:crossBetween val="between"/>
        <c:majorUnit val="50"/>
        <c:minorUnit val="25"/>
      </c:valAx>
      <c:catAx>
        <c:axId val="586382880"/>
        <c:scaling>
          <c:orientation val="minMax"/>
        </c:scaling>
        <c:delete val="1"/>
        <c:axPos val="b"/>
        <c:numFmt formatCode="General" sourceLinked="1"/>
        <c:majorTickMark val="out"/>
        <c:minorTickMark val="none"/>
        <c:tickLblPos val="nextTo"/>
        <c:crossAx val="586394248"/>
        <c:crosses val="autoZero"/>
        <c:auto val="1"/>
        <c:lblAlgn val="ctr"/>
        <c:lblOffset val="100"/>
        <c:noMultiLvlLbl val="0"/>
      </c:catAx>
      <c:valAx>
        <c:axId val="586384840"/>
        <c:scaling>
          <c:orientation val="minMax"/>
          <c:max val="1"/>
          <c:min val="0.75000000000000011"/>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Achieved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85624"/>
        <c:crosses val="autoZero"/>
        <c:crossBetween val="between"/>
      </c:valAx>
      <c:catAx>
        <c:axId val="586385624"/>
        <c:scaling>
          <c:orientation val="minMax"/>
        </c:scaling>
        <c:delete val="1"/>
        <c:axPos val="b"/>
        <c:numFmt formatCode="General" sourceLinked="1"/>
        <c:majorTickMark val="out"/>
        <c:minorTickMark val="none"/>
        <c:tickLblPos val="nextTo"/>
        <c:crossAx val="58638484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Manually Reconciled Item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CB!$BY$63</c:f>
              <c:strCache>
                <c:ptCount val="1"/>
                <c:pt idx="0">
                  <c:v>Quantity</c:v>
                </c:pt>
              </c:strCache>
            </c:strRef>
          </c:tx>
          <c:spPr>
            <a:solidFill>
              <a:schemeClr val="bg1">
                <a:lumMod val="65000"/>
              </a:schemeClr>
            </a:solidFill>
            <a:ln>
              <a:noFill/>
            </a:ln>
            <a:effectLst/>
          </c:spPr>
          <c:invertIfNegative val="0"/>
          <c:cat>
            <c:strRef>
              <c:f>CB!$BX$64:$BX$76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CB!$BY$64:$BY$76</c:f>
              <c:numCache>
                <c:formatCode>0.0</c:formatCode>
                <c:ptCount val="13"/>
                <c:pt idx="0">
                  <c:v>53.354999999999997</c:v>
                </c:pt>
                <c:pt idx="1">
                  <c:v>69.843999999999994</c:v>
                </c:pt>
                <c:pt idx="2">
                  <c:v>74.52</c:v>
                </c:pt>
                <c:pt idx="3">
                  <c:v>58.140999999999998</c:v>
                </c:pt>
                <c:pt idx="4">
                  <c:v>64.344999999999999</c:v>
                </c:pt>
                <c:pt idx="5">
                  <c:v>77.099999999999994</c:v>
                </c:pt>
                <c:pt idx="6">
                  <c:v>67.213999999999999</c:v>
                </c:pt>
                <c:pt idx="7">
                  <c:v>60.009</c:v>
                </c:pt>
                <c:pt idx="8">
                  <c:v>65.11</c:v>
                </c:pt>
                <c:pt idx="9">
                  <c:v>51.472000000000001</c:v>
                </c:pt>
                <c:pt idx="10">
                  <c:v>64.302000000000007</c:v>
                </c:pt>
                <c:pt idx="11">
                  <c:v>92.096000000000004</c:v>
                </c:pt>
                <c:pt idx="12">
                  <c:v>72.164000000000001</c:v>
                </c:pt>
              </c:numCache>
            </c:numRef>
          </c:val>
          <c:extLst>
            <c:ext xmlns:c16="http://schemas.microsoft.com/office/drawing/2014/chart" uri="{C3380CC4-5D6E-409C-BE32-E72D297353CC}">
              <c16:uniqueId val="{00000000-467B-4B3E-B6B0-BE638D70602B}"/>
            </c:ext>
          </c:extLst>
        </c:ser>
        <c:dLbls>
          <c:showLegendKey val="0"/>
          <c:showVal val="0"/>
          <c:showCatName val="0"/>
          <c:showSerName val="0"/>
          <c:showPercent val="0"/>
          <c:showBubbleSize val="0"/>
        </c:dLbls>
        <c:gapWidth val="75"/>
        <c:overlap val="100"/>
        <c:axId val="586397776"/>
        <c:axId val="586395816"/>
      </c:barChart>
      <c:lineChart>
        <c:grouping val="standard"/>
        <c:varyColors val="0"/>
        <c:ser>
          <c:idx val="2"/>
          <c:order val="1"/>
          <c:tx>
            <c:strRef>
              <c:f>CB!$BZ$63</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CB!$BX$64:$BX$76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CB!$BZ$64:$BZ$76</c:f>
              <c:numCache>
                <c:formatCode>#,##0.00_);\(#,##0.00\)</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Cache>
            </c:numRef>
          </c:val>
          <c:smooth val="0"/>
          <c:extLst>
            <c:ext xmlns:c16="http://schemas.microsoft.com/office/drawing/2014/chart" uri="{C3380CC4-5D6E-409C-BE32-E72D297353CC}">
              <c16:uniqueId val="{00000001-467B-4B3E-B6B0-BE638D70602B}"/>
            </c:ext>
          </c:extLst>
        </c:ser>
        <c:ser>
          <c:idx val="1"/>
          <c:order val="2"/>
          <c:tx>
            <c:strRef>
              <c:f>CB!$CA$63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CB!$BX$64:$BX$76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CB!$CA$64:$CA$76</c:f>
              <c:numCache>
                <c:formatCode>_("$"* #,##0.00_);_("$"* \(#,##0.00\);_("$"* "-"??_);_(@_)</c:formatCode>
                <c:ptCount val="13"/>
                <c:pt idx="0">
                  <c:v>2.4604067097741544</c:v>
                </c:pt>
                <c:pt idx="1">
                  <c:v>2.010208464578203</c:v>
                </c:pt>
                <c:pt idx="2">
                  <c:v>2.3194310252281269</c:v>
                </c:pt>
                <c:pt idx="3">
                  <c:v>2.5425087287800352</c:v>
                </c:pt>
                <c:pt idx="4">
                  <c:v>2.247478436552957</c:v>
                </c:pt>
                <c:pt idx="5">
                  <c:v>2.2480674448767837</c:v>
                </c:pt>
                <c:pt idx="6">
                  <c:v>1.9498913916743537</c:v>
                </c:pt>
                <c:pt idx="7">
                  <c:v>2.2171007682181005</c:v>
                </c:pt>
                <c:pt idx="8">
                  <c:v>2.4918445707264629</c:v>
                </c:pt>
                <c:pt idx="9">
                  <c:v>2.5491529375194282</c:v>
                </c:pt>
                <c:pt idx="10">
                  <c:v>2.2912662125594845</c:v>
                </c:pt>
                <c:pt idx="11">
                  <c:v>1.9132644197359276</c:v>
                </c:pt>
                <c:pt idx="12">
                  <c:v>1.9293276425918742</c:v>
                </c:pt>
              </c:numCache>
            </c:numRef>
          </c:val>
          <c:smooth val="0"/>
          <c:extLst>
            <c:ext xmlns:c16="http://schemas.microsoft.com/office/drawing/2014/chart" uri="{C3380CC4-5D6E-409C-BE32-E72D297353CC}">
              <c16:uniqueId val="{00000002-467B-4B3E-B6B0-BE638D70602B}"/>
            </c:ext>
          </c:extLst>
        </c:ser>
        <c:dLbls>
          <c:showLegendKey val="0"/>
          <c:showVal val="0"/>
          <c:showCatName val="0"/>
          <c:showSerName val="0"/>
          <c:showPercent val="0"/>
          <c:showBubbleSize val="0"/>
        </c:dLbls>
        <c:marker val="1"/>
        <c:smooth val="0"/>
        <c:axId val="586396600"/>
        <c:axId val="586396208"/>
      </c:lineChart>
      <c:valAx>
        <c:axId val="58639581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Items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97776"/>
        <c:crosses val="max"/>
        <c:crossBetween val="between"/>
      </c:valAx>
      <c:catAx>
        <c:axId val="586397776"/>
        <c:scaling>
          <c:orientation val="minMax"/>
        </c:scaling>
        <c:delete val="1"/>
        <c:axPos val="b"/>
        <c:numFmt formatCode="General" sourceLinked="1"/>
        <c:majorTickMark val="out"/>
        <c:minorTickMark val="none"/>
        <c:tickLblPos val="nextTo"/>
        <c:crossAx val="586395816"/>
        <c:crosses val="autoZero"/>
        <c:auto val="1"/>
        <c:lblAlgn val="ctr"/>
        <c:lblOffset val="100"/>
        <c:noMultiLvlLbl val="0"/>
      </c:catAx>
      <c:valAx>
        <c:axId val="586396208"/>
        <c:scaling>
          <c:orientation val="minMax"/>
          <c:max val="4"/>
          <c:min val="0.5"/>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per Touch in ReconNET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96600"/>
        <c:crosses val="autoZero"/>
        <c:crossBetween val="between"/>
      </c:valAx>
      <c:catAx>
        <c:axId val="586396600"/>
        <c:scaling>
          <c:orientation val="minMax"/>
        </c:scaling>
        <c:delete val="1"/>
        <c:axPos val="b"/>
        <c:numFmt formatCode="General" sourceLinked="1"/>
        <c:majorTickMark val="out"/>
        <c:minorTickMark val="none"/>
        <c:tickLblPos val="nextTo"/>
        <c:crossAx val="58639620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Canada Debit Pending Items over 60 Days</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CB!$BY$82</c:f>
              <c:strCache>
                <c:ptCount val="1"/>
                <c:pt idx="0">
                  <c:v>Quantity</c:v>
                </c:pt>
              </c:strCache>
            </c:strRef>
          </c:tx>
          <c:spPr>
            <a:solidFill>
              <a:sysClr val="window" lastClr="FFFFFF">
                <a:lumMod val="65000"/>
              </a:sysClr>
            </a:solidFill>
            <a:ln>
              <a:noFill/>
            </a:ln>
            <a:effectLst/>
          </c:spPr>
          <c:invertIfNegative val="0"/>
          <c:cat>
            <c:strRef>
              <c:f>CB!$BX$83:$BX$95</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CB!$BY$83:$BY$95</c:f>
              <c:numCache>
                <c:formatCode>0.0</c:formatCode>
                <c:ptCount val="13"/>
                <c:pt idx="0">
                  <c:v>13.327</c:v>
                </c:pt>
                <c:pt idx="1">
                  <c:v>6.5490000000000004</c:v>
                </c:pt>
                <c:pt idx="2">
                  <c:v>3.0339999999999998</c:v>
                </c:pt>
                <c:pt idx="3">
                  <c:v>5.4560000000000004</c:v>
                </c:pt>
                <c:pt idx="4">
                  <c:v>2.7559999999999998</c:v>
                </c:pt>
                <c:pt idx="5">
                  <c:v>1.3939999999999999</c:v>
                </c:pt>
                <c:pt idx="6">
                  <c:v>2.1190000000000002</c:v>
                </c:pt>
                <c:pt idx="7">
                  <c:v>2.851</c:v>
                </c:pt>
                <c:pt idx="8">
                  <c:v>1.5580000000000001</c:v>
                </c:pt>
                <c:pt idx="9">
                  <c:v>1.6779999999999999</c:v>
                </c:pt>
                <c:pt idx="10">
                  <c:v>2.5270000000000001</c:v>
                </c:pt>
                <c:pt idx="11">
                  <c:v>2.621</c:v>
                </c:pt>
                <c:pt idx="12">
                  <c:v>2.36</c:v>
                </c:pt>
              </c:numCache>
            </c:numRef>
          </c:val>
          <c:extLst>
            <c:ext xmlns:c16="http://schemas.microsoft.com/office/drawing/2014/chart" uri="{C3380CC4-5D6E-409C-BE32-E72D297353CC}">
              <c16:uniqueId val="{00000000-3B4B-4D15-AB7B-40F90C6BC88D}"/>
            </c:ext>
          </c:extLst>
        </c:ser>
        <c:dLbls>
          <c:showLegendKey val="0"/>
          <c:showVal val="0"/>
          <c:showCatName val="0"/>
          <c:showSerName val="0"/>
          <c:showPercent val="0"/>
          <c:showBubbleSize val="0"/>
        </c:dLbls>
        <c:gapWidth val="75"/>
        <c:overlap val="100"/>
        <c:axId val="591243160"/>
        <c:axId val="586398560"/>
      </c:barChart>
      <c:lineChart>
        <c:grouping val="standard"/>
        <c:varyColors val="0"/>
        <c:ser>
          <c:idx val="2"/>
          <c:order val="1"/>
          <c:tx>
            <c:strRef>
              <c:f>CB!$BZ$82</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CB!$BX$83:$BX$95</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CB!$BZ$83:$BZ$95</c:f>
              <c:numCache>
                <c:formatCode>0%</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1-3B4B-4D15-AB7B-40F90C6BC88D}"/>
            </c:ext>
          </c:extLst>
        </c:ser>
        <c:ser>
          <c:idx val="1"/>
          <c:order val="2"/>
          <c:tx>
            <c:strRef>
              <c:f>CB!$CA$82</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CB!$BX$83:$BX$95</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CB!$CA$83:$CA$95</c:f>
              <c:numCache>
                <c:formatCode>0.0%</c:formatCode>
                <c:ptCount val="13"/>
                <c:pt idx="0">
                  <c:v>1</c:v>
                </c:pt>
                <c:pt idx="1">
                  <c:v>1</c:v>
                </c:pt>
                <c:pt idx="2">
                  <c:v>1</c:v>
                </c:pt>
                <c:pt idx="3">
                  <c:v>0.82258064516129037</c:v>
                </c:pt>
                <c:pt idx="4">
                  <c:v>0.96952104499274327</c:v>
                </c:pt>
                <c:pt idx="5">
                  <c:v>0.99928263988522248</c:v>
                </c:pt>
                <c:pt idx="6">
                  <c:v>0.96649362907031611</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2-3B4B-4D15-AB7B-40F90C6BC88D}"/>
            </c:ext>
          </c:extLst>
        </c:ser>
        <c:dLbls>
          <c:showLegendKey val="0"/>
          <c:showVal val="0"/>
          <c:showCatName val="0"/>
          <c:showSerName val="0"/>
          <c:showPercent val="0"/>
          <c:showBubbleSize val="0"/>
        </c:dLbls>
        <c:marker val="1"/>
        <c:smooth val="0"/>
        <c:axId val="591243552"/>
        <c:axId val="591244336"/>
      </c:lineChart>
      <c:valAx>
        <c:axId val="586398560"/>
        <c:scaling>
          <c:orientation val="minMax"/>
          <c:max val="16"/>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Pending Items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43160"/>
        <c:crosses val="max"/>
        <c:crossBetween val="between"/>
      </c:valAx>
      <c:catAx>
        <c:axId val="591243160"/>
        <c:scaling>
          <c:orientation val="minMax"/>
        </c:scaling>
        <c:delete val="1"/>
        <c:axPos val="b"/>
        <c:numFmt formatCode="General" sourceLinked="1"/>
        <c:majorTickMark val="out"/>
        <c:minorTickMark val="none"/>
        <c:tickLblPos val="nextTo"/>
        <c:crossAx val="586398560"/>
        <c:crosses val="autoZero"/>
        <c:auto val="1"/>
        <c:lblAlgn val="ctr"/>
        <c:lblOffset val="100"/>
        <c:noMultiLvlLbl val="0"/>
      </c:catAx>
      <c:valAx>
        <c:axId val="59124433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Achieved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43552"/>
        <c:crosses val="autoZero"/>
        <c:crossBetween val="between"/>
      </c:valAx>
      <c:catAx>
        <c:axId val="591243552"/>
        <c:scaling>
          <c:orientation val="minMax"/>
        </c:scaling>
        <c:delete val="1"/>
        <c:axPos val="b"/>
        <c:numFmt formatCode="General" sourceLinked="1"/>
        <c:majorTickMark val="out"/>
        <c:minorTickMark val="none"/>
        <c:tickLblPos val="nextTo"/>
        <c:crossAx val="59124433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Canada Bank Account Reconciliation</a:t>
            </a:r>
            <a:endParaRPr lang="en-US"/>
          </a:p>
        </c:rich>
      </c:tx>
      <c:layout>
        <c:manualLayout>
          <c:xMode val="edge"/>
          <c:yMode val="edge"/>
          <c:x val="0.27373887485236342"/>
          <c:y val="3.09895928650732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CB!$BY$100</c:f>
              <c:strCache>
                <c:ptCount val="1"/>
                <c:pt idx="0">
                  <c:v>Quantity</c:v>
                </c:pt>
              </c:strCache>
            </c:strRef>
          </c:tx>
          <c:spPr>
            <a:solidFill>
              <a:sysClr val="window" lastClr="FFFFFF">
                <a:lumMod val="65000"/>
              </a:sysClr>
            </a:solidFill>
            <a:ln>
              <a:noFill/>
            </a:ln>
            <a:effectLst/>
          </c:spPr>
          <c:invertIfNegative val="0"/>
          <c:cat>
            <c:strRef>
              <c:f>CB!$BX$101:$BX$113</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CB!$BY$101:$BY$113</c:f>
              <c:numCache>
                <c:formatCode>0</c:formatCode>
                <c:ptCount val="13"/>
                <c:pt idx="0">
                  <c:v>55</c:v>
                </c:pt>
                <c:pt idx="1">
                  <c:v>55</c:v>
                </c:pt>
                <c:pt idx="2">
                  <c:v>55</c:v>
                </c:pt>
                <c:pt idx="3">
                  <c:v>55</c:v>
                </c:pt>
                <c:pt idx="4">
                  <c:v>51</c:v>
                </c:pt>
                <c:pt idx="5">
                  <c:v>50</c:v>
                </c:pt>
                <c:pt idx="6">
                  <c:v>49</c:v>
                </c:pt>
                <c:pt idx="7">
                  <c:v>50</c:v>
                </c:pt>
                <c:pt idx="8">
                  <c:v>49</c:v>
                </c:pt>
                <c:pt idx="9">
                  <c:v>49</c:v>
                </c:pt>
                <c:pt idx="10">
                  <c:v>48</c:v>
                </c:pt>
                <c:pt idx="11">
                  <c:v>51</c:v>
                </c:pt>
                <c:pt idx="12">
                  <c:v>51</c:v>
                </c:pt>
              </c:numCache>
            </c:numRef>
          </c:val>
          <c:extLst>
            <c:ext xmlns:c16="http://schemas.microsoft.com/office/drawing/2014/chart" uri="{C3380CC4-5D6E-409C-BE32-E72D297353CC}">
              <c16:uniqueId val="{00000000-A72C-4898-8F5D-10AA131A0266}"/>
            </c:ext>
          </c:extLst>
        </c:ser>
        <c:dLbls>
          <c:showLegendKey val="0"/>
          <c:showVal val="0"/>
          <c:showCatName val="0"/>
          <c:showSerName val="0"/>
          <c:showPercent val="0"/>
          <c:showBubbleSize val="0"/>
        </c:dLbls>
        <c:gapWidth val="75"/>
        <c:overlap val="100"/>
        <c:axId val="591243944"/>
        <c:axId val="591241592"/>
      </c:barChart>
      <c:lineChart>
        <c:grouping val="standard"/>
        <c:varyColors val="0"/>
        <c:ser>
          <c:idx val="2"/>
          <c:order val="1"/>
          <c:tx>
            <c:strRef>
              <c:f>CB!$BZ$100</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CB!$BX$101:$BX$113</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CB!$BZ$101:$BZ$113</c:f>
              <c:numCache>
                <c:formatCode>0%</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1-A72C-4898-8F5D-10AA131A0266}"/>
            </c:ext>
          </c:extLst>
        </c:ser>
        <c:ser>
          <c:idx val="1"/>
          <c:order val="2"/>
          <c:tx>
            <c:strRef>
              <c:f>CB!$CA$100</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CB!$BX$101:$BX$113</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CB!$CA$101:$CA$113</c:f>
              <c:numCache>
                <c:formatCode>0.0%</c:formatCode>
                <c:ptCount val="13"/>
                <c:pt idx="0">
                  <c:v>1</c:v>
                </c:pt>
                <c:pt idx="1">
                  <c:v>1</c:v>
                </c:pt>
                <c:pt idx="2">
                  <c:v>1</c:v>
                </c:pt>
                <c:pt idx="3">
                  <c:v>1</c:v>
                </c:pt>
                <c:pt idx="4">
                  <c:v>1</c:v>
                </c:pt>
                <c:pt idx="5">
                  <c:v>1</c:v>
                </c:pt>
                <c:pt idx="6">
                  <c:v>0.97959183673469385</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2-A72C-4898-8F5D-10AA131A0266}"/>
            </c:ext>
          </c:extLst>
        </c:ser>
        <c:dLbls>
          <c:showLegendKey val="0"/>
          <c:showVal val="0"/>
          <c:showCatName val="0"/>
          <c:showSerName val="0"/>
          <c:showPercent val="0"/>
          <c:showBubbleSize val="0"/>
        </c:dLbls>
        <c:marker val="1"/>
        <c:smooth val="0"/>
        <c:axId val="591242376"/>
        <c:axId val="591241984"/>
      </c:lineChart>
      <c:valAx>
        <c:axId val="591241592"/>
        <c:scaling>
          <c:orientation val="minMax"/>
          <c:max val="70"/>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Pending Items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43944"/>
        <c:crosses val="max"/>
        <c:crossBetween val="between"/>
      </c:valAx>
      <c:catAx>
        <c:axId val="591243944"/>
        <c:scaling>
          <c:orientation val="minMax"/>
        </c:scaling>
        <c:delete val="1"/>
        <c:axPos val="b"/>
        <c:numFmt formatCode="General" sourceLinked="1"/>
        <c:majorTickMark val="out"/>
        <c:minorTickMark val="none"/>
        <c:tickLblPos val="nextTo"/>
        <c:crossAx val="591241592"/>
        <c:crosses val="autoZero"/>
        <c:auto val="1"/>
        <c:lblAlgn val="ctr"/>
        <c:lblOffset val="100"/>
        <c:noMultiLvlLbl val="0"/>
      </c:catAx>
      <c:valAx>
        <c:axId val="591241984"/>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Achieved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42376"/>
        <c:crosses val="autoZero"/>
        <c:crossBetween val="between"/>
      </c:valAx>
      <c:catAx>
        <c:axId val="591242376"/>
        <c:scaling>
          <c:orientation val="minMax"/>
        </c:scaling>
        <c:delete val="1"/>
        <c:axPos val="b"/>
        <c:numFmt formatCode="General" sourceLinked="1"/>
        <c:majorTickMark val="out"/>
        <c:minorTickMark val="none"/>
        <c:tickLblPos val="nextTo"/>
        <c:crossAx val="591241984"/>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Construction in Process Balance (CIP) Aged 90+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FA!$BY$25</c:f>
              <c:strCache>
                <c:ptCount val="1"/>
                <c:pt idx="0">
                  <c:v>Quantity</c:v>
                </c:pt>
              </c:strCache>
            </c:strRef>
          </c:tx>
          <c:spPr>
            <a:solidFill>
              <a:schemeClr val="bg1">
                <a:lumMod val="65000"/>
              </a:schemeClr>
            </a:solidFill>
            <a:ln>
              <a:noFill/>
            </a:ln>
            <a:effectLst/>
          </c:spPr>
          <c:invertIfNegative val="0"/>
          <c:cat>
            <c:strRef>
              <c:f>FA!$BX$26:$BX$38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FA!$BY$26:$BY$38</c:f>
              <c:numCache>
                <c:formatCode>0.0</c:formatCode>
                <c:ptCount val="13"/>
                <c:pt idx="0">
                  <c:v>97.474999999999994</c:v>
                </c:pt>
                <c:pt idx="1">
                  <c:v>100.023</c:v>
                </c:pt>
                <c:pt idx="2">
                  <c:v>94.174000000000007</c:v>
                </c:pt>
                <c:pt idx="3">
                  <c:v>88.14</c:v>
                </c:pt>
                <c:pt idx="4">
                  <c:v>93.203999999999994</c:v>
                </c:pt>
                <c:pt idx="5">
                  <c:v>87.102999999999994</c:v>
                </c:pt>
                <c:pt idx="6">
                  <c:v>82.088999999999999</c:v>
                </c:pt>
                <c:pt idx="7">
                  <c:v>71.635000000000005</c:v>
                </c:pt>
                <c:pt idx="8">
                  <c:v>98.872</c:v>
                </c:pt>
                <c:pt idx="9">
                  <c:v>80.849000000000004</c:v>
                </c:pt>
                <c:pt idx="10">
                  <c:v>84.533000000000001</c:v>
                </c:pt>
                <c:pt idx="11">
                  <c:v>100.268</c:v>
                </c:pt>
                <c:pt idx="12">
                  <c:v>109.11199999999999</c:v>
                </c:pt>
              </c:numCache>
            </c:numRef>
          </c:val>
          <c:extLst>
            <c:ext xmlns:c16="http://schemas.microsoft.com/office/drawing/2014/chart" uri="{C3380CC4-5D6E-409C-BE32-E72D297353CC}">
              <c16:uniqueId val="{00000000-03EA-48DC-B77B-49F6C47EC57A}"/>
            </c:ext>
          </c:extLst>
        </c:ser>
        <c:dLbls>
          <c:showLegendKey val="0"/>
          <c:showVal val="0"/>
          <c:showCatName val="0"/>
          <c:showSerName val="0"/>
          <c:showPercent val="0"/>
          <c:showBubbleSize val="0"/>
        </c:dLbls>
        <c:gapWidth val="75"/>
        <c:overlap val="100"/>
        <c:axId val="591232576"/>
        <c:axId val="591240024"/>
      </c:barChart>
      <c:lineChart>
        <c:grouping val="standard"/>
        <c:varyColors val="0"/>
        <c:ser>
          <c:idx val="2"/>
          <c:order val="1"/>
          <c:tx>
            <c:strRef>
              <c:f>FA!$BZ$25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FA!$BX$26:$BX$38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FA!$BZ$26:$BZ$38</c:f>
              <c:numCache>
                <c:formatCode>0%</c:formatCode>
                <c:ptCount val="13"/>
                <c:pt idx="0">
                  <c:v>0.02</c:v>
                </c:pt>
                <c:pt idx="1">
                  <c:v>0.02</c:v>
                </c:pt>
                <c:pt idx="2">
                  <c:v>0.02</c:v>
                </c:pt>
                <c:pt idx="3">
                  <c:v>0.02</c:v>
                </c:pt>
                <c:pt idx="4">
                  <c:v>0.02</c:v>
                </c:pt>
                <c:pt idx="5">
                  <c:v>0.02</c:v>
                </c:pt>
                <c:pt idx="6">
                  <c:v>0.02</c:v>
                </c:pt>
                <c:pt idx="7">
                  <c:v>0.02</c:v>
                </c:pt>
                <c:pt idx="8">
                  <c:v>0.02</c:v>
                </c:pt>
                <c:pt idx="9">
                  <c:v>0.02</c:v>
                </c:pt>
                <c:pt idx="10">
                  <c:v>0.02</c:v>
                </c:pt>
                <c:pt idx="11">
                  <c:v>0.02</c:v>
                </c:pt>
                <c:pt idx="12">
                  <c:v>0.02</c:v>
                </c:pt>
              </c:numCache>
            </c:numRef>
          </c:val>
          <c:smooth val="0"/>
          <c:extLst>
            <c:ext xmlns:c16="http://schemas.microsoft.com/office/drawing/2014/chart" uri="{C3380CC4-5D6E-409C-BE32-E72D297353CC}">
              <c16:uniqueId val="{00000001-03EA-48DC-B77B-49F6C47EC57A}"/>
            </c:ext>
          </c:extLst>
        </c:ser>
        <c:ser>
          <c:idx val="1"/>
          <c:order val="2"/>
          <c:tx>
            <c:strRef>
              <c:f>FA!$CA$25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FA!$BX$26:$BX$38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FA!$CA$26:$CA$38</c:f>
              <c:numCache>
                <c:formatCode>0.0%</c:formatCode>
                <c:ptCount val="13"/>
                <c:pt idx="0">
                  <c:v>5.6219543472685311E-2</c:v>
                </c:pt>
                <c:pt idx="1">
                  <c:v>6.7174549853533688E-2</c:v>
                </c:pt>
                <c:pt idx="2">
                  <c:v>8.4885424851869937E-2</c:v>
                </c:pt>
                <c:pt idx="3">
                  <c:v>5.4594962559564329E-2</c:v>
                </c:pt>
                <c:pt idx="4">
                  <c:v>7.464271919660101E-2</c:v>
                </c:pt>
                <c:pt idx="5">
                  <c:v>8.4256569808158169E-2</c:v>
                </c:pt>
                <c:pt idx="6">
                  <c:v>0.10636017005932585</c:v>
                </c:pt>
                <c:pt idx="7">
                  <c:v>7.8648705241851052E-2</c:v>
                </c:pt>
                <c:pt idx="8">
                  <c:v>7.9415810340642448E-2</c:v>
                </c:pt>
                <c:pt idx="9">
                  <c:v>8.4973221684869316E-2</c:v>
                </c:pt>
                <c:pt idx="10">
                  <c:v>5.6143754510072995E-2</c:v>
                </c:pt>
                <c:pt idx="11">
                  <c:v>5.7555750588423028E-2</c:v>
                </c:pt>
                <c:pt idx="12">
                  <c:v>4.7070899626072298E-2</c:v>
                </c:pt>
              </c:numCache>
            </c:numRef>
          </c:val>
          <c:smooth val="0"/>
          <c:extLst>
            <c:ext xmlns:c16="http://schemas.microsoft.com/office/drawing/2014/chart" uri="{C3380CC4-5D6E-409C-BE32-E72D297353CC}">
              <c16:uniqueId val="{00000002-03EA-48DC-B77B-49F6C47EC57A}"/>
            </c:ext>
          </c:extLst>
        </c:ser>
        <c:dLbls>
          <c:showLegendKey val="0"/>
          <c:showVal val="0"/>
          <c:showCatName val="0"/>
          <c:showSerName val="0"/>
          <c:showPercent val="0"/>
          <c:showBubbleSize val="0"/>
        </c:dLbls>
        <c:marker val="1"/>
        <c:smooth val="0"/>
        <c:axId val="591240416"/>
        <c:axId val="591232968"/>
      </c:lineChart>
      <c:valAx>
        <c:axId val="591240024"/>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CIP in $Ms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32576"/>
        <c:crosses val="max"/>
        <c:crossBetween val="between"/>
      </c:valAx>
      <c:catAx>
        <c:axId val="591232576"/>
        <c:scaling>
          <c:orientation val="minMax"/>
        </c:scaling>
        <c:delete val="1"/>
        <c:axPos val="b"/>
        <c:numFmt formatCode="General" sourceLinked="1"/>
        <c:majorTickMark val="out"/>
        <c:minorTickMark val="none"/>
        <c:tickLblPos val="nextTo"/>
        <c:crossAx val="591240024"/>
        <c:crosses val="autoZero"/>
        <c:auto val="1"/>
        <c:lblAlgn val="ctr"/>
        <c:lblOffset val="100"/>
        <c:noMultiLvlLbl val="0"/>
      </c:catAx>
      <c:valAx>
        <c:axId val="591232968"/>
        <c:scaling>
          <c:orientation val="minMax"/>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CIP Balance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40416"/>
        <c:crosses val="autoZero"/>
        <c:crossBetween val="between"/>
      </c:valAx>
      <c:catAx>
        <c:axId val="591240416"/>
        <c:scaling>
          <c:orientation val="minMax"/>
        </c:scaling>
        <c:delete val="1"/>
        <c:axPos val="b"/>
        <c:numFmt formatCode="General" sourceLinked="1"/>
        <c:majorTickMark val="out"/>
        <c:minorTickMark val="none"/>
        <c:tickLblPos val="nextTo"/>
        <c:crossAx val="59123296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Construction in Process Balance</a:t>
            </a:r>
            <a:r>
              <a:rPr lang="en-US" baseline="0"/>
              <a:t> (CIP) Aged 90+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591729479531158"/>
          <c:y val="0.16481394303455815"/>
          <c:w val="0.75832036454105745"/>
          <c:h val="0.64426743493500638"/>
        </c:manualLayout>
      </c:layout>
      <c:barChart>
        <c:barDir val="col"/>
        <c:grouping val="clustered"/>
        <c:varyColors val="0"/>
        <c:ser>
          <c:idx val="0"/>
          <c:order val="0"/>
          <c:tx>
            <c:strRef>
              <c:f>FA!$BY$44</c:f>
              <c:strCache>
                <c:ptCount val="1"/>
                <c:pt idx="0">
                  <c:v>Quantity</c:v>
                </c:pt>
              </c:strCache>
            </c:strRef>
          </c:tx>
          <c:spPr>
            <a:solidFill>
              <a:schemeClr val="bg1">
                <a:lumMod val="65000"/>
              </a:schemeClr>
            </a:solidFill>
            <a:ln>
              <a:noFill/>
            </a:ln>
            <a:effectLst/>
          </c:spPr>
          <c:invertIfNegative val="0"/>
          <c:cat>
            <c:strRef>
              <c:f>FA!$BX$45:$BX$57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FA!$BY$45:$BY$57</c:f>
              <c:numCache>
                <c:formatCode>0.0</c:formatCode>
                <c:ptCount val="13"/>
                <c:pt idx="0">
                  <c:v>0</c:v>
                </c:pt>
                <c:pt idx="1">
                  <c:v>0</c:v>
                </c:pt>
                <c:pt idx="2">
                  <c:v>0</c:v>
                </c:pt>
                <c:pt idx="3">
                  <c:v>88.14</c:v>
                </c:pt>
                <c:pt idx="4">
                  <c:v>93.203999999999994</c:v>
                </c:pt>
                <c:pt idx="5">
                  <c:v>87.1</c:v>
                </c:pt>
                <c:pt idx="6">
                  <c:v>82.088999999999999</c:v>
                </c:pt>
                <c:pt idx="7">
                  <c:v>71.635000000000005</c:v>
                </c:pt>
                <c:pt idx="8">
                  <c:v>98.872</c:v>
                </c:pt>
                <c:pt idx="9">
                  <c:v>80.849000000000004</c:v>
                </c:pt>
                <c:pt idx="10">
                  <c:v>84.533000000000001</c:v>
                </c:pt>
                <c:pt idx="11">
                  <c:v>100.268</c:v>
                </c:pt>
                <c:pt idx="12">
                  <c:v>109.122</c:v>
                </c:pt>
              </c:numCache>
            </c:numRef>
          </c:val>
          <c:extLst>
            <c:ext xmlns:c16="http://schemas.microsoft.com/office/drawing/2014/chart" uri="{C3380CC4-5D6E-409C-BE32-E72D297353CC}">
              <c16:uniqueId val="{00000000-3B57-44FE-9B0F-A19597849730}"/>
            </c:ext>
          </c:extLst>
        </c:ser>
        <c:dLbls>
          <c:showLegendKey val="0"/>
          <c:showVal val="0"/>
          <c:showCatName val="0"/>
          <c:showSerName val="0"/>
          <c:showPercent val="0"/>
          <c:showBubbleSize val="0"/>
        </c:dLbls>
        <c:gapWidth val="75"/>
        <c:overlap val="100"/>
        <c:axId val="591233360"/>
        <c:axId val="591240808"/>
      </c:barChart>
      <c:lineChart>
        <c:grouping val="standard"/>
        <c:varyColors val="0"/>
        <c:ser>
          <c:idx val="2"/>
          <c:order val="1"/>
          <c:tx>
            <c:strRef>
              <c:f>FA!$BZ$44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FA!$BX$45:$BX$57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FA!$BZ$45:$BZ$57</c:f>
              <c:numCache>
                <c:formatCode>0%</c:formatCode>
                <c:ptCount val="13"/>
                <c:pt idx="0">
                  <c:v>#N/A</c:v>
                </c:pt>
                <c:pt idx="1">
                  <c:v>#N/A</c:v>
                </c:pt>
                <c:pt idx="2">
                  <c:v>#N/A</c:v>
                </c:pt>
                <c:pt idx="3">
                  <c:v>0.02</c:v>
                </c:pt>
                <c:pt idx="4">
                  <c:v>0.02</c:v>
                </c:pt>
                <c:pt idx="5">
                  <c:v>0.02</c:v>
                </c:pt>
                <c:pt idx="6">
                  <c:v>0.02</c:v>
                </c:pt>
                <c:pt idx="7">
                  <c:v>0.02</c:v>
                </c:pt>
                <c:pt idx="8">
                  <c:v>0.02</c:v>
                </c:pt>
                <c:pt idx="9">
                  <c:v>0.02</c:v>
                </c:pt>
                <c:pt idx="10">
                  <c:v>0.02</c:v>
                </c:pt>
                <c:pt idx="11">
                  <c:v>0.02</c:v>
                </c:pt>
                <c:pt idx="12">
                  <c:v>0.02</c:v>
                </c:pt>
              </c:numCache>
            </c:numRef>
          </c:val>
          <c:smooth val="0"/>
          <c:extLst>
            <c:ext xmlns:c16="http://schemas.microsoft.com/office/drawing/2014/chart" uri="{C3380CC4-5D6E-409C-BE32-E72D297353CC}">
              <c16:uniqueId val="{00000001-3B57-44FE-9B0F-A19597849730}"/>
            </c:ext>
          </c:extLst>
        </c:ser>
        <c:ser>
          <c:idx val="1"/>
          <c:order val="2"/>
          <c:tx>
            <c:strRef>
              <c:f>FA!$CA$44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FA!$BX$45:$BX$57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FA!$CA$45:$CA$57</c:f>
              <c:numCache>
                <c:formatCode>0.0%</c:formatCode>
                <c:ptCount val="13"/>
                <c:pt idx="0">
                  <c:v>#N/A</c:v>
                </c:pt>
                <c:pt idx="1">
                  <c:v>#N/A</c:v>
                </c:pt>
                <c:pt idx="2">
                  <c:v>#N/A</c:v>
                </c:pt>
                <c:pt idx="3">
                  <c:v>1.887905604719764E-2</c:v>
                </c:pt>
                <c:pt idx="4">
                  <c:v>1.9687996223338056E-2</c:v>
                </c:pt>
                <c:pt idx="5">
                  <c:v>1.9850746268656717E-2</c:v>
                </c:pt>
                <c:pt idx="6">
                  <c:v>1.9503222112585122E-2</c:v>
                </c:pt>
                <c:pt idx="7">
                  <c:v>1.9585398199204299E-2</c:v>
                </c:pt>
                <c:pt idx="8">
                  <c:v>1.9408932761550288E-2</c:v>
                </c:pt>
                <c:pt idx="9">
                  <c:v>1.9493129166718203E-2</c:v>
                </c:pt>
                <c:pt idx="10">
                  <c:v>1.9495345013190113E-2</c:v>
                </c:pt>
                <c:pt idx="11">
                  <c:v>1.9417959867554953E-2</c:v>
                </c:pt>
                <c:pt idx="12">
                  <c:v>1.9565257235021349E-2</c:v>
                </c:pt>
              </c:numCache>
            </c:numRef>
          </c:val>
          <c:smooth val="0"/>
          <c:extLst>
            <c:ext xmlns:c16="http://schemas.microsoft.com/office/drawing/2014/chart" uri="{C3380CC4-5D6E-409C-BE32-E72D297353CC}">
              <c16:uniqueId val="{00000002-3B57-44FE-9B0F-A19597849730}"/>
            </c:ext>
          </c:extLst>
        </c:ser>
        <c:dLbls>
          <c:showLegendKey val="0"/>
          <c:showVal val="0"/>
          <c:showCatName val="0"/>
          <c:showSerName val="0"/>
          <c:showPercent val="0"/>
          <c:showBubbleSize val="0"/>
        </c:dLbls>
        <c:marker val="1"/>
        <c:smooth val="0"/>
        <c:axId val="591231008"/>
        <c:axId val="591231792"/>
      </c:lineChart>
      <c:valAx>
        <c:axId val="591240808"/>
        <c:scaling>
          <c:orientation val="minMax"/>
          <c:max val="14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CIP in $Ms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33360"/>
        <c:crosses val="max"/>
        <c:crossBetween val="between"/>
        <c:majorUnit val="20"/>
        <c:minorUnit val="4"/>
      </c:valAx>
      <c:catAx>
        <c:axId val="591233360"/>
        <c:scaling>
          <c:orientation val="minMax"/>
        </c:scaling>
        <c:delete val="1"/>
        <c:axPos val="b"/>
        <c:numFmt formatCode="General" sourceLinked="1"/>
        <c:majorTickMark val="out"/>
        <c:minorTickMark val="none"/>
        <c:tickLblPos val="nextTo"/>
        <c:crossAx val="591240808"/>
        <c:crosses val="autoZero"/>
        <c:auto val="1"/>
        <c:lblAlgn val="ctr"/>
        <c:lblOffset val="100"/>
        <c:noMultiLvlLbl val="0"/>
      </c:catAx>
      <c:valAx>
        <c:axId val="591231792"/>
        <c:scaling>
          <c:orientation val="minMax"/>
          <c:max val="4.0000000000000008E-2"/>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CIP Balance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31008"/>
        <c:crosses val="autoZero"/>
        <c:crossBetween val="between"/>
        <c:majorUnit val="2.0000000000000004E-2"/>
      </c:valAx>
      <c:catAx>
        <c:axId val="591231008"/>
        <c:scaling>
          <c:orientation val="minMax"/>
        </c:scaling>
        <c:delete val="1"/>
        <c:axPos val="b"/>
        <c:numFmt formatCode="General" sourceLinked="1"/>
        <c:majorTickMark val="out"/>
        <c:minorTickMark val="none"/>
        <c:tickLblPos val="nextTo"/>
        <c:crossAx val="59123179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Capital Expense Request (CER)</a:t>
            </a:r>
            <a:r>
              <a:rPr lang="en-US" baseline="0"/>
              <a:t> Closed Timely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FA!$BY$63</c:f>
              <c:strCache>
                <c:ptCount val="1"/>
                <c:pt idx="0">
                  <c:v>Quantity</c:v>
                </c:pt>
              </c:strCache>
            </c:strRef>
          </c:tx>
          <c:spPr>
            <a:solidFill>
              <a:schemeClr val="bg1">
                <a:lumMod val="65000"/>
              </a:schemeClr>
            </a:solidFill>
            <a:ln>
              <a:noFill/>
            </a:ln>
            <a:effectLst/>
          </c:spPr>
          <c:invertIfNegative val="0"/>
          <c:cat>
            <c:strRef>
              <c:f>FA!$BX$64:$BX$76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FA!$BY$64:$BY$76</c:f>
              <c:numCache>
                <c:formatCode>0.0</c:formatCode>
                <c:ptCount val="13"/>
                <c:pt idx="0">
                  <c:v>0.433</c:v>
                </c:pt>
                <c:pt idx="1">
                  <c:v>0.58699999999999997</c:v>
                </c:pt>
                <c:pt idx="2">
                  <c:v>0.52600000000000002</c:v>
                </c:pt>
                <c:pt idx="3">
                  <c:v>0.56299999999999994</c:v>
                </c:pt>
                <c:pt idx="4">
                  <c:v>0.50800000000000001</c:v>
                </c:pt>
                <c:pt idx="5">
                  <c:v>0.59399999999999997</c:v>
                </c:pt>
                <c:pt idx="6">
                  <c:v>0.45700000000000002</c:v>
                </c:pt>
                <c:pt idx="7">
                  <c:v>0.54200000000000004</c:v>
                </c:pt>
                <c:pt idx="8">
                  <c:v>0.58499999999999996</c:v>
                </c:pt>
                <c:pt idx="9">
                  <c:v>0.56599999999999995</c:v>
                </c:pt>
                <c:pt idx="10">
                  <c:v>0.65500000000000003</c:v>
                </c:pt>
                <c:pt idx="11">
                  <c:v>0.48899999999999999</c:v>
                </c:pt>
                <c:pt idx="12">
                  <c:v>0.64200000000000002</c:v>
                </c:pt>
              </c:numCache>
            </c:numRef>
          </c:val>
          <c:extLst>
            <c:ext xmlns:c16="http://schemas.microsoft.com/office/drawing/2014/chart" uri="{C3380CC4-5D6E-409C-BE32-E72D297353CC}">
              <c16:uniqueId val="{00000000-F85A-4850-93E0-ACBA05B960B1}"/>
            </c:ext>
          </c:extLst>
        </c:ser>
        <c:dLbls>
          <c:showLegendKey val="0"/>
          <c:showVal val="0"/>
          <c:showCatName val="0"/>
          <c:showSerName val="0"/>
          <c:showPercent val="0"/>
          <c:showBubbleSize val="0"/>
        </c:dLbls>
        <c:gapWidth val="75"/>
        <c:overlap val="100"/>
        <c:axId val="591231400"/>
        <c:axId val="591236104"/>
      </c:barChart>
      <c:lineChart>
        <c:grouping val="standard"/>
        <c:varyColors val="0"/>
        <c:ser>
          <c:idx val="2"/>
          <c:order val="1"/>
          <c:tx>
            <c:strRef>
              <c:f>FA!$BZ$63</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FA!$BX$64:$BX$76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FA!$BZ$64:$BZ$76</c:f>
              <c:numCache>
                <c:formatCode>0.0</c:formatCode>
                <c:ptCount val="13"/>
                <c:pt idx="0">
                  <c:v>3</c:v>
                </c:pt>
                <c:pt idx="1">
                  <c:v>3</c:v>
                </c:pt>
                <c:pt idx="2">
                  <c:v>3</c:v>
                </c:pt>
                <c:pt idx="3">
                  <c:v>3</c:v>
                </c:pt>
                <c:pt idx="4">
                  <c:v>3</c:v>
                </c:pt>
                <c:pt idx="5">
                  <c:v>3</c:v>
                </c:pt>
                <c:pt idx="6">
                  <c:v>3</c:v>
                </c:pt>
                <c:pt idx="7">
                  <c:v>3</c:v>
                </c:pt>
                <c:pt idx="8">
                  <c:v>3</c:v>
                </c:pt>
                <c:pt idx="9">
                  <c:v>3</c:v>
                </c:pt>
                <c:pt idx="10">
                  <c:v>3</c:v>
                </c:pt>
                <c:pt idx="11">
                  <c:v>3</c:v>
                </c:pt>
                <c:pt idx="12">
                  <c:v>3</c:v>
                </c:pt>
              </c:numCache>
            </c:numRef>
          </c:val>
          <c:smooth val="0"/>
          <c:extLst>
            <c:ext xmlns:c16="http://schemas.microsoft.com/office/drawing/2014/chart" uri="{C3380CC4-5D6E-409C-BE32-E72D297353CC}">
              <c16:uniqueId val="{00000001-F85A-4850-93E0-ACBA05B960B1}"/>
            </c:ext>
          </c:extLst>
        </c:ser>
        <c:ser>
          <c:idx val="1"/>
          <c:order val="2"/>
          <c:tx>
            <c:strRef>
              <c:f>FA!$CA$63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FA!$BX$64:$BX$76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FA!$CA$64:$CA$76</c:f>
              <c:numCache>
                <c:formatCode>0.00</c:formatCode>
                <c:ptCount val="13"/>
                <c:pt idx="0">
                  <c:v>1.35</c:v>
                </c:pt>
                <c:pt idx="1">
                  <c:v>1.1200000000000001</c:v>
                </c:pt>
                <c:pt idx="2">
                  <c:v>1.61</c:v>
                </c:pt>
                <c:pt idx="3">
                  <c:v>1.75</c:v>
                </c:pt>
                <c:pt idx="4">
                  <c:v>1.76</c:v>
                </c:pt>
                <c:pt idx="5">
                  <c:v>1.58</c:v>
                </c:pt>
                <c:pt idx="6">
                  <c:v>1.52</c:v>
                </c:pt>
                <c:pt idx="7">
                  <c:v>1.8</c:v>
                </c:pt>
                <c:pt idx="8">
                  <c:v>1.74</c:v>
                </c:pt>
                <c:pt idx="9">
                  <c:v>1.62</c:v>
                </c:pt>
                <c:pt idx="10">
                  <c:v>1.43</c:v>
                </c:pt>
                <c:pt idx="11">
                  <c:v>2.08</c:v>
                </c:pt>
                <c:pt idx="12">
                  <c:v>2.4300000000000002</c:v>
                </c:pt>
              </c:numCache>
            </c:numRef>
          </c:val>
          <c:smooth val="0"/>
          <c:extLst>
            <c:ext xmlns:c16="http://schemas.microsoft.com/office/drawing/2014/chart" uri="{C3380CC4-5D6E-409C-BE32-E72D297353CC}">
              <c16:uniqueId val="{00000002-F85A-4850-93E0-ACBA05B960B1}"/>
            </c:ext>
          </c:extLst>
        </c:ser>
        <c:dLbls>
          <c:showLegendKey val="0"/>
          <c:showVal val="0"/>
          <c:showCatName val="0"/>
          <c:showSerName val="0"/>
          <c:showPercent val="0"/>
          <c:showBubbleSize val="0"/>
        </c:dLbls>
        <c:marker val="1"/>
        <c:smooth val="0"/>
        <c:axId val="591238848"/>
        <c:axId val="591230224"/>
      </c:lineChart>
      <c:valAx>
        <c:axId val="591236104"/>
        <c:scaling>
          <c:orientation val="minMax"/>
          <c:max val="0.70000000000000007"/>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Closed CERs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_);\(#,##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31400"/>
        <c:crosses val="max"/>
        <c:crossBetween val="between"/>
      </c:valAx>
      <c:catAx>
        <c:axId val="591231400"/>
        <c:scaling>
          <c:orientation val="minMax"/>
        </c:scaling>
        <c:delete val="1"/>
        <c:axPos val="b"/>
        <c:numFmt formatCode="General" sourceLinked="1"/>
        <c:majorTickMark val="out"/>
        <c:minorTickMark val="none"/>
        <c:tickLblPos val="nextTo"/>
        <c:crossAx val="591236104"/>
        <c:crosses val="autoZero"/>
        <c:auto val="1"/>
        <c:lblAlgn val="ctr"/>
        <c:lblOffset val="100"/>
        <c:noMultiLvlLbl val="0"/>
      </c:catAx>
      <c:valAx>
        <c:axId val="591230224"/>
        <c:scaling>
          <c:orientation val="minMax"/>
          <c:max val="4"/>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38848"/>
        <c:crosses val="autoZero"/>
        <c:crossBetween val="between"/>
      </c:valAx>
      <c:catAx>
        <c:axId val="591238848"/>
        <c:scaling>
          <c:orientation val="minMax"/>
        </c:scaling>
        <c:delete val="1"/>
        <c:axPos val="b"/>
        <c:numFmt formatCode="General" sourceLinked="1"/>
        <c:majorTickMark val="out"/>
        <c:minorTickMark val="none"/>
        <c:tickLblPos val="nextTo"/>
        <c:crossAx val="591230224"/>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Transaction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FA!$BY$82</c:f>
              <c:strCache>
                <c:ptCount val="1"/>
                <c:pt idx="0">
                  <c:v>Quantity</c:v>
                </c:pt>
              </c:strCache>
            </c:strRef>
          </c:tx>
          <c:spPr>
            <a:solidFill>
              <a:schemeClr val="bg1">
                <a:lumMod val="65000"/>
              </a:schemeClr>
            </a:solidFill>
            <a:ln>
              <a:noFill/>
            </a:ln>
            <a:effectLst/>
          </c:spPr>
          <c:invertIfNegative val="0"/>
          <c:cat>
            <c:strRef>
              <c:f>FA!$BX$83:$BX$95</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FA!$BY$83:$BY$95</c:f>
              <c:numCache>
                <c:formatCode>0.0</c:formatCode>
                <c:ptCount val="13"/>
                <c:pt idx="0">
                  <c:v>4.8499999999999996</c:v>
                </c:pt>
                <c:pt idx="1">
                  <c:v>3.5009999999999999</c:v>
                </c:pt>
                <c:pt idx="2">
                  <c:v>3.165</c:v>
                </c:pt>
                <c:pt idx="3">
                  <c:v>3.5049999999999999</c:v>
                </c:pt>
                <c:pt idx="4">
                  <c:v>3.7650000000000001</c:v>
                </c:pt>
                <c:pt idx="5">
                  <c:v>3.49</c:v>
                </c:pt>
                <c:pt idx="6">
                  <c:v>4.4400000000000004</c:v>
                </c:pt>
                <c:pt idx="7">
                  <c:v>9.0860000000000003</c:v>
                </c:pt>
                <c:pt idx="8">
                  <c:v>12.882999999999999</c:v>
                </c:pt>
                <c:pt idx="9">
                  <c:v>3.8180000000000001</c:v>
                </c:pt>
                <c:pt idx="10">
                  <c:v>3.5230000000000001</c:v>
                </c:pt>
                <c:pt idx="11">
                  <c:v>5.5449999999999999</c:v>
                </c:pt>
                <c:pt idx="12">
                  <c:v>3.6840000000000002</c:v>
                </c:pt>
              </c:numCache>
            </c:numRef>
          </c:val>
          <c:extLst>
            <c:ext xmlns:c16="http://schemas.microsoft.com/office/drawing/2014/chart" uri="{C3380CC4-5D6E-409C-BE32-E72D297353CC}">
              <c16:uniqueId val="{00000000-32FE-4D29-889C-81151FF5D8E5}"/>
            </c:ext>
          </c:extLst>
        </c:ser>
        <c:dLbls>
          <c:showLegendKey val="0"/>
          <c:showVal val="0"/>
          <c:showCatName val="0"/>
          <c:showSerName val="0"/>
          <c:showPercent val="0"/>
          <c:showBubbleSize val="0"/>
        </c:dLbls>
        <c:gapWidth val="75"/>
        <c:overlap val="100"/>
        <c:axId val="591234536"/>
        <c:axId val="591234144"/>
      </c:barChart>
      <c:lineChart>
        <c:grouping val="standard"/>
        <c:varyColors val="0"/>
        <c:ser>
          <c:idx val="2"/>
          <c:order val="1"/>
          <c:tx>
            <c:strRef>
              <c:f>FA!$BZ$82</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FA!$BX$83:$BX$95</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FA!$BZ$83:$BZ$95</c:f>
              <c:numCache>
                <c:formatCode>0.0%</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Cache>
            </c:numRef>
          </c:val>
          <c:smooth val="0"/>
          <c:extLst>
            <c:ext xmlns:c16="http://schemas.microsoft.com/office/drawing/2014/chart" uri="{C3380CC4-5D6E-409C-BE32-E72D297353CC}">
              <c16:uniqueId val="{00000001-32FE-4D29-889C-81151FF5D8E5}"/>
            </c:ext>
          </c:extLst>
        </c:ser>
        <c:ser>
          <c:idx val="1"/>
          <c:order val="2"/>
          <c:tx>
            <c:strRef>
              <c:f>FA!$CA$82</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FA!$BX$83:$BX$95</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FA!$CA$83:$CA$95</c:f>
              <c:numCache>
                <c:formatCode>_("$"* #,##0.00_);_("$"* \(#,##0.00\);_("$"* "-"??_);_(@_)</c:formatCode>
                <c:ptCount val="13"/>
                <c:pt idx="0">
                  <c:v>19.955876288659795</c:v>
                </c:pt>
                <c:pt idx="1">
                  <c:v>27.917737789203084</c:v>
                </c:pt>
                <c:pt idx="2">
                  <c:v>33.614849921011057</c:v>
                </c:pt>
                <c:pt idx="3">
                  <c:v>27.037375178316694</c:v>
                </c:pt>
                <c:pt idx="4">
                  <c:v>27.298539176626825</c:v>
                </c:pt>
                <c:pt idx="5">
                  <c:v>36.58194842406877</c:v>
                </c:pt>
                <c:pt idx="6">
                  <c:v>23.182657657657654</c:v>
                </c:pt>
                <c:pt idx="7">
                  <c:v>11.677415804534448</c:v>
                </c:pt>
                <c:pt idx="8">
                  <c:v>9.9150042691919591</c:v>
                </c:pt>
                <c:pt idx="9">
                  <c:v>25.873493975903614</c:v>
                </c:pt>
                <c:pt idx="10">
                  <c:v>27.692023843315354</c:v>
                </c:pt>
                <c:pt idx="11">
                  <c:v>23.201082055906223</c:v>
                </c:pt>
                <c:pt idx="12">
                  <c:v>27.072475570032573</c:v>
                </c:pt>
              </c:numCache>
            </c:numRef>
          </c:val>
          <c:smooth val="0"/>
          <c:extLst>
            <c:ext xmlns:c16="http://schemas.microsoft.com/office/drawing/2014/chart" uri="{C3380CC4-5D6E-409C-BE32-E72D297353CC}">
              <c16:uniqueId val="{00000002-32FE-4D29-889C-81151FF5D8E5}"/>
            </c:ext>
          </c:extLst>
        </c:ser>
        <c:dLbls>
          <c:showLegendKey val="0"/>
          <c:showVal val="0"/>
          <c:showCatName val="0"/>
          <c:showSerName val="0"/>
          <c:showPercent val="0"/>
          <c:showBubbleSize val="0"/>
        </c:dLbls>
        <c:marker val="1"/>
        <c:smooth val="0"/>
        <c:axId val="591236888"/>
        <c:axId val="591236496"/>
      </c:lineChart>
      <c:valAx>
        <c:axId val="591234144"/>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a:t>
                </a:r>
                <a:r>
                  <a:rPr lang="en-US" baseline="0"/>
                  <a:t> of Transactions in 1000s</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34536"/>
        <c:crosses val="max"/>
        <c:crossBetween val="between"/>
      </c:valAx>
      <c:catAx>
        <c:axId val="591234536"/>
        <c:scaling>
          <c:orientation val="minMax"/>
        </c:scaling>
        <c:delete val="1"/>
        <c:axPos val="b"/>
        <c:numFmt formatCode="General" sourceLinked="1"/>
        <c:majorTickMark val="out"/>
        <c:minorTickMark val="none"/>
        <c:tickLblPos val="nextTo"/>
        <c:crossAx val="591234144"/>
        <c:crosses val="autoZero"/>
        <c:auto val="1"/>
        <c:lblAlgn val="ctr"/>
        <c:lblOffset val="100"/>
        <c:noMultiLvlLbl val="0"/>
      </c:catAx>
      <c:valAx>
        <c:axId val="591236496"/>
        <c:scaling>
          <c:orientation val="minMax"/>
          <c:max val="5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per</a:t>
                </a:r>
                <a:r>
                  <a:rPr lang="en-US" baseline="0"/>
                  <a:t> Transaction</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36888"/>
        <c:crosses val="autoZero"/>
        <c:crossBetween val="between"/>
        <c:majorUnit val="10"/>
      </c:valAx>
      <c:catAx>
        <c:axId val="591236888"/>
        <c:scaling>
          <c:orientation val="minMax"/>
        </c:scaling>
        <c:delete val="1"/>
        <c:axPos val="b"/>
        <c:numFmt formatCode="General" sourceLinked="1"/>
        <c:majorTickMark val="out"/>
        <c:minorTickMark val="none"/>
        <c:tickLblPos val="nextTo"/>
        <c:crossAx val="59123649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Reconciliations Prepared and Reviewed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Quantity</c:v>
          </c:tx>
          <c:spPr>
            <a:solidFill>
              <a:srgbClr val="A6A6A6"/>
            </a:solidFill>
            <a:ln>
              <a:noFill/>
            </a:ln>
            <a:effectLst/>
          </c:spPr>
          <c:invertIfNegative val="0"/>
          <c:cat>
            <c:strRef>
              <c:f>FA!$BX$101:$BX$113</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FA!$BY$101:$BY$113</c:f>
              <c:numCache>
                <c:formatCode>0.0</c:formatCode>
                <c:ptCount val="13"/>
                <c:pt idx="0">
                  <c:v>0.92200000000000004</c:v>
                </c:pt>
                <c:pt idx="1">
                  <c:v>0.91600000000000004</c:v>
                </c:pt>
                <c:pt idx="2">
                  <c:v>0.84699999999999998</c:v>
                </c:pt>
                <c:pt idx="3">
                  <c:v>0.879</c:v>
                </c:pt>
                <c:pt idx="4">
                  <c:v>0.79300000000000004</c:v>
                </c:pt>
                <c:pt idx="5">
                  <c:v>0.88200000000000001</c:v>
                </c:pt>
                <c:pt idx="6">
                  <c:v>0.81399999999999995</c:v>
                </c:pt>
                <c:pt idx="7">
                  <c:v>0.755</c:v>
                </c:pt>
                <c:pt idx="8">
                  <c:v>0.92900000000000005</c:v>
                </c:pt>
                <c:pt idx="9">
                  <c:v>0.78900000000000003</c:v>
                </c:pt>
                <c:pt idx="10">
                  <c:v>0.80400000000000005</c:v>
                </c:pt>
                <c:pt idx="11">
                  <c:v>0.89400000000000002</c:v>
                </c:pt>
                <c:pt idx="12">
                  <c:v>1.0189999999999999</c:v>
                </c:pt>
              </c:numCache>
            </c:numRef>
          </c:val>
          <c:extLst>
            <c:ext xmlns:c16="http://schemas.microsoft.com/office/drawing/2014/chart" uri="{C3380CC4-5D6E-409C-BE32-E72D297353CC}">
              <c16:uniqueId val="{00000000-F5E4-4B11-8758-8AFD07852E92}"/>
            </c:ext>
          </c:extLst>
        </c:ser>
        <c:dLbls>
          <c:showLegendKey val="0"/>
          <c:showVal val="0"/>
          <c:showCatName val="0"/>
          <c:showSerName val="0"/>
          <c:showPercent val="0"/>
          <c:showBubbleSize val="0"/>
        </c:dLbls>
        <c:gapWidth val="75"/>
        <c:overlap val="100"/>
        <c:axId val="591232576"/>
        <c:axId val="591240024"/>
      </c:barChart>
      <c:lineChart>
        <c:grouping val="standard"/>
        <c:varyColors val="0"/>
        <c:ser>
          <c:idx val="2"/>
          <c:order val="1"/>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Ref>
              <c:f>FA!$BX$101:$BX$113</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FA!$BZ$101:$BZ$113</c:f>
              <c:numCache>
                <c:formatCode>0%</c:formatCode>
                <c:ptCount val="13"/>
                <c:pt idx="0">
                  <c:v>0.98</c:v>
                </c:pt>
                <c:pt idx="1">
                  <c:v>0.98</c:v>
                </c:pt>
                <c:pt idx="2">
                  <c:v>0.98</c:v>
                </c:pt>
                <c:pt idx="3">
                  <c:v>0.98</c:v>
                </c:pt>
                <c:pt idx="4">
                  <c:v>0.98</c:v>
                </c:pt>
                <c:pt idx="5">
                  <c:v>0.98</c:v>
                </c:pt>
                <c:pt idx="6">
                  <c:v>0.98</c:v>
                </c:pt>
                <c:pt idx="7">
                  <c:v>0.98</c:v>
                </c:pt>
                <c:pt idx="8">
                  <c:v>0.98</c:v>
                </c:pt>
                <c:pt idx="9">
                  <c:v>0.98</c:v>
                </c:pt>
                <c:pt idx="10">
                  <c:v>0.98</c:v>
                </c:pt>
                <c:pt idx="11">
                  <c:v>0.98</c:v>
                </c:pt>
                <c:pt idx="12">
                  <c:v>0.98</c:v>
                </c:pt>
              </c:numCache>
            </c:numRef>
          </c:val>
          <c:smooth val="0"/>
          <c:extLst>
            <c:ext xmlns:c16="http://schemas.microsoft.com/office/drawing/2014/chart" uri="{C3380CC4-5D6E-409C-BE32-E72D297353CC}">
              <c16:uniqueId val="{00000001-F5E4-4B11-8758-8AFD07852E92}"/>
            </c:ext>
          </c:extLst>
        </c:ser>
        <c:ser>
          <c:idx val="1"/>
          <c:order val="2"/>
          <c:tx>
            <c:v>KPI</c:v>
          </c:tx>
          <c:spPr>
            <a:ln w="28575" cap="rnd">
              <a:solidFill>
                <a:srgbClr val="0070C0"/>
              </a:solidFill>
              <a:round/>
            </a:ln>
            <a:effectLst/>
          </c:spPr>
          <c:marker>
            <c:symbol val="circle"/>
            <c:size val="5"/>
            <c:spPr>
              <a:solidFill>
                <a:srgbClr val="0070C0"/>
              </a:solidFill>
              <a:ln w="9525">
                <a:solidFill>
                  <a:srgbClr val="0070C0"/>
                </a:solidFill>
              </a:ln>
              <a:effectLst/>
            </c:spPr>
          </c:marker>
          <c:cat>
            <c:strRef>
              <c:f>FA!$BX$101:$BX$113</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FA!$CA$101:$CA$113</c:f>
              <c:numCache>
                <c:formatCode>0.0%</c:formatCode>
                <c:ptCount val="13"/>
                <c:pt idx="0">
                  <c:v>0.98698481561822127</c:v>
                </c:pt>
                <c:pt idx="1">
                  <c:v>0.98253275109170302</c:v>
                </c:pt>
                <c:pt idx="2">
                  <c:v>0.98110979929161746</c:v>
                </c:pt>
                <c:pt idx="3">
                  <c:v>0.98065984072810009</c:v>
                </c:pt>
                <c:pt idx="4">
                  <c:v>0.98108448928121061</c:v>
                </c:pt>
                <c:pt idx="5">
                  <c:v>0.98752834467120176</c:v>
                </c:pt>
                <c:pt idx="6">
                  <c:v>0.98894348894348905</c:v>
                </c:pt>
                <c:pt idx="7">
                  <c:v>0.98543046357615893</c:v>
                </c:pt>
                <c:pt idx="8">
                  <c:v>0.9806243272335845</c:v>
                </c:pt>
                <c:pt idx="9">
                  <c:v>0.98225602027883396</c:v>
                </c:pt>
                <c:pt idx="10">
                  <c:v>0.99626865671641796</c:v>
                </c:pt>
                <c:pt idx="11">
                  <c:v>0.99776286353467558</c:v>
                </c:pt>
                <c:pt idx="12">
                  <c:v>0.98429833169774283</c:v>
                </c:pt>
              </c:numCache>
            </c:numRef>
          </c:val>
          <c:smooth val="0"/>
          <c:extLst>
            <c:ext xmlns:c16="http://schemas.microsoft.com/office/drawing/2014/chart" uri="{C3380CC4-5D6E-409C-BE32-E72D297353CC}">
              <c16:uniqueId val="{00000002-F5E4-4B11-8758-8AFD07852E92}"/>
            </c:ext>
          </c:extLst>
        </c:ser>
        <c:dLbls>
          <c:showLegendKey val="0"/>
          <c:showVal val="0"/>
          <c:showCatName val="0"/>
          <c:showSerName val="0"/>
          <c:showPercent val="0"/>
          <c:showBubbleSize val="0"/>
        </c:dLbls>
        <c:marker val="1"/>
        <c:smooth val="0"/>
        <c:axId val="591240416"/>
        <c:axId val="591232968"/>
      </c:lineChart>
      <c:valAx>
        <c:axId val="591240024"/>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Total # of Manual Reconciliations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32576"/>
        <c:crosses val="max"/>
        <c:crossBetween val="between"/>
      </c:valAx>
      <c:catAx>
        <c:axId val="591232576"/>
        <c:scaling>
          <c:orientation val="minMax"/>
        </c:scaling>
        <c:delete val="1"/>
        <c:axPos val="b"/>
        <c:numFmt formatCode="General" sourceLinked="1"/>
        <c:majorTickMark val="out"/>
        <c:minorTickMark val="none"/>
        <c:tickLblPos val="nextTo"/>
        <c:crossAx val="591240024"/>
        <c:crosses val="autoZero"/>
        <c:auto val="1"/>
        <c:lblAlgn val="ctr"/>
        <c:lblOffset val="100"/>
        <c:noMultiLvlLbl val="0"/>
      </c:catAx>
      <c:valAx>
        <c:axId val="591232968"/>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Prepared and Reviewed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40416"/>
        <c:crosses val="autoZero"/>
        <c:crossBetween val="between"/>
      </c:valAx>
      <c:catAx>
        <c:axId val="591240416"/>
        <c:scaling>
          <c:orientation val="minMax"/>
        </c:scaling>
        <c:delete val="1"/>
        <c:axPos val="b"/>
        <c:numFmt formatCode="General" sourceLinked="1"/>
        <c:majorTickMark val="out"/>
        <c:minorTickMark val="none"/>
        <c:tickLblPos val="nextTo"/>
        <c:crossAx val="59123296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Accurate Journal Entries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Quantity</c:v>
          </c:tx>
          <c:spPr>
            <a:solidFill>
              <a:schemeClr val="bg1">
                <a:lumMod val="65000"/>
              </a:schemeClr>
            </a:solidFill>
            <a:ln>
              <a:noFill/>
            </a:ln>
            <a:effectLst/>
          </c:spPr>
          <c:invertIfNegative val="0"/>
          <c:cat>
            <c:strRef>
              <c:f>GL!$BX$26:$BX$38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GL!$BY$26:$BY$38</c:f>
              <c:numCache>
                <c:formatCode>0.0</c:formatCode>
                <c:ptCount val="13"/>
                <c:pt idx="0">
                  <c:v>0.219</c:v>
                </c:pt>
                <c:pt idx="1">
                  <c:v>0.22</c:v>
                </c:pt>
                <c:pt idx="2">
                  <c:v>0.254</c:v>
                </c:pt>
                <c:pt idx="3">
                  <c:v>0.219</c:v>
                </c:pt>
                <c:pt idx="4">
                  <c:v>0.23599999999999999</c:v>
                </c:pt>
                <c:pt idx="5">
                  <c:v>0.26</c:v>
                </c:pt>
                <c:pt idx="6">
                  <c:v>0.20300000000000001</c:v>
                </c:pt>
                <c:pt idx="7">
                  <c:v>0.189</c:v>
                </c:pt>
                <c:pt idx="8">
                  <c:v>0.217</c:v>
                </c:pt>
                <c:pt idx="9">
                  <c:v>0.20200000000000001</c:v>
                </c:pt>
                <c:pt idx="10">
                  <c:v>0.193</c:v>
                </c:pt>
                <c:pt idx="11">
                  <c:v>0.249</c:v>
                </c:pt>
                <c:pt idx="12">
                  <c:v>0.217</c:v>
                </c:pt>
              </c:numCache>
            </c:numRef>
          </c:val>
          <c:extLst>
            <c:ext xmlns:c16="http://schemas.microsoft.com/office/drawing/2014/chart" uri="{C3380CC4-5D6E-409C-BE32-E72D297353CC}">
              <c16:uniqueId val="{00000000-EDC1-4058-92C2-912FCE9B4807}"/>
            </c:ext>
          </c:extLst>
        </c:ser>
        <c:dLbls>
          <c:showLegendKey val="0"/>
          <c:showVal val="0"/>
          <c:showCatName val="0"/>
          <c:showSerName val="0"/>
          <c:showPercent val="0"/>
          <c:showBubbleSize val="0"/>
        </c:dLbls>
        <c:gapWidth val="75"/>
        <c:overlap val="100"/>
        <c:axId val="703154984"/>
        <c:axId val="703149104"/>
      </c:barChart>
      <c:lineChart>
        <c:grouping val="standard"/>
        <c:varyColors val="0"/>
        <c:ser>
          <c:idx val="2"/>
          <c:order val="1"/>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Ref>
              <c:f>GL!$BX$26:$BX$38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GL!$BZ$26:$BZ$38</c:f>
              <c:numCache>
                <c:formatCode>0.0%</c:formatCode>
                <c:ptCount val="13"/>
                <c:pt idx="0">
                  <c:v>0.995</c:v>
                </c:pt>
                <c:pt idx="1">
                  <c:v>0.995</c:v>
                </c:pt>
                <c:pt idx="2">
                  <c:v>0.995</c:v>
                </c:pt>
                <c:pt idx="3">
                  <c:v>0.995</c:v>
                </c:pt>
                <c:pt idx="4">
                  <c:v>0.995</c:v>
                </c:pt>
                <c:pt idx="5">
                  <c:v>0.995</c:v>
                </c:pt>
                <c:pt idx="6">
                  <c:v>0.995</c:v>
                </c:pt>
                <c:pt idx="7">
                  <c:v>0.995</c:v>
                </c:pt>
                <c:pt idx="8">
                  <c:v>0.995</c:v>
                </c:pt>
                <c:pt idx="9">
                  <c:v>0.995</c:v>
                </c:pt>
                <c:pt idx="10">
                  <c:v>0.995</c:v>
                </c:pt>
                <c:pt idx="11">
                  <c:v>0.995</c:v>
                </c:pt>
                <c:pt idx="12">
                  <c:v>0.995</c:v>
                </c:pt>
              </c:numCache>
            </c:numRef>
          </c:val>
          <c:smooth val="0"/>
          <c:extLst>
            <c:ext xmlns:c16="http://schemas.microsoft.com/office/drawing/2014/chart" uri="{C3380CC4-5D6E-409C-BE32-E72D297353CC}">
              <c16:uniqueId val="{00000001-EDC1-4058-92C2-912FCE9B4807}"/>
            </c:ext>
          </c:extLst>
        </c:ser>
        <c:ser>
          <c:idx val="1"/>
          <c:order val="2"/>
          <c:tx>
            <c:v>KPI</c:v>
          </c:tx>
          <c:spPr>
            <a:ln w="28575" cap="rnd">
              <a:solidFill>
                <a:srgbClr val="0070C0"/>
              </a:solidFill>
              <a:round/>
            </a:ln>
            <a:effectLst/>
          </c:spPr>
          <c:marker>
            <c:symbol val="circle"/>
            <c:size val="5"/>
            <c:spPr>
              <a:solidFill>
                <a:srgbClr val="0070C0"/>
              </a:solidFill>
              <a:ln w="9525">
                <a:solidFill>
                  <a:srgbClr val="0070C0"/>
                </a:solidFill>
              </a:ln>
              <a:effectLst/>
            </c:spPr>
          </c:marker>
          <c:cat>
            <c:strRef>
              <c:f>GL!$BX$26:$BX$38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GL!$CA$26:$CA$38</c:f>
              <c:numCache>
                <c:formatCode>0.0%</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2-EDC1-4058-92C2-912FCE9B4807}"/>
            </c:ext>
          </c:extLst>
        </c:ser>
        <c:dLbls>
          <c:showLegendKey val="0"/>
          <c:showVal val="0"/>
          <c:showCatName val="0"/>
          <c:showSerName val="0"/>
          <c:showPercent val="0"/>
          <c:showBubbleSize val="0"/>
        </c:dLbls>
        <c:marker val="1"/>
        <c:smooth val="0"/>
        <c:axId val="703153416"/>
        <c:axId val="703151848"/>
      </c:lineChart>
      <c:valAx>
        <c:axId val="703149104"/>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Journal Entries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54984"/>
        <c:crosses val="max"/>
        <c:crossBetween val="between"/>
      </c:valAx>
      <c:catAx>
        <c:axId val="703154984"/>
        <c:scaling>
          <c:orientation val="minMax"/>
        </c:scaling>
        <c:delete val="1"/>
        <c:axPos val="b"/>
        <c:numFmt formatCode="General" sourceLinked="1"/>
        <c:majorTickMark val="out"/>
        <c:minorTickMark val="none"/>
        <c:tickLblPos val="nextTo"/>
        <c:crossAx val="703149104"/>
        <c:crosses val="autoZero"/>
        <c:auto val="1"/>
        <c:lblAlgn val="ctr"/>
        <c:lblOffset val="100"/>
        <c:noMultiLvlLbl val="0"/>
      </c:catAx>
      <c:valAx>
        <c:axId val="703151848"/>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Accurate Journal Entries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53416"/>
        <c:crosses val="autoZero"/>
        <c:crossBetween val="between"/>
      </c:valAx>
      <c:catAx>
        <c:axId val="703153416"/>
        <c:scaling>
          <c:orientation val="minMax"/>
        </c:scaling>
        <c:delete val="1"/>
        <c:axPos val="b"/>
        <c:numFmt formatCode="General" sourceLinked="1"/>
        <c:majorTickMark val="out"/>
        <c:minorTickMark val="none"/>
        <c:tickLblPos val="nextTo"/>
        <c:crossAx val="70315184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Manual Journal Entry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GL!$BY$45</c:f>
              <c:strCache>
                <c:ptCount val="1"/>
                <c:pt idx="0">
                  <c:v>Quantity</c:v>
                </c:pt>
              </c:strCache>
            </c:strRef>
          </c:tx>
          <c:spPr>
            <a:solidFill>
              <a:schemeClr val="bg1">
                <a:lumMod val="65000"/>
              </a:schemeClr>
            </a:solidFill>
            <a:ln>
              <a:noFill/>
            </a:ln>
            <a:effectLst/>
          </c:spPr>
          <c:invertIfNegative val="0"/>
          <c:cat>
            <c:strRef>
              <c:f>GL!$BX$46:$BX$58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GL!$BY$46:$BY$58</c:f>
              <c:numCache>
                <c:formatCode>0.0</c:formatCode>
                <c:ptCount val="13"/>
                <c:pt idx="0">
                  <c:v>0.219</c:v>
                </c:pt>
                <c:pt idx="1">
                  <c:v>0.22</c:v>
                </c:pt>
                <c:pt idx="2">
                  <c:v>0.254</c:v>
                </c:pt>
                <c:pt idx="3">
                  <c:v>0.219</c:v>
                </c:pt>
                <c:pt idx="4">
                  <c:v>0.23599999999999999</c:v>
                </c:pt>
                <c:pt idx="5">
                  <c:v>0.26</c:v>
                </c:pt>
                <c:pt idx="6">
                  <c:v>0.20300000000000001</c:v>
                </c:pt>
                <c:pt idx="7">
                  <c:v>0.189</c:v>
                </c:pt>
                <c:pt idx="8">
                  <c:v>0.217</c:v>
                </c:pt>
                <c:pt idx="9">
                  <c:v>0.20200000000000001</c:v>
                </c:pt>
                <c:pt idx="10">
                  <c:v>0.193</c:v>
                </c:pt>
                <c:pt idx="11">
                  <c:v>0.249</c:v>
                </c:pt>
                <c:pt idx="12">
                  <c:v>0.217</c:v>
                </c:pt>
              </c:numCache>
            </c:numRef>
          </c:val>
          <c:extLst>
            <c:ext xmlns:c16="http://schemas.microsoft.com/office/drawing/2014/chart" uri="{C3380CC4-5D6E-409C-BE32-E72D297353CC}">
              <c16:uniqueId val="{00000000-F6C8-4F68-8D53-73FAA7185AA8}"/>
            </c:ext>
          </c:extLst>
        </c:ser>
        <c:dLbls>
          <c:showLegendKey val="0"/>
          <c:showVal val="0"/>
          <c:showCatName val="0"/>
          <c:showSerName val="0"/>
          <c:showPercent val="0"/>
          <c:showBubbleSize val="0"/>
        </c:dLbls>
        <c:gapWidth val="75"/>
        <c:overlap val="100"/>
        <c:axId val="703149496"/>
        <c:axId val="703150672"/>
      </c:barChart>
      <c:lineChart>
        <c:grouping val="standard"/>
        <c:varyColors val="0"/>
        <c:ser>
          <c:idx val="2"/>
          <c:order val="1"/>
          <c:tx>
            <c:strRef>
              <c:f>GL!$BZ$45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GL!$BX$46:$BX$58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GL!$BZ$46:$BZ$58</c:f>
              <c:numCache>
                <c:formatCode>0.0</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Cache>
            </c:numRef>
          </c:val>
          <c:smooth val="0"/>
          <c:extLst>
            <c:ext xmlns:c16="http://schemas.microsoft.com/office/drawing/2014/chart" uri="{C3380CC4-5D6E-409C-BE32-E72D297353CC}">
              <c16:uniqueId val="{00000001-F6C8-4F68-8D53-73FAA7185AA8}"/>
            </c:ext>
          </c:extLst>
        </c:ser>
        <c:ser>
          <c:idx val="1"/>
          <c:order val="2"/>
          <c:tx>
            <c:strRef>
              <c:f>GL!$CA$45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GL!$BX$46:$BX$58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GL!$CA$46:$CA$58</c:f>
              <c:numCache>
                <c:formatCode>_("$"* #,##0.00_);_("$"* \(#,##0.00\);_("$"* "-"??_);_(@_)</c:formatCode>
                <c:ptCount val="13"/>
                <c:pt idx="0">
                  <c:v>54.035388127853885</c:v>
                </c:pt>
                <c:pt idx="1">
                  <c:v>59.092045454545449</c:v>
                </c:pt>
                <c:pt idx="2">
                  <c:v>40.280511811023622</c:v>
                </c:pt>
                <c:pt idx="3">
                  <c:v>53.342465753424662</c:v>
                </c:pt>
                <c:pt idx="4">
                  <c:v>46.972457627118644</c:v>
                </c:pt>
                <c:pt idx="5">
                  <c:v>52.628846153846155</c:v>
                </c:pt>
                <c:pt idx="6">
                  <c:v>47.844827586206897</c:v>
                </c:pt>
                <c:pt idx="7">
                  <c:v>41.50925925925926</c:v>
                </c:pt>
                <c:pt idx="8">
                  <c:v>50.670506912442399</c:v>
                </c:pt>
                <c:pt idx="9">
                  <c:v>55.96926980198019</c:v>
                </c:pt>
                <c:pt idx="10">
                  <c:v>50.046632124352335</c:v>
                </c:pt>
                <c:pt idx="11">
                  <c:v>50.172690763052209</c:v>
                </c:pt>
                <c:pt idx="12">
                  <c:v>45.34001152073732</c:v>
                </c:pt>
              </c:numCache>
            </c:numRef>
          </c:val>
          <c:smooth val="0"/>
          <c:extLst>
            <c:ext xmlns:c16="http://schemas.microsoft.com/office/drawing/2014/chart" uri="{C3380CC4-5D6E-409C-BE32-E72D297353CC}">
              <c16:uniqueId val="{00000002-F6C8-4F68-8D53-73FAA7185AA8}"/>
            </c:ext>
          </c:extLst>
        </c:ser>
        <c:dLbls>
          <c:showLegendKey val="0"/>
          <c:showVal val="0"/>
          <c:showCatName val="0"/>
          <c:showSerName val="0"/>
          <c:showPercent val="0"/>
          <c:showBubbleSize val="0"/>
        </c:dLbls>
        <c:marker val="1"/>
        <c:smooth val="0"/>
        <c:axId val="703153808"/>
        <c:axId val="703149888"/>
      </c:lineChart>
      <c:valAx>
        <c:axId val="703150672"/>
        <c:scaling>
          <c:orientation val="minMax"/>
          <c:max val="2.5"/>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Journal Entries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_);\(#,##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49496"/>
        <c:crosses val="max"/>
        <c:crossBetween val="between"/>
        <c:majorUnit val="0.5"/>
      </c:valAx>
      <c:catAx>
        <c:axId val="703149496"/>
        <c:scaling>
          <c:orientation val="minMax"/>
        </c:scaling>
        <c:delete val="1"/>
        <c:axPos val="b"/>
        <c:numFmt formatCode="General" sourceLinked="1"/>
        <c:majorTickMark val="out"/>
        <c:minorTickMark val="none"/>
        <c:tickLblPos val="nextTo"/>
        <c:crossAx val="703150672"/>
        <c:crosses val="autoZero"/>
        <c:auto val="1"/>
        <c:lblAlgn val="ctr"/>
        <c:lblOffset val="100"/>
        <c:noMultiLvlLbl val="0"/>
      </c:catAx>
      <c:valAx>
        <c:axId val="703149888"/>
        <c:scaling>
          <c:orientation val="minMax"/>
          <c:max val="7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per Journal Entry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53808"/>
        <c:crosses val="autoZero"/>
        <c:crossBetween val="between"/>
        <c:majorUnit val="10"/>
      </c:valAx>
      <c:catAx>
        <c:axId val="703153808"/>
        <c:scaling>
          <c:orientation val="minMax"/>
        </c:scaling>
        <c:delete val="1"/>
        <c:axPos val="b"/>
        <c:numFmt formatCode="General" sourceLinked="1"/>
        <c:majorTickMark val="out"/>
        <c:minorTickMark val="none"/>
        <c:tickLblPos val="nextTo"/>
        <c:crossAx val="70314988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Reconciliations Prepared and Reviewed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GL!$BY$64</c:f>
              <c:strCache>
                <c:ptCount val="1"/>
                <c:pt idx="0">
                  <c:v>Quantity</c:v>
                </c:pt>
              </c:strCache>
            </c:strRef>
          </c:tx>
          <c:spPr>
            <a:solidFill>
              <a:schemeClr val="bg1">
                <a:lumMod val="65000"/>
              </a:schemeClr>
            </a:solidFill>
            <a:ln>
              <a:noFill/>
            </a:ln>
            <a:effectLst/>
          </c:spPr>
          <c:invertIfNegative val="0"/>
          <c:cat>
            <c:strRef>
              <c:f>GL!$BX$65:$BX$77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GL!$BY$65:$BY$77</c:f>
              <c:numCache>
                <c:formatCode>0.0</c:formatCode>
                <c:ptCount val="13"/>
                <c:pt idx="0">
                  <c:v>0.69499999999999995</c:v>
                </c:pt>
                <c:pt idx="1">
                  <c:v>0.38500000000000001</c:v>
                </c:pt>
                <c:pt idx="2">
                  <c:v>0.70699999999999996</c:v>
                </c:pt>
                <c:pt idx="3">
                  <c:v>0.40300000000000002</c:v>
                </c:pt>
                <c:pt idx="4">
                  <c:v>0.41199999999999998</c:v>
                </c:pt>
                <c:pt idx="5">
                  <c:v>0.69</c:v>
                </c:pt>
                <c:pt idx="6">
                  <c:v>0.41</c:v>
                </c:pt>
                <c:pt idx="7">
                  <c:v>0.38200000000000001</c:v>
                </c:pt>
                <c:pt idx="8">
                  <c:v>0.747</c:v>
                </c:pt>
                <c:pt idx="9">
                  <c:v>0.26500000000000001</c:v>
                </c:pt>
                <c:pt idx="10">
                  <c:v>0.23100000000000001</c:v>
                </c:pt>
                <c:pt idx="11">
                  <c:v>0.64500000000000002</c:v>
                </c:pt>
                <c:pt idx="12">
                  <c:v>0.77700000000000002</c:v>
                </c:pt>
              </c:numCache>
            </c:numRef>
          </c:val>
          <c:extLst>
            <c:ext xmlns:c16="http://schemas.microsoft.com/office/drawing/2014/chart" uri="{C3380CC4-5D6E-409C-BE32-E72D297353CC}">
              <c16:uniqueId val="{00000000-DD7E-4A52-9456-C78B81F5A15F}"/>
            </c:ext>
          </c:extLst>
        </c:ser>
        <c:dLbls>
          <c:showLegendKey val="0"/>
          <c:showVal val="0"/>
          <c:showCatName val="0"/>
          <c:showSerName val="0"/>
          <c:showPercent val="0"/>
          <c:showBubbleSize val="0"/>
        </c:dLbls>
        <c:gapWidth val="75"/>
        <c:overlap val="100"/>
        <c:axId val="703151064"/>
        <c:axId val="703150280"/>
      </c:barChart>
      <c:lineChart>
        <c:grouping val="standard"/>
        <c:varyColors val="0"/>
        <c:ser>
          <c:idx val="2"/>
          <c:order val="1"/>
          <c:tx>
            <c:strRef>
              <c:f>GL!$BZ$64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GL!$BX$65:$BX$77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GL!$BZ$65:$BZ$77</c:f>
              <c:numCache>
                <c:formatCode>0.0%</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Cache>
            </c:numRef>
          </c:val>
          <c:smooth val="0"/>
          <c:extLst>
            <c:ext xmlns:c16="http://schemas.microsoft.com/office/drawing/2014/chart" uri="{C3380CC4-5D6E-409C-BE32-E72D297353CC}">
              <c16:uniqueId val="{00000001-DD7E-4A52-9456-C78B81F5A15F}"/>
            </c:ext>
          </c:extLst>
        </c:ser>
        <c:ser>
          <c:idx val="1"/>
          <c:order val="2"/>
          <c:tx>
            <c:strRef>
              <c:f>GL!$CA$64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GL!$BX$65:$BX$77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GL!$CA$65:$CA$77</c:f>
              <c:numCache>
                <c:formatCode>0.0%</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2-DD7E-4A52-9456-C78B81F5A15F}"/>
            </c:ext>
          </c:extLst>
        </c:ser>
        <c:dLbls>
          <c:showLegendKey val="0"/>
          <c:showVal val="0"/>
          <c:showCatName val="0"/>
          <c:showSerName val="0"/>
          <c:showPercent val="0"/>
          <c:showBubbleSize val="0"/>
        </c:dLbls>
        <c:marker val="1"/>
        <c:smooth val="0"/>
        <c:axId val="703148712"/>
        <c:axId val="703155768"/>
      </c:lineChart>
      <c:valAx>
        <c:axId val="70315028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Total # of Manual Reconciliations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51064"/>
        <c:crosses val="max"/>
        <c:crossBetween val="between"/>
      </c:valAx>
      <c:catAx>
        <c:axId val="703151064"/>
        <c:scaling>
          <c:orientation val="minMax"/>
        </c:scaling>
        <c:delete val="1"/>
        <c:axPos val="b"/>
        <c:numFmt formatCode="General" sourceLinked="1"/>
        <c:majorTickMark val="out"/>
        <c:minorTickMark val="none"/>
        <c:tickLblPos val="nextTo"/>
        <c:crossAx val="703150280"/>
        <c:crosses val="autoZero"/>
        <c:auto val="1"/>
        <c:lblAlgn val="ctr"/>
        <c:lblOffset val="100"/>
        <c:noMultiLvlLbl val="0"/>
      </c:catAx>
      <c:valAx>
        <c:axId val="703155768"/>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Prepared and Reviewed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48712"/>
        <c:crosses val="autoZero"/>
        <c:crossBetween val="between"/>
      </c:valAx>
      <c:catAx>
        <c:axId val="703148712"/>
        <c:scaling>
          <c:orientation val="minMax"/>
        </c:scaling>
        <c:delete val="1"/>
        <c:axPos val="b"/>
        <c:numFmt formatCode="General" sourceLinked="1"/>
        <c:majorTickMark val="out"/>
        <c:minorTickMark val="none"/>
        <c:tickLblPos val="nextTo"/>
        <c:crossAx val="70315576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 Invoice Entry - Incident Resolution (SLA 5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AP!$BY$44</c:f>
              <c:strCache>
                <c:ptCount val="1"/>
                <c:pt idx="0">
                  <c:v>Quantity</c:v>
                </c:pt>
              </c:strCache>
            </c:strRef>
          </c:tx>
          <c:spPr>
            <a:solidFill>
              <a:schemeClr val="bg1">
                <a:lumMod val="65000"/>
              </a:schemeClr>
            </a:solidFill>
            <a:ln>
              <a:noFill/>
            </a:ln>
            <a:effectLst/>
          </c:spPr>
          <c:invertIfNegative val="0"/>
          <c:cat>
            <c:strRef>
              <c:f>AP!$BX$45:$BX$57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AP!$BY$45:$BY$57</c:f>
              <c:numCache>
                <c:formatCode>0.0</c:formatCode>
                <c:ptCount val="13"/>
                <c:pt idx="0">
                  <c:v>4.1150000000000002</c:v>
                </c:pt>
                <c:pt idx="1">
                  <c:v>3.5259999999999998</c:v>
                </c:pt>
                <c:pt idx="2">
                  <c:v>4.0590000000000002</c:v>
                </c:pt>
                <c:pt idx="3">
                  <c:v>3.0190000000000001</c:v>
                </c:pt>
                <c:pt idx="4">
                  <c:v>3.0579999999999998</c:v>
                </c:pt>
                <c:pt idx="5">
                  <c:v>3.7919999999999998</c:v>
                </c:pt>
                <c:pt idx="6">
                  <c:v>3.738</c:v>
                </c:pt>
                <c:pt idx="7">
                  <c:v>4.1890000000000001</c:v>
                </c:pt>
                <c:pt idx="8">
                  <c:v>5.2859999999999996</c:v>
                </c:pt>
                <c:pt idx="9">
                  <c:v>4.6079999999999997</c:v>
                </c:pt>
                <c:pt idx="10">
                  <c:v>4.8630000000000004</c:v>
                </c:pt>
                <c:pt idx="11">
                  <c:v>5.5330000000000004</c:v>
                </c:pt>
                <c:pt idx="12">
                  <c:v>4.0519999999999996</c:v>
                </c:pt>
              </c:numCache>
            </c:numRef>
          </c:val>
          <c:extLst>
            <c:ext xmlns:c16="http://schemas.microsoft.com/office/drawing/2014/chart" uri="{C3380CC4-5D6E-409C-BE32-E72D297353CC}">
              <c16:uniqueId val="{00000000-787D-4066-AC01-6EA6AC58F1C0}"/>
            </c:ext>
          </c:extLst>
        </c:ser>
        <c:dLbls>
          <c:showLegendKey val="0"/>
          <c:showVal val="0"/>
          <c:showCatName val="0"/>
          <c:showSerName val="0"/>
          <c:showPercent val="0"/>
          <c:showBubbleSize val="0"/>
        </c:dLbls>
        <c:gapWidth val="75"/>
        <c:overlap val="100"/>
        <c:axId val="717733600"/>
        <c:axId val="717737520"/>
      </c:barChart>
      <c:lineChart>
        <c:grouping val="standard"/>
        <c:varyColors val="0"/>
        <c:ser>
          <c:idx val="2"/>
          <c:order val="1"/>
          <c:tx>
            <c:strRef>
              <c:f>AP!$BZ$44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AP!$BX$45:$BX$57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AP!$BZ$45:$BZ$57</c:f>
              <c:numCache>
                <c:formatCode>0%</c:formatCode>
                <c:ptCount val="13"/>
                <c:pt idx="0">
                  <c:v>0.9</c:v>
                </c:pt>
                <c:pt idx="1">
                  <c:v>0.9</c:v>
                </c:pt>
                <c:pt idx="2">
                  <c:v>0.9</c:v>
                </c:pt>
                <c:pt idx="3">
                  <c:v>0.9</c:v>
                </c:pt>
                <c:pt idx="4">
                  <c:v>0.9</c:v>
                </c:pt>
                <c:pt idx="5">
                  <c:v>0.9</c:v>
                </c:pt>
                <c:pt idx="6">
                  <c:v>0.9</c:v>
                </c:pt>
                <c:pt idx="7">
                  <c:v>0.9</c:v>
                </c:pt>
                <c:pt idx="8">
                  <c:v>0.9</c:v>
                </c:pt>
                <c:pt idx="9">
                  <c:v>0.9</c:v>
                </c:pt>
                <c:pt idx="10">
                  <c:v>0.9</c:v>
                </c:pt>
                <c:pt idx="11">
                  <c:v>0.9</c:v>
                </c:pt>
                <c:pt idx="12">
                  <c:v>0.9</c:v>
                </c:pt>
              </c:numCache>
            </c:numRef>
          </c:val>
          <c:smooth val="0"/>
          <c:extLst>
            <c:ext xmlns:c16="http://schemas.microsoft.com/office/drawing/2014/chart" uri="{C3380CC4-5D6E-409C-BE32-E72D297353CC}">
              <c16:uniqueId val="{00000001-787D-4066-AC01-6EA6AC58F1C0}"/>
            </c:ext>
          </c:extLst>
        </c:ser>
        <c:ser>
          <c:idx val="1"/>
          <c:order val="2"/>
          <c:tx>
            <c:strRef>
              <c:f>AP!$CA$44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AP!$CA$45:$CA$57</c:f>
              <c:numCache>
                <c:formatCode>0.0%</c:formatCode>
                <c:ptCount val="13"/>
                <c:pt idx="0">
                  <c:v>0.95018226002430128</c:v>
                </c:pt>
                <c:pt idx="1">
                  <c:v>0.9520703346568351</c:v>
                </c:pt>
                <c:pt idx="2">
                  <c:v>0.95442227149544223</c:v>
                </c:pt>
                <c:pt idx="3">
                  <c:v>0.9476647896654522</c:v>
                </c:pt>
                <c:pt idx="4">
                  <c:v>0.94637017658600397</c:v>
                </c:pt>
                <c:pt idx="5">
                  <c:v>0.97521097046413507</c:v>
                </c:pt>
                <c:pt idx="6">
                  <c:v>0.95880149812734083</c:v>
                </c:pt>
                <c:pt idx="7">
                  <c:v>0.93817140128909049</c:v>
                </c:pt>
                <c:pt idx="8">
                  <c:v>0.86265607264472188</c:v>
                </c:pt>
                <c:pt idx="9">
                  <c:v>0.9379340277777779</c:v>
                </c:pt>
                <c:pt idx="10">
                  <c:v>0.9535266296524777</c:v>
                </c:pt>
                <c:pt idx="11">
                  <c:v>0.97686607626965483</c:v>
                </c:pt>
                <c:pt idx="12">
                  <c:v>0.93040473840078985</c:v>
                </c:pt>
              </c:numCache>
            </c:numRef>
          </c:val>
          <c:smooth val="0"/>
          <c:extLst>
            <c:ext xmlns:c16="http://schemas.microsoft.com/office/drawing/2014/chart" uri="{C3380CC4-5D6E-409C-BE32-E72D297353CC}">
              <c16:uniqueId val="{00000002-787D-4066-AC01-6EA6AC58F1C0}"/>
            </c:ext>
          </c:extLst>
        </c:ser>
        <c:dLbls>
          <c:showLegendKey val="0"/>
          <c:showVal val="0"/>
          <c:showCatName val="0"/>
          <c:showSerName val="0"/>
          <c:showPercent val="0"/>
          <c:showBubbleSize val="0"/>
        </c:dLbls>
        <c:marker val="1"/>
        <c:smooth val="0"/>
        <c:axId val="717728896"/>
        <c:axId val="717735952"/>
      </c:lineChart>
      <c:valAx>
        <c:axId val="717737520"/>
        <c:scaling>
          <c:orientation val="minMax"/>
          <c:max val="6.5"/>
          <c:min val="2"/>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Service Now Incidents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33600"/>
        <c:crosses val="max"/>
        <c:crossBetween val="between"/>
        <c:majorUnit val="0.5"/>
      </c:valAx>
      <c:catAx>
        <c:axId val="717733600"/>
        <c:scaling>
          <c:orientation val="minMax"/>
        </c:scaling>
        <c:delete val="1"/>
        <c:axPos val="b"/>
        <c:numFmt formatCode="General" sourceLinked="1"/>
        <c:majorTickMark val="out"/>
        <c:minorTickMark val="none"/>
        <c:tickLblPos val="nextTo"/>
        <c:crossAx val="717737520"/>
        <c:crosses val="autoZero"/>
        <c:auto val="1"/>
        <c:lblAlgn val="ctr"/>
        <c:lblOffset val="100"/>
        <c:noMultiLvlLbl val="0"/>
      </c:catAx>
      <c:valAx>
        <c:axId val="717735952"/>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 (5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28896"/>
        <c:crosses val="autoZero"/>
        <c:crossBetween val="between"/>
      </c:valAx>
      <c:catAx>
        <c:axId val="717728896"/>
        <c:scaling>
          <c:orientation val="minMax"/>
        </c:scaling>
        <c:delete val="1"/>
        <c:axPos val="b"/>
        <c:numFmt formatCode="General" sourceLinked="1"/>
        <c:majorTickMark val="out"/>
        <c:minorTickMark val="none"/>
        <c:tickLblPos val="nextTo"/>
        <c:crossAx val="71773595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Invoice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4"/>
          <c:order val="0"/>
          <c:tx>
            <c:strRef>
              <c:f>AP!$CG$25</c:f>
              <c:strCache>
                <c:ptCount val="1"/>
                <c:pt idx="0">
                  <c:v>Manual</c:v>
                </c:pt>
              </c:strCache>
            </c:strRef>
          </c:tx>
          <c:spPr>
            <a:solidFill>
              <a:srgbClr val="A5A5A5"/>
            </a:solidFill>
            <a:ln>
              <a:noFill/>
            </a:ln>
            <a:effectLst/>
          </c:spPr>
          <c:invertIfNegative val="0"/>
          <c:cat>
            <c:strRef>
              <c:f>AP!$CD$26:$CD$38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AP!$CG$26:$CG$38</c:f>
              <c:numCache>
                <c:formatCode>0.0</c:formatCode>
                <c:ptCount val="13"/>
                <c:pt idx="0">
                  <c:v>8.125</c:v>
                </c:pt>
                <c:pt idx="1">
                  <c:v>4.4320000000000004</c:v>
                </c:pt>
                <c:pt idx="2">
                  <c:v>6.2759999999999998</c:v>
                </c:pt>
                <c:pt idx="3">
                  <c:v>5.3319999999999999</c:v>
                </c:pt>
                <c:pt idx="4">
                  <c:v>6.6879999999999997</c:v>
                </c:pt>
                <c:pt idx="5">
                  <c:v>6.9480000000000004</c:v>
                </c:pt>
                <c:pt idx="6">
                  <c:v>6.55</c:v>
                </c:pt>
                <c:pt idx="7">
                  <c:v>6.2290000000000001</c:v>
                </c:pt>
                <c:pt idx="8">
                  <c:v>4.2030000000000003</c:v>
                </c:pt>
                <c:pt idx="9">
                  <c:v>5.1779999999999999</c:v>
                </c:pt>
                <c:pt idx="10">
                  <c:v>5.6319999999999997</c:v>
                </c:pt>
                <c:pt idx="11">
                  <c:v>6.7619999999999996</c:v>
                </c:pt>
                <c:pt idx="12">
                  <c:v>4.0759999999999996</c:v>
                </c:pt>
              </c:numCache>
            </c:numRef>
          </c:val>
          <c:extLst>
            <c:ext xmlns:c16="http://schemas.microsoft.com/office/drawing/2014/chart" uri="{C3380CC4-5D6E-409C-BE32-E72D297353CC}">
              <c16:uniqueId val="{00000002-8E36-42B6-B57D-6FAA18CF6B68}"/>
            </c:ext>
          </c:extLst>
        </c:ser>
        <c:ser>
          <c:idx val="3"/>
          <c:order val="1"/>
          <c:tx>
            <c:strRef>
              <c:f>AP!$CF$25</c:f>
              <c:strCache>
                <c:ptCount val="1"/>
                <c:pt idx="0">
                  <c:v>M4A</c:v>
                </c:pt>
              </c:strCache>
            </c:strRef>
          </c:tx>
          <c:spPr>
            <a:solidFill>
              <a:srgbClr val="FFC000"/>
            </a:solidFill>
            <a:ln>
              <a:noFill/>
            </a:ln>
            <a:effectLst/>
          </c:spPr>
          <c:invertIfNegative val="0"/>
          <c:cat>
            <c:strRef>
              <c:f>AP!$CD$26:$CD$38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AP!$CF$26:$CF$38</c:f>
              <c:numCache>
                <c:formatCode>0.0</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0.871</c:v>
                </c:pt>
              </c:numCache>
            </c:numRef>
          </c:val>
          <c:extLst>
            <c:ext xmlns:c16="http://schemas.microsoft.com/office/drawing/2014/chart" uri="{C3380CC4-5D6E-409C-BE32-E72D297353CC}">
              <c16:uniqueId val="{00000001-8E36-42B6-B57D-6FAA18CF6B68}"/>
            </c:ext>
          </c:extLst>
        </c:ser>
        <c:ser>
          <c:idx val="0"/>
          <c:order val="2"/>
          <c:tx>
            <c:strRef>
              <c:f>AP!$CE$25</c:f>
              <c:strCache>
                <c:ptCount val="1"/>
                <c:pt idx="0">
                  <c:v>marketPRO</c:v>
                </c:pt>
              </c:strCache>
            </c:strRef>
          </c:tx>
          <c:spPr>
            <a:solidFill>
              <a:srgbClr val="70AD47"/>
            </a:solidFill>
            <a:ln>
              <a:noFill/>
            </a:ln>
            <a:effectLst/>
          </c:spPr>
          <c:invertIfNegative val="0"/>
          <c:cat>
            <c:strRef>
              <c:f>AP!$CD$26:$CD$38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AP!$CE$26:$CE$38</c:f>
              <c:numCache>
                <c:formatCode>0.0</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3.46</c:v>
                </c:pt>
              </c:numCache>
            </c:numRef>
          </c:val>
          <c:extLst>
            <c:ext xmlns:c16="http://schemas.microsoft.com/office/drawing/2014/chart" uri="{C3380CC4-5D6E-409C-BE32-E72D297353CC}">
              <c16:uniqueId val="{00000000-5EB6-42F4-83CF-968360D5710E}"/>
            </c:ext>
          </c:extLst>
        </c:ser>
        <c:dLbls>
          <c:showLegendKey val="0"/>
          <c:showVal val="0"/>
          <c:showCatName val="0"/>
          <c:showSerName val="0"/>
          <c:showPercent val="0"/>
          <c:showBubbleSize val="0"/>
        </c:dLbls>
        <c:gapWidth val="75"/>
        <c:overlap val="100"/>
        <c:axId val="744957192"/>
        <c:axId val="744962680"/>
      </c:barChart>
      <c:lineChart>
        <c:grouping val="standard"/>
        <c:varyColors val="0"/>
        <c:ser>
          <c:idx val="2"/>
          <c:order val="3"/>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Ref>
              <c:f>AP!$CD$26:$CD$38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AP!$CH$26:$CH$38</c:f>
              <c:numCache>
                <c:formatCode>"$"#,##0.00</c:formatCode>
                <c:ptCount val="13"/>
                <c:pt idx="0">
                  <c:v>6.08</c:v>
                </c:pt>
                <c:pt idx="1">
                  <c:v>6.08</c:v>
                </c:pt>
                <c:pt idx="2">
                  <c:v>6.08</c:v>
                </c:pt>
                <c:pt idx="3">
                  <c:v>6.08</c:v>
                </c:pt>
                <c:pt idx="4">
                  <c:v>6.08</c:v>
                </c:pt>
                <c:pt idx="5">
                  <c:v>6.08</c:v>
                </c:pt>
                <c:pt idx="6">
                  <c:v>6.08</c:v>
                </c:pt>
                <c:pt idx="7">
                  <c:v>6.08</c:v>
                </c:pt>
                <c:pt idx="8">
                  <c:v>6.08</c:v>
                </c:pt>
                <c:pt idx="9">
                  <c:v>6.08</c:v>
                </c:pt>
                <c:pt idx="10">
                  <c:v>6.08</c:v>
                </c:pt>
                <c:pt idx="11">
                  <c:v>6.08</c:v>
                </c:pt>
                <c:pt idx="12">
                  <c:v>6.08</c:v>
                </c:pt>
              </c:numCache>
            </c:numRef>
          </c:val>
          <c:smooth val="0"/>
          <c:extLst>
            <c:ext xmlns:c16="http://schemas.microsoft.com/office/drawing/2014/chart" uri="{C3380CC4-5D6E-409C-BE32-E72D297353CC}">
              <c16:uniqueId val="{00000001-5EB6-42F4-83CF-968360D5710E}"/>
            </c:ext>
          </c:extLst>
        </c:ser>
        <c:ser>
          <c:idx val="1"/>
          <c:order val="4"/>
          <c:tx>
            <c:strRef>
              <c:f>AP!$CI$25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AP!$CD$26:$CD$38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AP!$CI$26:$CI$38</c:f>
              <c:numCache>
                <c:formatCode>_("$"* #,##0.00_);_("$"* \(#,##0.00\);_("$"* "-"??_);_(@_)</c:formatCode>
                <c:ptCount val="13"/>
                <c:pt idx="0">
                  <c:v>5.9554528701538461</c:v>
                </c:pt>
                <c:pt idx="1">
                  <c:v>7.734798917842963</c:v>
                </c:pt>
                <c:pt idx="2">
                  <c:v>6.08</c:v>
                </c:pt>
                <c:pt idx="3">
                  <c:v>5.9882801701087773</c:v>
                </c:pt>
                <c:pt idx="4">
                  <c:v>5.846733958275478</c:v>
                </c:pt>
                <c:pt idx="5">
                  <c:v>6.0593474548400064</c:v>
                </c:pt>
                <c:pt idx="6">
                  <c:v>6.0390943692517176</c:v>
                </c:pt>
                <c:pt idx="7">
                  <c:v>6.0777861982562662</c:v>
                </c:pt>
                <c:pt idx="8">
                  <c:v>7.5972327478203328</c:v>
                </c:pt>
                <c:pt idx="9">
                  <c:v>6.0239474700656626</c:v>
                </c:pt>
                <c:pt idx="10">
                  <c:v>5.55078125</c:v>
                </c:pt>
                <c:pt idx="11">
                  <c:v>6.80449571132801</c:v>
                </c:pt>
                <c:pt idx="12">
                  <c:v>4.2629951231116925</c:v>
                </c:pt>
              </c:numCache>
            </c:numRef>
          </c:val>
          <c:smooth val="0"/>
          <c:extLst>
            <c:ext xmlns:c16="http://schemas.microsoft.com/office/drawing/2014/chart" uri="{C3380CC4-5D6E-409C-BE32-E72D297353CC}">
              <c16:uniqueId val="{00000002-5EB6-42F4-83CF-968360D5710E}"/>
            </c:ext>
          </c:extLst>
        </c:ser>
        <c:dLbls>
          <c:showLegendKey val="0"/>
          <c:showVal val="0"/>
          <c:showCatName val="0"/>
          <c:showSerName val="0"/>
          <c:showPercent val="0"/>
          <c:showBubbleSize val="0"/>
        </c:dLbls>
        <c:marker val="1"/>
        <c:smooth val="0"/>
        <c:axId val="744958368"/>
        <c:axId val="744965816"/>
      </c:lineChart>
      <c:valAx>
        <c:axId val="74496581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Invoices Processed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58368"/>
        <c:crosses val="max"/>
        <c:crossBetween val="between"/>
      </c:valAx>
      <c:catAx>
        <c:axId val="744958368"/>
        <c:scaling>
          <c:orientation val="minMax"/>
        </c:scaling>
        <c:delete val="1"/>
        <c:axPos val="b"/>
        <c:numFmt formatCode="General" sourceLinked="1"/>
        <c:majorTickMark val="out"/>
        <c:minorTickMark val="none"/>
        <c:tickLblPos val="nextTo"/>
        <c:crossAx val="744965816"/>
        <c:crosses val="autoZero"/>
        <c:auto val="1"/>
        <c:lblAlgn val="ctr"/>
        <c:lblOffset val="100"/>
        <c:noMultiLvlLbl val="0"/>
      </c:catAx>
      <c:valAx>
        <c:axId val="744962680"/>
        <c:scaling>
          <c:orientation val="minMax"/>
          <c:max val="9"/>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in $s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57192"/>
        <c:crosses val="autoZero"/>
        <c:crossBetween val="between"/>
      </c:valAx>
      <c:catAx>
        <c:axId val="744957192"/>
        <c:scaling>
          <c:orientation val="minMax"/>
        </c:scaling>
        <c:delete val="1"/>
        <c:axPos val="b"/>
        <c:numFmt formatCode="General" sourceLinked="1"/>
        <c:majorTickMark val="out"/>
        <c:minorTickMark val="none"/>
        <c:tickLblPos val="nextTo"/>
        <c:crossAx val="74496268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ln>
                  <a:noFill/>
                </a:ln>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Payment Processed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AP!$BY$63</c:f>
              <c:strCache>
                <c:ptCount val="1"/>
                <c:pt idx="0">
                  <c:v>Quantity</c:v>
                </c:pt>
              </c:strCache>
            </c:strRef>
          </c:tx>
          <c:spPr>
            <a:solidFill>
              <a:schemeClr val="bg1">
                <a:lumMod val="65000"/>
              </a:schemeClr>
            </a:solidFill>
            <a:ln>
              <a:noFill/>
            </a:ln>
            <a:effectLst/>
          </c:spPr>
          <c:invertIfNegative val="0"/>
          <c:cat>
            <c:strRef>
              <c:f>AP!$BX$64:$BX$76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AP!$BY$64:$BY$76</c:f>
              <c:numCache>
                <c:formatCode>0.0</c:formatCode>
                <c:ptCount val="13"/>
                <c:pt idx="0">
                  <c:v>33.676000000000002</c:v>
                </c:pt>
                <c:pt idx="1">
                  <c:v>33.979999999999997</c:v>
                </c:pt>
                <c:pt idx="2">
                  <c:v>40.805999999999997</c:v>
                </c:pt>
                <c:pt idx="3">
                  <c:v>29.036000000000001</c:v>
                </c:pt>
                <c:pt idx="4">
                  <c:v>31.518000000000001</c:v>
                </c:pt>
                <c:pt idx="5">
                  <c:v>41.112000000000002</c:v>
                </c:pt>
                <c:pt idx="6">
                  <c:v>32.881</c:v>
                </c:pt>
                <c:pt idx="7">
                  <c:v>34.823999999999998</c:v>
                </c:pt>
                <c:pt idx="8">
                  <c:v>34.135999999999996</c:v>
                </c:pt>
                <c:pt idx="9">
                  <c:v>27.873000000000001</c:v>
                </c:pt>
                <c:pt idx="10">
                  <c:v>28.23</c:v>
                </c:pt>
                <c:pt idx="11">
                  <c:v>36.996000000000002</c:v>
                </c:pt>
                <c:pt idx="12">
                  <c:v>32.167999999999999</c:v>
                </c:pt>
              </c:numCache>
            </c:numRef>
          </c:val>
          <c:extLst>
            <c:ext xmlns:c16="http://schemas.microsoft.com/office/drawing/2014/chart" uri="{C3380CC4-5D6E-409C-BE32-E72D297353CC}">
              <c16:uniqueId val="{00000000-AA61-4BB8-9539-CAB7F35D211D}"/>
            </c:ext>
          </c:extLst>
        </c:ser>
        <c:dLbls>
          <c:showLegendKey val="0"/>
          <c:showVal val="0"/>
          <c:showCatName val="0"/>
          <c:showSerName val="0"/>
          <c:showPercent val="0"/>
          <c:showBubbleSize val="0"/>
        </c:dLbls>
        <c:gapWidth val="75"/>
        <c:overlap val="100"/>
        <c:axId val="744960328"/>
        <c:axId val="744961112"/>
      </c:barChart>
      <c:lineChart>
        <c:grouping val="standard"/>
        <c:varyColors val="0"/>
        <c:ser>
          <c:idx val="2"/>
          <c:order val="1"/>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Ref>
              <c:f>AP!$BX$64:$BX$76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AP!$BZ$64:$BZ$76</c:f>
              <c:numCache>
                <c:formatCode>_("$"* #,##0.00_);_("$"* \(#,##0.00\);_("$"* "-"??_);_(@_)</c:formatCode>
                <c:ptCount val="13"/>
                <c:pt idx="0">
                  <c:v>2.91</c:v>
                </c:pt>
                <c:pt idx="1">
                  <c:v>2.91</c:v>
                </c:pt>
                <c:pt idx="2">
                  <c:v>2.91</c:v>
                </c:pt>
                <c:pt idx="3">
                  <c:v>2.91</c:v>
                </c:pt>
                <c:pt idx="4">
                  <c:v>2.91</c:v>
                </c:pt>
                <c:pt idx="5">
                  <c:v>2.91</c:v>
                </c:pt>
                <c:pt idx="6">
                  <c:v>2.91</c:v>
                </c:pt>
                <c:pt idx="7">
                  <c:v>2.91</c:v>
                </c:pt>
                <c:pt idx="8">
                  <c:v>2.91</c:v>
                </c:pt>
                <c:pt idx="9">
                  <c:v>2.91</c:v>
                </c:pt>
                <c:pt idx="10">
                  <c:v>2.91</c:v>
                </c:pt>
                <c:pt idx="11">
                  <c:v>2.91</c:v>
                </c:pt>
                <c:pt idx="12">
                  <c:v>2.91</c:v>
                </c:pt>
              </c:numCache>
            </c:numRef>
          </c:val>
          <c:smooth val="0"/>
          <c:extLst>
            <c:ext xmlns:c16="http://schemas.microsoft.com/office/drawing/2014/chart" uri="{C3380CC4-5D6E-409C-BE32-E72D297353CC}">
              <c16:uniqueId val="{00000001-AA61-4BB8-9539-CAB7F35D211D}"/>
            </c:ext>
          </c:extLst>
        </c:ser>
        <c:ser>
          <c:idx val="1"/>
          <c:order val="2"/>
          <c:tx>
            <c:strRef>
              <c:f>AP!$CA$63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AP!$BX$64:$BX$76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AP!$CA$64:$CA$76</c:f>
              <c:numCache>
                <c:formatCode>_("$"* #,##0.00_);_("$"* \(#,##0.00\);_("$"* "-"??_);_(@_)</c:formatCode>
                <c:ptCount val="13"/>
                <c:pt idx="0">
                  <c:v>2.64</c:v>
                </c:pt>
                <c:pt idx="1">
                  <c:v>2.5499999999999998</c:v>
                </c:pt>
                <c:pt idx="2">
                  <c:v>2.4661116349948538</c:v>
                </c:pt>
                <c:pt idx="3">
                  <c:v>3.1902923897919822</c:v>
                </c:pt>
                <c:pt idx="4">
                  <c:v>2.9241525390253189</c:v>
                </c:pt>
                <c:pt idx="5">
                  <c:v>2.6564505200111892</c:v>
                </c:pt>
                <c:pt idx="6">
                  <c:v>2.4572890071257931</c:v>
                </c:pt>
                <c:pt idx="7">
                  <c:v>2.3527714456337585</c:v>
                </c:pt>
                <c:pt idx="8">
                  <c:v>2.940964307042198</c:v>
                </c:pt>
                <c:pt idx="9">
                  <c:v>1.5305851540917732</c:v>
                </c:pt>
                <c:pt idx="10">
                  <c:v>1.7008855827134253</c:v>
                </c:pt>
                <c:pt idx="11">
                  <c:v>1.3043572278084117</c:v>
                </c:pt>
                <c:pt idx="12">
                  <c:v>0.57031832877393684</c:v>
                </c:pt>
              </c:numCache>
            </c:numRef>
          </c:val>
          <c:smooth val="0"/>
          <c:extLst>
            <c:ext xmlns:c16="http://schemas.microsoft.com/office/drawing/2014/chart" uri="{C3380CC4-5D6E-409C-BE32-E72D297353CC}">
              <c16:uniqueId val="{00000002-AA61-4BB8-9539-CAB7F35D211D}"/>
            </c:ext>
          </c:extLst>
        </c:ser>
        <c:dLbls>
          <c:showLegendKey val="0"/>
          <c:showVal val="0"/>
          <c:showCatName val="0"/>
          <c:showSerName val="0"/>
          <c:showPercent val="0"/>
          <c:showBubbleSize val="0"/>
        </c:dLbls>
        <c:marker val="1"/>
        <c:smooth val="0"/>
        <c:axId val="744961504"/>
        <c:axId val="744963072"/>
      </c:lineChart>
      <c:valAx>
        <c:axId val="744961112"/>
        <c:scaling>
          <c:orientation val="minMax"/>
          <c:max val="45"/>
          <c:min val="15"/>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Payments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60328"/>
        <c:crosses val="max"/>
        <c:crossBetween val="between"/>
        <c:majorUnit val="5"/>
      </c:valAx>
      <c:catAx>
        <c:axId val="744960328"/>
        <c:scaling>
          <c:orientation val="minMax"/>
        </c:scaling>
        <c:delete val="1"/>
        <c:axPos val="b"/>
        <c:numFmt formatCode="General" sourceLinked="1"/>
        <c:majorTickMark val="out"/>
        <c:minorTickMark val="none"/>
        <c:tickLblPos val="nextTo"/>
        <c:crossAx val="744961112"/>
        <c:crosses val="autoZero"/>
        <c:auto val="1"/>
        <c:lblAlgn val="ctr"/>
        <c:lblOffset val="100"/>
        <c:noMultiLvlLbl val="0"/>
      </c:catAx>
      <c:valAx>
        <c:axId val="744963072"/>
        <c:scaling>
          <c:orientation val="minMax"/>
          <c:max val="5"/>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in $s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61504"/>
        <c:crosses val="autoZero"/>
        <c:crossBetween val="between"/>
      </c:valAx>
      <c:catAx>
        <c:axId val="744961504"/>
        <c:scaling>
          <c:orientation val="minMax"/>
        </c:scaling>
        <c:delete val="1"/>
        <c:axPos val="b"/>
        <c:numFmt formatCode="General" sourceLinked="1"/>
        <c:majorTickMark val="out"/>
        <c:minorTickMark val="none"/>
        <c:tickLblPos val="nextTo"/>
        <c:crossAx val="74496307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 Banking - Incident Resolution (SLA 5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AP!$BY$82</c:f>
              <c:strCache>
                <c:ptCount val="1"/>
                <c:pt idx="0">
                  <c:v>Quantity</c:v>
                </c:pt>
              </c:strCache>
            </c:strRef>
          </c:tx>
          <c:spPr>
            <a:solidFill>
              <a:schemeClr val="bg1">
                <a:lumMod val="65000"/>
              </a:schemeClr>
            </a:solidFill>
            <a:ln>
              <a:noFill/>
            </a:ln>
            <a:effectLst/>
          </c:spPr>
          <c:invertIfNegative val="0"/>
          <c:cat>
            <c:strRef>
              <c:f>AP!$BX$83:$BX$95</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AP!$BY$83:$BY$95</c:f>
              <c:numCache>
                <c:formatCode>0.0</c:formatCode>
                <c:ptCount val="13"/>
                <c:pt idx="0">
                  <c:v>1.0489999999999999</c:v>
                </c:pt>
                <c:pt idx="1">
                  <c:v>0.83499999999999996</c:v>
                </c:pt>
                <c:pt idx="2">
                  <c:v>0.95</c:v>
                </c:pt>
                <c:pt idx="3">
                  <c:v>0.79500000000000004</c:v>
                </c:pt>
                <c:pt idx="4">
                  <c:v>0.93600000000000005</c:v>
                </c:pt>
                <c:pt idx="5">
                  <c:v>1.21</c:v>
                </c:pt>
                <c:pt idx="6">
                  <c:v>0.85199999999999998</c:v>
                </c:pt>
                <c:pt idx="7">
                  <c:v>0.80100000000000005</c:v>
                </c:pt>
                <c:pt idx="8">
                  <c:v>1.0529999999999999</c:v>
                </c:pt>
                <c:pt idx="9">
                  <c:v>0.83</c:v>
                </c:pt>
                <c:pt idx="10">
                  <c:v>0.92700000000000005</c:v>
                </c:pt>
                <c:pt idx="11">
                  <c:v>1.278</c:v>
                </c:pt>
                <c:pt idx="12">
                  <c:v>0.90300000000000002</c:v>
                </c:pt>
              </c:numCache>
            </c:numRef>
          </c:val>
          <c:extLst>
            <c:ext xmlns:c16="http://schemas.microsoft.com/office/drawing/2014/chart" uri="{C3380CC4-5D6E-409C-BE32-E72D297353CC}">
              <c16:uniqueId val="{00000000-8F35-4CD8-820C-89F64CC33D5A}"/>
            </c:ext>
          </c:extLst>
        </c:ser>
        <c:dLbls>
          <c:showLegendKey val="0"/>
          <c:showVal val="0"/>
          <c:showCatName val="0"/>
          <c:showSerName val="0"/>
          <c:showPercent val="0"/>
          <c:showBubbleSize val="0"/>
        </c:dLbls>
        <c:gapWidth val="75"/>
        <c:overlap val="100"/>
        <c:axId val="744964248"/>
        <c:axId val="744963856"/>
      </c:barChart>
      <c:lineChart>
        <c:grouping val="standard"/>
        <c:varyColors val="0"/>
        <c:ser>
          <c:idx val="2"/>
          <c:order val="1"/>
          <c:tx>
            <c:strRef>
              <c:f>AP!$BZ$82</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AP!$BX$83:$BX$95</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AP!$BZ$83:$BZ$95</c:f>
              <c:numCache>
                <c:formatCode>0%</c:formatCode>
                <c:ptCount val="13"/>
                <c:pt idx="0">
                  <c:v>0.9</c:v>
                </c:pt>
                <c:pt idx="1">
                  <c:v>0.9</c:v>
                </c:pt>
                <c:pt idx="2">
                  <c:v>0.9</c:v>
                </c:pt>
                <c:pt idx="3">
                  <c:v>0.9</c:v>
                </c:pt>
                <c:pt idx="4">
                  <c:v>0.9</c:v>
                </c:pt>
                <c:pt idx="5">
                  <c:v>0.9</c:v>
                </c:pt>
                <c:pt idx="6">
                  <c:v>0.9</c:v>
                </c:pt>
                <c:pt idx="7">
                  <c:v>0.9</c:v>
                </c:pt>
                <c:pt idx="8">
                  <c:v>0.9</c:v>
                </c:pt>
                <c:pt idx="9">
                  <c:v>0.9</c:v>
                </c:pt>
                <c:pt idx="10">
                  <c:v>0.9</c:v>
                </c:pt>
                <c:pt idx="11">
                  <c:v>0.9</c:v>
                </c:pt>
                <c:pt idx="12">
                  <c:v>0.9</c:v>
                </c:pt>
              </c:numCache>
            </c:numRef>
          </c:val>
          <c:smooth val="0"/>
          <c:extLst>
            <c:ext xmlns:c16="http://schemas.microsoft.com/office/drawing/2014/chart" uri="{C3380CC4-5D6E-409C-BE32-E72D297353CC}">
              <c16:uniqueId val="{00000001-8F35-4CD8-820C-89F64CC33D5A}"/>
            </c:ext>
          </c:extLst>
        </c:ser>
        <c:ser>
          <c:idx val="1"/>
          <c:order val="2"/>
          <c:tx>
            <c:strRef>
              <c:f>AP!$CA$82</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AP!$BX$83:$BX$95</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AP!$CA$83:$CA$95</c:f>
              <c:numCache>
                <c:formatCode>0.0%</c:formatCode>
                <c:ptCount val="13"/>
                <c:pt idx="0">
                  <c:v>0.95900857959961872</c:v>
                </c:pt>
                <c:pt idx="1">
                  <c:v>0.85988023952095805</c:v>
                </c:pt>
                <c:pt idx="2">
                  <c:v>0.78947368421052633</c:v>
                </c:pt>
                <c:pt idx="3">
                  <c:v>0.93836477987421374</c:v>
                </c:pt>
                <c:pt idx="4">
                  <c:v>0.90277777777777768</c:v>
                </c:pt>
                <c:pt idx="5">
                  <c:v>0.89586776859504136</c:v>
                </c:pt>
                <c:pt idx="6">
                  <c:v>0.84976525821596238</c:v>
                </c:pt>
                <c:pt idx="7">
                  <c:v>0.87141073657927581</c:v>
                </c:pt>
                <c:pt idx="8">
                  <c:v>0.81291547958214627</c:v>
                </c:pt>
                <c:pt idx="9">
                  <c:v>0.96987951807228923</c:v>
                </c:pt>
                <c:pt idx="10">
                  <c:v>0.95145631067961156</c:v>
                </c:pt>
                <c:pt idx="11">
                  <c:v>0.97965571205007818</c:v>
                </c:pt>
                <c:pt idx="12">
                  <c:v>0.87596899224806202</c:v>
                </c:pt>
              </c:numCache>
            </c:numRef>
          </c:val>
          <c:smooth val="0"/>
          <c:extLst>
            <c:ext xmlns:c16="http://schemas.microsoft.com/office/drawing/2014/chart" uri="{C3380CC4-5D6E-409C-BE32-E72D297353CC}">
              <c16:uniqueId val="{00000002-8F35-4CD8-820C-89F64CC33D5A}"/>
            </c:ext>
          </c:extLst>
        </c:ser>
        <c:dLbls>
          <c:showLegendKey val="0"/>
          <c:showVal val="0"/>
          <c:showCatName val="0"/>
          <c:showSerName val="0"/>
          <c:showPercent val="0"/>
          <c:showBubbleSize val="0"/>
        </c:dLbls>
        <c:marker val="1"/>
        <c:smooth val="0"/>
        <c:axId val="744965032"/>
        <c:axId val="744964640"/>
      </c:lineChart>
      <c:valAx>
        <c:axId val="744963856"/>
        <c:scaling>
          <c:orientation val="minMax"/>
          <c:max val="2"/>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Service Now Incidents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64248"/>
        <c:crosses val="max"/>
        <c:crossBetween val="between"/>
        <c:majorUnit val="0.5"/>
      </c:valAx>
      <c:catAx>
        <c:axId val="744964248"/>
        <c:scaling>
          <c:orientation val="minMax"/>
        </c:scaling>
        <c:delete val="1"/>
        <c:axPos val="b"/>
        <c:numFmt formatCode="General" sourceLinked="1"/>
        <c:majorTickMark val="out"/>
        <c:minorTickMark val="none"/>
        <c:tickLblPos val="nextTo"/>
        <c:crossAx val="744963856"/>
        <c:crosses val="autoZero"/>
        <c:auto val="1"/>
        <c:lblAlgn val="ctr"/>
        <c:lblOffset val="100"/>
        <c:noMultiLvlLbl val="0"/>
      </c:catAx>
      <c:valAx>
        <c:axId val="744964640"/>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 (5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65032"/>
        <c:crosses val="autoZero"/>
        <c:crossBetween val="between"/>
      </c:valAx>
      <c:catAx>
        <c:axId val="744965032"/>
        <c:scaling>
          <c:orientation val="minMax"/>
        </c:scaling>
        <c:delete val="1"/>
        <c:axPos val="b"/>
        <c:numFmt formatCode="General" sourceLinked="1"/>
        <c:majorTickMark val="out"/>
        <c:minorTickMark val="none"/>
        <c:tickLblPos val="nextTo"/>
        <c:crossAx val="74496464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 Vendor Control - Incident Resolution</a:t>
            </a:r>
            <a:r>
              <a:rPr lang="en-US" baseline="0"/>
              <a:t> (</a:t>
            </a:r>
            <a:r>
              <a:rPr lang="en-US"/>
              <a:t>SLA 5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AP!$BY$121</c:f>
              <c:strCache>
                <c:ptCount val="1"/>
                <c:pt idx="0">
                  <c:v>Quantity</c:v>
                </c:pt>
              </c:strCache>
            </c:strRef>
          </c:tx>
          <c:spPr>
            <a:solidFill>
              <a:schemeClr val="bg1">
                <a:lumMod val="65000"/>
              </a:schemeClr>
            </a:solidFill>
            <a:ln>
              <a:noFill/>
            </a:ln>
            <a:effectLst/>
          </c:spPr>
          <c:invertIfNegative val="0"/>
          <c:cat>
            <c:strRef>
              <c:f>AP!$BX$122:$BX$134</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AP!$BY$122:$BY$134</c:f>
              <c:numCache>
                <c:formatCode>0.0</c:formatCode>
                <c:ptCount val="13"/>
                <c:pt idx="0">
                  <c:v>0.873</c:v>
                </c:pt>
                <c:pt idx="1">
                  <c:v>0.55500000000000005</c:v>
                </c:pt>
                <c:pt idx="2">
                  <c:v>0.79500000000000004</c:v>
                </c:pt>
                <c:pt idx="3">
                  <c:v>0.61499999999999999</c:v>
                </c:pt>
                <c:pt idx="4">
                  <c:v>0.71099999999999997</c:v>
                </c:pt>
                <c:pt idx="5">
                  <c:v>0.88100000000000001</c:v>
                </c:pt>
                <c:pt idx="6">
                  <c:v>0.59899999999999998</c:v>
                </c:pt>
                <c:pt idx="7">
                  <c:v>0.63300000000000001</c:v>
                </c:pt>
                <c:pt idx="8">
                  <c:v>1.135</c:v>
                </c:pt>
                <c:pt idx="9">
                  <c:v>1.155</c:v>
                </c:pt>
                <c:pt idx="10">
                  <c:v>1.115</c:v>
                </c:pt>
                <c:pt idx="11">
                  <c:v>1.278</c:v>
                </c:pt>
                <c:pt idx="12">
                  <c:v>0.95199999999999996</c:v>
                </c:pt>
              </c:numCache>
            </c:numRef>
          </c:val>
          <c:extLst>
            <c:ext xmlns:c16="http://schemas.microsoft.com/office/drawing/2014/chart" uri="{C3380CC4-5D6E-409C-BE32-E72D297353CC}">
              <c16:uniqueId val="{00000000-FCEC-4854-B347-DF9F9CC9C4F2}"/>
            </c:ext>
          </c:extLst>
        </c:ser>
        <c:dLbls>
          <c:showLegendKey val="0"/>
          <c:showVal val="0"/>
          <c:showCatName val="0"/>
          <c:showSerName val="0"/>
          <c:showPercent val="0"/>
          <c:showBubbleSize val="0"/>
        </c:dLbls>
        <c:gapWidth val="75"/>
        <c:overlap val="100"/>
        <c:axId val="744971304"/>
        <c:axId val="744977968"/>
      </c:barChart>
      <c:lineChart>
        <c:grouping val="standard"/>
        <c:varyColors val="0"/>
        <c:ser>
          <c:idx val="2"/>
          <c:order val="1"/>
          <c:tx>
            <c:strRef>
              <c:f>AP!$BZ$121</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AP!$BX$122:$BX$134</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AP!$BZ$122:$BZ$134</c:f>
              <c:numCache>
                <c:formatCode>0%</c:formatCode>
                <c:ptCount val="13"/>
                <c:pt idx="0">
                  <c:v>0.9</c:v>
                </c:pt>
                <c:pt idx="1">
                  <c:v>0.9</c:v>
                </c:pt>
                <c:pt idx="2">
                  <c:v>0.9</c:v>
                </c:pt>
                <c:pt idx="3">
                  <c:v>0.9</c:v>
                </c:pt>
                <c:pt idx="4">
                  <c:v>0.9</c:v>
                </c:pt>
                <c:pt idx="5">
                  <c:v>0.9</c:v>
                </c:pt>
                <c:pt idx="6">
                  <c:v>0.9</c:v>
                </c:pt>
                <c:pt idx="7">
                  <c:v>0.9</c:v>
                </c:pt>
                <c:pt idx="8">
                  <c:v>0.9</c:v>
                </c:pt>
                <c:pt idx="9">
                  <c:v>0.9</c:v>
                </c:pt>
                <c:pt idx="10">
                  <c:v>0.9</c:v>
                </c:pt>
                <c:pt idx="11">
                  <c:v>0.9</c:v>
                </c:pt>
                <c:pt idx="12">
                  <c:v>0.9</c:v>
                </c:pt>
              </c:numCache>
            </c:numRef>
          </c:val>
          <c:smooth val="0"/>
          <c:extLst>
            <c:ext xmlns:c16="http://schemas.microsoft.com/office/drawing/2014/chart" uri="{C3380CC4-5D6E-409C-BE32-E72D297353CC}">
              <c16:uniqueId val="{00000001-FCEC-4854-B347-DF9F9CC9C4F2}"/>
            </c:ext>
          </c:extLst>
        </c:ser>
        <c:ser>
          <c:idx val="1"/>
          <c:order val="2"/>
          <c:tx>
            <c:strRef>
              <c:f>AP!$CA$121</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AP!$BX$122:$BX$134</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AP!$CA$122:$CA$134</c:f>
              <c:numCache>
                <c:formatCode>0.0%</c:formatCode>
                <c:ptCount val="13"/>
                <c:pt idx="0">
                  <c:v>0.75028636884306987</c:v>
                </c:pt>
                <c:pt idx="1">
                  <c:v>0.95855855855855854</c:v>
                </c:pt>
                <c:pt idx="2">
                  <c:v>0.95220125786163523</c:v>
                </c:pt>
                <c:pt idx="3">
                  <c:v>0.89593495934959355</c:v>
                </c:pt>
                <c:pt idx="4">
                  <c:v>0.86919831223628696</c:v>
                </c:pt>
                <c:pt idx="5">
                  <c:v>0.85244040862656068</c:v>
                </c:pt>
                <c:pt idx="6">
                  <c:v>0.93489148580968295</c:v>
                </c:pt>
                <c:pt idx="7">
                  <c:v>0.76777251184834117</c:v>
                </c:pt>
                <c:pt idx="8">
                  <c:v>0.78854625550660795</c:v>
                </c:pt>
                <c:pt idx="9">
                  <c:v>0.69610389610389611</c:v>
                </c:pt>
                <c:pt idx="10">
                  <c:v>0.92466367713004483</c:v>
                </c:pt>
                <c:pt idx="11">
                  <c:v>0.80516431924882625</c:v>
                </c:pt>
                <c:pt idx="12">
                  <c:v>0.84243697478991608</c:v>
                </c:pt>
              </c:numCache>
            </c:numRef>
          </c:val>
          <c:smooth val="0"/>
          <c:extLst>
            <c:ext xmlns:c16="http://schemas.microsoft.com/office/drawing/2014/chart" uri="{C3380CC4-5D6E-409C-BE32-E72D297353CC}">
              <c16:uniqueId val="{00000002-FCEC-4854-B347-DF9F9CC9C4F2}"/>
            </c:ext>
          </c:extLst>
        </c:ser>
        <c:dLbls>
          <c:showLegendKey val="0"/>
          <c:showVal val="0"/>
          <c:showCatName val="0"/>
          <c:showSerName val="0"/>
          <c:showPercent val="0"/>
          <c:showBubbleSize val="0"/>
        </c:dLbls>
        <c:marker val="1"/>
        <c:smooth val="0"/>
        <c:axId val="744980712"/>
        <c:axId val="744968952"/>
      </c:lineChart>
      <c:valAx>
        <c:axId val="744977968"/>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Service Now Incidents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71304"/>
        <c:crosses val="max"/>
        <c:crossBetween val="between"/>
      </c:valAx>
      <c:catAx>
        <c:axId val="744971304"/>
        <c:scaling>
          <c:orientation val="minMax"/>
        </c:scaling>
        <c:delete val="1"/>
        <c:axPos val="b"/>
        <c:numFmt formatCode="General" sourceLinked="1"/>
        <c:majorTickMark val="out"/>
        <c:minorTickMark val="none"/>
        <c:tickLblPos val="nextTo"/>
        <c:crossAx val="744977968"/>
        <c:crosses val="autoZero"/>
        <c:auto val="1"/>
        <c:lblAlgn val="ctr"/>
        <c:lblOffset val="100"/>
        <c:noMultiLvlLbl val="0"/>
      </c:catAx>
      <c:valAx>
        <c:axId val="744968952"/>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 (5 Days)</a:t>
                </a:r>
              </a:p>
            </c:rich>
          </c:tx>
          <c:layout>
            <c:manualLayout>
              <c:xMode val="edge"/>
              <c:yMode val="edge"/>
              <c:x val="2.3279035131305865E-2"/>
              <c:y val="0.13823462645176726"/>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80712"/>
        <c:crosses val="autoZero"/>
        <c:crossBetween val="between"/>
      </c:valAx>
      <c:catAx>
        <c:axId val="744980712"/>
        <c:scaling>
          <c:orientation val="minMax"/>
        </c:scaling>
        <c:delete val="1"/>
        <c:axPos val="b"/>
        <c:numFmt formatCode="General" sourceLinked="1"/>
        <c:majorTickMark val="out"/>
        <c:minorTickMark val="none"/>
        <c:tickLblPos val="nextTo"/>
        <c:crossAx val="74496895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Audit Recovery Volume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AP!$BY$159</c:f>
              <c:strCache>
                <c:ptCount val="1"/>
                <c:pt idx="0">
                  <c:v>Prevented</c:v>
                </c:pt>
              </c:strCache>
            </c:strRef>
          </c:tx>
          <c:spPr>
            <a:solidFill>
              <a:srgbClr val="A5A5A5"/>
            </a:solidFill>
            <a:ln>
              <a:noFill/>
            </a:ln>
            <a:effectLst/>
          </c:spPr>
          <c:invertIfNegative val="0"/>
          <c:cat>
            <c:strRef>
              <c:f>AP!$BX$160:$BX$172</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AP!$BY$160:$BY$172</c:f>
              <c:numCache>
                <c:formatCode>_("$"* #,##0.0_);_("$"* \(#,##0.0\);_("$"* "-"??_);_(@_)</c:formatCode>
                <c:ptCount val="13"/>
                <c:pt idx="0">
                  <c:v>356.35399999999998</c:v>
                </c:pt>
                <c:pt idx="1">
                  <c:v>150.197</c:v>
                </c:pt>
                <c:pt idx="2">
                  <c:v>178.876</c:v>
                </c:pt>
                <c:pt idx="3">
                  <c:v>69.352999999999994</c:v>
                </c:pt>
                <c:pt idx="4">
                  <c:v>108.959</c:v>
                </c:pt>
                <c:pt idx="5">
                  <c:v>111.65300000000001</c:v>
                </c:pt>
                <c:pt idx="6">
                  <c:v>390.80599999999998</c:v>
                </c:pt>
                <c:pt idx="7">
                  <c:v>108.253</c:v>
                </c:pt>
                <c:pt idx="8">
                  <c:v>90.64</c:v>
                </c:pt>
                <c:pt idx="9">
                  <c:v>135.00899999999999</c:v>
                </c:pt>
                <c:pt idx="10">
                  <c:v>139.89099999999999</c:v>
                </c:pt>
                <c:pt idx="11">
                  <c:v>177.584</c:v>
                </c:pt>
                <c:pt idx="12">
                  <c:v>174.452</c:v>
                </c:pt>
              </c:numCache>
            </c:numRef>
          </c:val>
          <c:extLst>
            <c:ext xmlns:c16="http://schemas.microsoft.com/office/drawing/2014/chart" uri="{C3380CC4-5D6E-409C-BE32-E72D297353CC}">
              <c16:uniqueId val="{00000000-A5B3-46A4-B23D-6D8B26A74703}"/>
            </c:ext>
          </c:extLst>
        </c:ser>
        <c:ser>
          <c:idx val="1"/>
          <c:order val="1"/>
          <c:tx>
            <c:strRef>
              <c:f>AP!$BZ$159</c:f>
              <c:strCache>
                <c:ptCount val="1"/>
                <c:pt idx="0">
                  <c:v>Recovered</c:v>
                </c:pt>
              </c:strCache>
            </c:strRef>
          </c:tx>
          <c:spPr>
            <a:solidFill>
              <a:srgbClr val="FFC000"/>
            </a:solidFill>
            <a:ln>
              <a:noFill/>
            </a:ln>
            <a:effectLst/>
          </c:spPr>
          <c:invertIfNegative val="0"/>
          <c:cat>
            <c:strRef>
              <c:f>AP!$BX$160:$BX$172</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AP!$BZ$160:$BZ$172</c:f>
              <c:numCache>
                <c:formatCode>_("$"* #,##0.0_);_("$"* \(#,##0.0\);_("$"* "-"??_);_(@_)</c:formatCode>
                <c:ptCount val="13"/>
                <c:pt idx="0">
                  <c:v>500.26799999999997</c:v>
                </c:pt>
                <c:pt idx="1">
                  <c:v>154.37200000000001</c:v>
                </c:pt>
                <c:pt idx="2">
                  <c:v>115.042</c:v>
                </c:pt>
                <c:pt idx="3">
                  <c:v>199.43899999999999</c:v>
                </c:pt>
                <c:pt idx="4">
                  <c:v>92.760999999999996</c:v>
                </c:pt>
                <c:pt idx="5">
                  <c:v>296.64100000000002</c:v>
                </c:pt>
                <c:pt idx="6">
                  <c:v>7.4470000000000001</c:v>
                </c:pt>
                <c:pt idx="7">
                  <c:v>108.253</c:v>
                </c:pt>
                <c:pt idx="8">
                  <c:v>456.60500000000002</c:v>
                </c:pt>
                <c:pt idx="9">
                  <c:v>721.38</c:v>
                </c:pt>
                <c:pt idx="10">
                  <c:v>163.661</c:v>
                </c:pt>
                <c:pt idx="11">
                  <c:v>58.994</c:v>
                </c:pt>
                <c:pt idx="12">
                  <c:v>319.06299999999999</c:v>
                </c:pt>
              </c:numCache>
            </c:numRef>
          </c:val>
          <c:extLst>
            <c:ext xmlns:c16="http://schemas.microsoft.com/office/drawing/2014/chart" uri="{C3380CC4-5D6E-409C-BE32-E72D297353CC}">
              <c16:uniqueId val="{00000002-A5B3-46A4-B23D-6D8B26A74703}"/>
            </c:ext>
          </c:extLst>
        </c:ser>
        <c:dLbls>
          <c:showLegendKey val="0"/>
          <c:showVal val="0"/>
          <c:showCatName val="0"/>
          <c:showSerName val="0"/>
          <c:showPercent val="0"/>
          <c:showBubbleSize val="0"/>
        </c:dLbls>
        <c:gapWidth val="75"/>
        <c:overlap val="100"/>
        <c:axId val="927905440"/>
        <c:axId val="800695264"/>
      </c:barChart>
      <c:lineChart>
        <c:grouping val="standard"/>
        <c:varyColors val="0"/>
        <c:ser>
          <c:idx val="4"/>
          <c:order val="2"/>
          <c:tx>
            <c:strRef>
              <c:f>AP!$CB$159</c:f>
              <c:strCache>
                <c:ptCount val="1"/>
                <c:pt idx="0">
                  <c:v>Total Count</c:v>
                </c:pt>
              </c:strCache>
            </c:strRef>
          </c:tx>
          <c:spPr>
            <a:ln w="28575" cap="rnd">
              <a:solidFill>
                <a:schemeClr val="accent5"/>
              </a:solidFill>
              <a:round/>
            </a:ln>
            <a:effectLst/>
          </c:spPr>
          <c:marker>
            <c:symbol val="square"/>
            <c:size val="5"/>
            <c:spPr>
              <a:solidFill>
                <a:schemeClr val="accent5"/>
              </a:solidFill>
              <a:ln w="9525">
                <a:solidFill>
                  <a:schemeClr val="accent5"/>
                </a:solidFill>
              </a:ln>
              <a:effectLst/>
            </c:spPr>
          </c:marker>
          <c:cat>
            <c:strRef>
              <c:f>AP!$BX$160:$BX$172</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AP!$CB$160:$CB$172</c:f>
              <c:numCache>
                <c:formatCode>0</c:formatCode>
                <c:ptCount val="13"/>
                <c:pt idx="0">
                  <c:v>1097</c:v>
                </c:pt>
                <c:pt idx="1">
                  <c:v>729</c:v>
                </c:pt>
                <c:pt idx="2">
                  <c:v>582</c:v>
                </c:pt>
                <c:pt idx="3">
                  <c:v>568</c:v>
                </c:pt>
                <c:pt idx="4">
                  <c:v>542</c:v>
                </c:pt>
                <c:pt idx="5">
                  <c:v>669</c:v>
                </c:pt>
                <c:pt idx="6">
                  <c:v>485</c:v>
                </c:pt>
                <c:pt idx="7">
                  <c:v>589</c:v>
                </c:pt>
                <c:pt idx="8">
                  <c:v>352</c:v>
                </c:pt>
                <c:pt idx="9">
                  <c:v>517</c:v>
                </c:pt>
                <c:pt idx="10">
                  <c:v>570</c:v>
                </c:pt>
                <c:pt idx="11">
                  <c:v>559</c:v>
                </c:pt>
                <c:pt idx="12">
                  <c:v>737</c:v>
                </c:pt>
              </c:numCache>
            </c:numRef>
          </c:val>
          <c:smooth val="0"/>
          <c:extLst>
            <c:ext xmlns:c16="http://schemas.microsoft.com/office/drawing/2014/chart" uri="{C3380CC4-5D6E-409C-BE32-E72D297353CC}">
              <c16:uniqueId val="{00000005-A5B3-46A4-B23D-6D8B26A74703}"/>
            </c:ext>
          </c:extLst>
        </c:ser>
        <c:dLbls>
          <c:showLegendKey val="0"/>
          <c:showVal val="0"/>
          <c:showCatName val="0"/>
          <c:showSerName val="0"/>
          <c:showPercent val="0"/>
          <c:showBubbleSize val="0"/>
        </c:dLbls>
        <c:marker val="1"/>
        <c:smooth val="0"/>
        <c:axId val="744973656"/>
        <c:axId val="744976400"/>
      </c:lineChart>
      <c:catAx>
        <c:axId val="744973656"/>
        <c:scaling>
          <c:orientation val="minMax"/>
        </c:scaling>
        <c:delete val="1"/>
        <c:axPos val="b"/>
        <c:numFmt formatCode="General" sourceLinked="1"/>
        <c:majorTickMark val="out"/>
        <c:minorTickMark val="none"/>
        <c:tickLblPos val="nextTo"/>
        <c:crossAx val="744976400"/>
        <c:crosses val="autoZero"/>
        <c:auto val="1"/>
        <c:lblAlgn val="ctr"/>
        <c:lblOffset val="100"/>
        <c:noMultiLvlLbl val="0"/>
      </c:catAx>
      <c:valAx>
        <c:axId val="744976400"/>
        <c:scaling>
          <c:orientation val="minMax"/>
          <c:max val="1300"/>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Count</a:t>
                </a:r>
                <a:r>
                  <a:rPr lang="en-US" b="1" baseline="0"/>
                  <a:t> of Duplicate Invoices</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73656"/>
        <c:crosses val="max"/>
        <c:crossBetween val="between"/>
        <c:majorUnit val="100"/>
      </c:valAx>
      <c:valAx>
        <c:axId val="8006952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Case</a:t>
                </a:r>
                <a:r>
                  <a:rPr lang="en-US" b="1" baseline="0"/>
                  <a:t> Amount by Scenario (k)</a:t>
                </a:r>
              </a:p>
            </c:rich>
          </c:tx>
          <c:layout>
            <c:manualLayout>
              <c:xMode val="edge"/>
              <c:yMode val="edge"/>
              <c:x val="2.0633982366543898E-2"/>
              <c:y val="0.1901901541776356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_);_(&quot;$&quot;* \(#,##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905440"/>
        <c:crosses val="autoZero"/>
        <c:crossBetween val="between"/>
      </c:valAx>
      <c:catAx>
        <c:axId val="927905440"/>
        <c:scaling>
          <c:orientation val="minMax"/>
        </c:scaling>
        <c:delete val="1"/>
        <c:axPos val="b"/>
        <c:numFmt formatCode="General" sourceLinked="1"/>
        <c:majorTickMark val="out"/>
        <c:minorTickMark val="none"/>
        <c:tickLblPos val="nextTo"/>
        <c:crossAx val="800695264"/>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Audit Recovery Rate</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3"/>
          <c:tx>
            <c:strRef>
              <c:f>AP!$BZ$140</c:f>
              <c:strCache>
                <c:ptCount val="1"/>
                <c:pt idx="0">
                  <c:v>Total Dollars $</c:v>
                </c:pt>
              </c:strCache>
            </c:strRef>
          </c:tx>
          <c:spPr>
            <a:solidFill>
              <a:srgbClr val="A6A6A6"/>
            </a:solidFill>
            <a:ln>
              <a:noFill/>
            </a:ln>
            <a:effectLst/>
          </c:spPr>
          <c:invertIfNegative val="0"/>
          <c:cat>
            <c:strRef>
              <c:f>AP!$BX$141:$BX$153</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AP!$BZ$141:$BZ$153</c:f>
              <c:numCache>
                <c:formatCode>"$"#,##0.0</c:formatCode>
                <c:ptCount val="13"/>
                <c:pt idx="0">
                  <c:v>2578.373</c:v>
                </c:pt>
                <c:pt idx="1">
                  <c:v>1618.0920000000001</c:v>
                </c:pt>
                <c:pt idx="2">
                  <c:v>1361.3389999999999</c:v>
                </c:pt>
                <c:pt idx="3">
                  <c:v>1451.519</c:v>
                </c:pt>
                <c:pt idx="4">
                  <c:v>1989.3119999999999</c:v>
                </c:pt>
                <c:pt idx="5">
                  <c:v>2711.0169999999998</c:v>
                </c:pt>
                <c:pt idx="6">
                  <c:v>1529.374</c:v>
                </c:pt>
                <c:pt idx="7">
                  <c:v>1191.2639999999999</c:v>
                </c:pt>
                <c:pt idx="8">
                  <c:v>1432.0139999999999</c:v>
                </c:pt>
                <c:pt idx="9">
                  <c:v>2713.4490000000001</c:v>
                </c:pt>
                <c:pt idx="10">
                  <c:v>1331.5519999999999</c:v>
                </c:pt>
                <c:pt idx="11">
                  <c:v>1413.374</c:v>
                </c:pt>
                <c:pt idx="12">
                  <c:v>1642.2239999999999</c:v>
                </c:pt>
              </c:numCache>
            </c:numRef>
          </c:val>
          <c:extLst>
            <c:ext xmlns:c16="http://schemas.microsoft.com/office/drawing/2014/chart" uri="{C3380CC4-5D6E-409C-BE32-E72D297353CC}">
              <c16:uniqueId val="{00000000-0BB6-4125-AD47-CBCB0FAFD094}"/>
            </c:ext>
          </c:extLst>
        </c:ser>
        <c:dLbls>
          <c:showLegendKey val="0"/>
          <c:showVal val="0"/>
          <c:showCatName val="0"/>
          <c:showSerName val="0"/>
          <c:showPercent val="0"/>
          <c:showBubbleSize val="0"/>
        </c:dLbls>
        <c:gapWidth val="75"/>
        <c:overlap val="100"/>
        <c:axId val="973358520"/>
        <c:axId val="973354912"/>
      </c:barChart>
      <c:lineChart>
        <c:grouping val="standard"/>
        <c:varyColors val="0"/>
        <c:ser>
          <c:idx val="2"/>
          <c:order val="1"/>
          <c:tx>
            <c:strRef>
              <c:f>AP!$CA$140</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AP!$BX$141:$BX$153</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AP!$CA$141:$CA$153</c:f>
              <c:numCache>
                <c:formatCode>0%</c:formatCode>
                <c:ptCount val="13"/>
                <c:pt idx="0">
                  <c:v>0.15</c:v>
                </c:pt>
                <c:pt idx="1">
                  <c:v>0.15</c:v>
                </c:pt>
                <c:pt idx="2">
                  <c:v>0.15</c:v>
                </c:pt>
                <c:pt idx="3">
                  <c:v>0.15</c:v>
                </c:pt>
                <c:pt idx="4">
                  <c:v>0.15</c:v>
                </c:pt>
                <c:pt idx="5">
                  <c:v>0.15</c:v>
                </c:pt>
                <c:pt idx="6">
                  <c:v>0.15</c:v>
                </c:pt>
                <c:pt idx="7">
                  <c:v>0.15</c:v>
                </c:pt>
                <c:pt idx="8">
                  <c:v>0.15</c:v>
                </c:pt>
                <c:pt idx="9">
                  <c:v>0.15</c:v>
                </c:pt>
                <c:pt idx="10">
                  <c:v>0.15</c:v>
                </c:pt>
                <c:pt idx="11">
                  <c:v>0.15</c:v>
                </c:pt>
                <c:pt idx="12">
                  <c:v>0.15</c:v>
                </c:pt>
              </c:numCache>
            </c:numRef>
          </c:val>
          <c:smooth val="0"/>
          <c:extLst>
            <c:ext xmlns:c16="http://schemas.microsoft.com/office/drawing/2014/chart" uri="{C3380CC4-5D6E-409C-BE32-E72D297353CC}">
              <c16:uniqueId val="{00000001-D923-4E22-A3C5-FD14D372DADB}"/>
            </c:ext>
          </c:extLst>
        </c:ser>
        <c:ser>
          <c:idx val="1"/>
          <c:order val="2"/>
          <c:tx>
            <c:strRef>
              <c:f>AP!$CB$140</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AP!$BX$141:$BX$153</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AP!$CB$141:$CB$153</c:f>
              <c:numCache>
                <c:formatCode>0.0%</c:formatCode>
                <c:ptCount val="13"/>
                <c:pt idx="0">
                  <c:v>0.19402468145609653</c:v>
                </c:pt>
                <c:pt idx="1">
                  <c:v>9.5403722408861802E-2</c:v>
                </c:pt>
                <c:pt idx="2">
                  <c:v>8.4506504257940165E-2</c:v>
                </c:pt>
                <c:pt idx="3">
                  <c:v>0.13740019937734194</c:v>
                </c:pt>
                <c:pt idx="4">
                  <c:v>4.6629689058327706E-2</c:v>
                </c:pt>
                <c:pt idx="5">
                  <c:v>0.10942056062355937</c:v>
                </c:pt>
                <c:pt idx="6">
                  <c:v>4.8693125422558511E-3</c:v>
                </c:pt>
                <c:pt idx="7">
                  <c:v>9.0872384290971608E-2</c:v>
                </c:pt>
                <c:pt idx="8">
                  <c:v>0.31885512292477591</c:v>
                </c:pt>
                <c:pt idx="9">
                  <c:v>0.26585353179661753</c:v>
                </c:pt>
                <c:pt idx="10">
                  <c:v>0.12290995770349188</c:v>
                </c:pt>
                <c:pt idx="11">
                  <c:v>4.1739836731112923E-2</c:v>
                </c:pt>
                <c:pt idx="12">
                  <c:v>0.19428713744288234</c:v>
                </c:pt>
              </c:numCache>
            </c:numRef>
          </c:val>
          <c:smooth val="0"/>
          <c:extLst>
            <c:ext xmlns:c16="http://schemas.microsoft.com/office/drawing/2014/chart" uri="{C3380CC4-5D6E-409C-BE32-E72D297353CC}">
              <c16:uniqueId val="{00000002-0BB6-4125-AD47-CBCB0FAFD094}"/>
            </c:ext>
          </c:extLst>
        </c:ser>
        <c:dLbls>
          <c:showLegendKey val="0"/>
          <c:showVal val="0"/>
          <c:showCatName val="0"/>
          <c:showSerName val="0"/>
          <c:showPercent val="0"/>
          <c:showBubbleSize val="0"/>
        </c:dLbls>
        <c:marker val="1"/>
        <c:smooth val="0"/>
        <c:axId val="744971304"/>
        <c:axId val="744977968"/>
        <c:extLst>
          <c:ext xmlns:c15="http://schemas.microsoft.com/office/drawing/2012/chart" uri="{02D57815-91ED-43cb-92C2-25804820EDAC}">
            <c15:filteredLineSeries>
              <c15:ser>
                <c:idx val="3"/>
                <c:order val="0"/>
                <c:tx>
                  <c:strRef>
                    <c:extLst>
                      <c:ext uri="{02D57815-91ED-43cb-92C2-25804820EDAC}">
                        <c15:formulaRef>
                          <c15:sqref>AP!$BY$140</c15:sqref>
                        </c15:formulaRef>
                      </c:ext>
                    </c:extLst>
                    <c:strCache>
                      <c:ptCount val="1"/>
                      <c:pt idx="0">
                        <c:v>Recovered $</c:v>
                      </c:pt>
                    </c:strCache>
                  </c:strRef>
                </c:tx>
                <c:spPr>
                  <a:ln w="28575" cap="rnd">
                    <a:noFill/>
                    <a:round/>
                  </a:ln>
                  <a:effectLst/>
                </c:spPr>
                <c:marker>
                  <c:symbol val="circle"/>
                  <c:size val="5"/>
                  <c:spPr>
                    <a:noFill/>
                    <a:ln w="9525">
                      <a:noFill/>
                    </a:ln>
                    <a:effectLst/>
                  </c:spPr>
                </c:marker>
                <c:cat>
                  <c:strRef>
                    <c:extLst>
                      <c:ext uri="{02D57815-91ED-43cb-92C2-25804820EDAC}">
                        <c15:formulaRef>
                          <c15:sqref>AP!$BX$141:$BX$153</c15:sqref>
                        </c15:formulaRef>
                      </c:ext>
                    </c:extLst>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extLst>
                      <c:ext uri="{02D57815-91ED-43cb-92C2-25804820EDAC}">
                        <c15:formulaRef>
                          <c15:sqref>AP!$BY$141:$BY$153</c15:sqref>
                        </c15:formulaRef>
                      </c:ext>
                    </c:extLst>
                    <c:numCache>
                      <c:formatCode>"$"#,##0.0</c:formatCode>
                      <c:ptCount val="13"/>
                      <c:pt idx="0">
                        <c:v>500.26799999999997</c:v>
                      </c:pt>
                      <c:pt idx="1">
                        <c:v>154.37200000000001</c:v>
                      </c:pt>
                      <c:pt idx="2">
                        <c:v>115.042</c:v>
                      </c:pt>
                      <c:pt idx="3">
                        <c:v>199.43899999999999</c:v>
                      </c:pt>
                      <c:pt idx="4">
                        <c:v>92.760999999999996</c:v>
                      </c:pt>
                      <c:pt idx="5">
                        <c:v>296.64100000000002</c:v>
                      </c:pt>
                      <c:pt idx="6">
                        <c:v>7.4470000000000001</c:v>
                      </c:pt>
                      <c:pt idx="7">
                        <c:v>108.253</c:v>
                      </c:pt>
                      <c:pt idx="8">
                        <c:v>456.60500000000002</c:v>
                      </c:pt>
                      <c:pt idx="9">
                        <c:v>721.38</c:v>
                      </c:pt>
                      <c:pt idx="10">
                        <c:v>163.661</c:v>
                      </c:pt>
                      <c:pt idx="11">
                        <c:v>58.994</c:v>
                      </c:pt>
                      <c:pt idx="12">
                        <c:v>319.06299999999999</c:v>
                      </c:pt>
                    </c:numCache>
                  </c:numRef>
                </c:val>
                <c:smooth val="0"/>
                <c:extLst>
                  <c:ext xmlns:c16="http://schemas.microsoft.com/office/drawing/2014/chart" uri="{C3380CC4-5D6E-409C-BE32-E72D297353CC}">
                    <c16:uniqueId val="{00000001-2165-4E7B-88A7-536838A21AB2}"/>
                  </c:ext>
                </c:extLst>
              </c15:ser>
            </c15:filteredLineSeries>
          </c:ext>
        </c:extLst>
      </c:lineChart>
      <c:valAx>
        <c:axId val="744977968"/>
        <c:scaling>
          <c:orientation val="minMax"/>
          <c:max val="0.5"/>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aseline="0"/>
                  <a:t>% </a:t>
                </a:r>
                <a:r>
                  <a:rPr lang="en-US"/>
                  <a:t>Recovered</a:t>
                </a:r>
                <a:r>
                  <a:rPr lang="en-US" baseline="0"/>
                  <a:t> of Total $</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71304"/>
        <c:crosses val="max"/>
        <c:crossBetween val="between"/>
      </c:valAx>
      <c:catAx>
        <c:axId val="744971304"/>
        <c:scaling>
          <c:orientation val="minMax"/>
        </c:scaling>
        <c:delete val="1"/>
        <c:axPos val="b"/>
        <c:numFmt formatCode="General" sourceLinked="1"/>
        <c:majorTickMark val="out"/>
        <c:minorTickMark val="none"/>
        <c:tickLblPos val="nextTo"/>
        <c:crossAx val="744977968"/>
        <c:crosses val="autoZero"/>
        <c:auto val="1"/>
        <c:lblAlgn val="ctr"/>
        <c:lblOffset val="100"/>
        <c:noMultiLvlLbl val="0"/>
      </c:catAx>
      <c:valAx>
        <c:axId val="9733549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i="0" baseline="0"/>
                  <a:t>Amount Recovered ($k)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358520"/>
        <c:crosses val="autoZero"/>
        <c:crossBetween val="between"/>
      </c:valAx>
      <c:catAx>
        <c:axId val="973358520"/>
        <c:scaling>
          <c:orientation val="minMax"/>
        </c:scaling>
        <c:delete val="1"/>
        <c:axPos val="b"/>
        <c:numFmt formatCode="General" sourceLinked="1"/>
        <c:majorTickMark val="out"/>
        <c:minorTickMark val="none"/>
        <c:tickLblPos val="nextTo"/>
        <c:crossAx val="97335491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Vendor Setup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3"/>
          <c:order val="2"/>
          <c:tx>
            <c:strRef>
              <c:f>AP!$CE$101</c:f>
              <c:strCache>
                <c:ptCount val="1"/>
                <c:pt idx="0">
                  <c:v>Active</c:v>
                </c:pt>
              </c:strCache>
            </c:strRef>
          </c:tx>
          <c:spPr>
            <a:solidFill>
              <a:srgbClr val="A5A5A5"/>
            </a:solidFill>
            <a:ln>
              <a:noFill/>
            </a:ln>
            <a:effectLst/>
          </c:spPr>
          <c:invertIfNegative val="0"/>
          <c:cat>
            <c:strRef>
              <c:f>AP!$CD$102:$CD$114</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AP!$CE$102:$CE$114</c:f>
              <c:numCache>
                <c:formatCode>0.0</c:formatCode>
                <c:ptCount val="13"/>
                <c:pt idx="0">
                  <c:v>4.2850000000000001</c:v>
                </c:pt>
                <c:pt idx="1">
                  <c:v>4.7830000000000004</c:v>
                </c:pt>
                <c:pt idx="2">
                  <c:v>9.4009999999999998</c:v>
                </c:pt>
                <c:pt idx="3">
                  <c:v>6.3019999999999996</c:v>
                </c:pt>
                <c:pt idx="4">
                  <c:v>5.1120000000000001</c:v>
                </c:pt>
                <c:pt idx="5">
                  <c:v>5.0220000000000002</c:v>
                </c:pt>
                <c:pt idx="6">
                  <c:v>8.7829999999999995</c:v>
                </c:pt>
                <c:pt idx="7">
                  <c:v>3.798</c:v>
                </c:pt>
                <c:pt idx="8">
                  <c:v>4.1900000000000004</c:v>
                </c:pt>
                <c:pt idx="9">
                  <c:v>4.7990000000000004</c:v>
                </c:pt>
                <c:pt idx="10">
                  <c:v>4.0830000000000002</c:v>
                </c:pt>
                <c:pt idx="11">
                  <c:v>5.8170000000000002</c:v>
                </c:pt>
                <c:pt idx="12">
                  <c:v>0.88800000000000001</c:v>
                </c:pt>
              </c:numCache>
            </c:numRef>
          </c:val>
          <c:extLst>
            <c:ext xmlns:c16="http://schemas.microsoft.com/office/drawing/2014/chart" uri="{C3380CC4-5D6E-409C-BE32-E72D297353CC}">
              <c16:uniqueId val="{00000000-5C25-4832-861C-790F776C25E0}"/>
            </c:ext>
          </c:extLst>
        </c:ser>
        <c:ser>
          <c:idx val="4"/>
          <c:order val="3"/>
          <c:tx>
            <c:strRef>
              <c:f>AP!$CF$101</c:f>
              <c:strCache>
                <c:ptCount val="1"/>
                <c:pt idx="0">
                  <c:v>AP Approvals</c:v>
                </c:pt>
              </c:strCache>
            </c:strRef>
          </c:tx>
          <c:spPr>
            <a:solidFill>
              <a:srgbClr val="FFC000"/>
            </a:solidFill>
            <a:ln>
              <a:noFill/>
            </a:ln>
            <a:effectLst/>
          </c:spPr>
          <c:invertIfNegative val="0"/>
          <c:cat>
            <c:strRef>
              <c:f>AP!$CD$102:$CD$114</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AP!$CF$102:$CF$114</c:f>
              <c:numCache>
                <c:formatCode>0.0</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1.0029999999999999</c:v>
                </c:pt>
              </c:numCache>
            </c:numRef>
          </c:val>
          <c:extLst>
            <c:ext xmlns:c16="http://schemas.microsoft.com/office/drawing/2014/chart" uri="{C3380CC4-5D6E-409C-BE32-E72D297353CC}">
              <c16:uniqueId val="{00000001-5C25-4832-861C-790F776C25E0}"/>
            </c:ext>
          </c:extLst>
        </c:ser>
        <c:ser>
          <c:idx val="5"/>
          <c:order val="4"/>
          <c:tx>
            <c:strRef>
              <c:f>AP!$CG$101</c:f>
              <c:strCache>
                <c:ptCount val="1"/>
                <c:pt idx="0">
                  <c:v>Manual</c:v>
                </c:pt>
              </c:strCache>
            </c:strRef>
          </c:tx>
          <c:spPr>
            <a:solidFill>
              <a:schemeClr val="accent6"/>
            </a:solidFill>
            <a:ln>
              <a:noFill/>
            </a:ln>
            <a:effectLst/>
          </c:spPr>
          <c:invertIfNegative val="0"/>
          <c:cat>
            <c:strRef>
              <c:f>AP!$CD$102:$CD$114</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AP!$CG$102:$CG$114</c:f>
              <c:numCache>
                <c:formatCode>0.0</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2.9020000000000001</c:v>
                </c:pt>
              </c:numCache>
            </c:numRef>
          </c:val>
          <c:extLst>
            <c:ext xmlns:c16="http://schemas.microsoft.com/office/drawing/2014/chart" uri="{C3380CC4-5D6E-409C-BE32-E72D297353CC}">
              <c16:uniqueId val="{00000002-5C25-4832-861C-790F776C25E0}"/>
            </c:ext>
          </c:extLst>
        </c:ser>
        <c:dLbls>
          <c:showLegendKey val="0"/>
          <c:showVal val="0"/>
          <c:showCatName val="0"/>
          <c:showSerName val="0"/>
          <c:showPercent val="0"/>
          <c:showBubbleSize val="0"/>
        </c:dLbls>
        <c:gapWidth val="150"/>
        <c:overlap val="100"/>
        <c:axId val="744960328"/>
        <c:axId val="744961112"/>
      </c:barChart>
      <c:lineChart>
        <c:grouping val="standard"/>
        <c:varyColors val="0"/>
        <c:ser>
          <c:idx val="2"/>
          <c:order val="0"/>
          <c:tx>
            <c:strRef>
              <c:f>AP!$CH$101</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AP!$CD$102:$CD$114</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AP!$CH$102:$CH$114</c:f>
              <c:numCache>
                <c:formatCode>_("$"* #,##0.00_);_("$"* \(#,##0.00\);_("$"* "-"??_);_(@_)</c:formatCode>
                <c:ptCount val="13"/>
                <c:pt idx="0">
                  <c:v>7</c:v>
                </c:pt>
                <c:pt idx="1">
                  <c:v>7</c:v>
                </c:pt>
                <c:pt idx="2">
                  <c:v>7</c:v>
                </c:pt>
                <c:pt idx="3">
                  <c:v>7</c:v>
                </c:pt>
                <c:pt idx="4">
                  <c:v>7</c:v>
                </c:pt>
                <c:pt idx="5">
                  <c:v>7</c:v>
                </c:pt>
                <c:pt idx="6">
                  <c:v>7</c:v>
                </c:pt>
                <c:pt idx="7">
                  <c:v>7</c:v>
                </c:pt>
                <c:pt idx="8">
                  <c:v>7</c:v>
                </c:pt>
                <c:pt idx="9">
                  <c:v>7</c:v>
                </c:pt>
                <c:pt idx="10">
                  <c:v>7</c:v>
                </c:pt>
                <c:pt idx="11">
                  <c:v>7</c:v>
                </c:pt>
                <c:pt idx="12">
                  <c:v>7</c:v>
                </c:pt>
              </c:numCache>
            </c:numRef>
          </c:val>
          <c:smooth val="0"/>
          <c:extLst>
            <c:ext xmlns:c16="http://schemas.microsoft.com/office/drawing/2014/chart" uri="{C3380CC4-5D6E-409C-BE32-E72D297353CC}">
              <c16:uniqueId val="{00000001-8409-412B-B532-CF42BEE18E0E}"/>
            </c:ext>
          </c:extLst>
        </c:ser>
        <c:ser>
          <c:idx val="1"/>
          <c:order val="1"/>
          <c:tx>
            <c:strRef>
              <c:f>AP!$CI$101</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AP!$CD$102:$CD$114</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AP!$CI$102:$CI$114</c:f>
              <c:numCache>
                <c:formatCode>_("$"* #,##0.00_);_("$"* \(#,##0.00\);_("$"* "-"??_);_(@_)</c:formatCode>
                <c:ptCount val="13"/>
                <c:pt idx="0">
                  <c:v>9.043640606767795</c:v>
                </c:pt>
                <c:pt idx="1">
                  <c:v>7.6343299184612166</c:v>
                </c:pt>
                <c:pt idx="2">
                  <c:v>4.8585256887565151</c:v>
                </c:pt>
                <c:pt idx="3">
                  <c:v>5.8344969850841002</c:v>
                </c:pt>
                <c:pt idx="4">
                  <c:v>7.8681533646322377</c:v>
                </c:pt>
                <c:pt idx="5">
                  <c:v>9.3839107925129426</c:v>
                </c:pt>
                <c:pt idx="6">
                  <c:v>4.3514744392576574</c:v>
                </c:pt>
                <c:pt idx="7">
                  <c:v>9.4210110584518159</c:v>
                </c:pt>
                <c:pt idx="8">
                  <c:v>10.674522673031026</c:v>
                </c:pt>
                <c:pt idx="9">
                  <c:v>12.579078974786412</c:v>
                </c:pt>
                <c:pt idx="10">
                  <c:v>11.965711486651971</c:v>
                </c:pt>
                <c:pt idx="11">
                  <c:v>8.3269726663228472</c:v>
                </c:pt>
                <c:pt idx="12">
                  <c:v>5.6634675568537451</c:v>
                </c:pt>
              </c:numCache>
            </c:numRef>
          </c:val>
          <c:smooth val="0"/>
          <c:extLst>
            <c:ext xmlns:c16="http://schemas.microsoft.com/office/drawing/2014/chart" uri="{C3380CC4-5D6E-409C-BE32-E72D297353CC}">
              <c16:uniqueId val="{00000002-8409-412B-B532-CF42BEE18E0E}"/>
            </c:ext>
          </c:extLst>
        </c:ser>
        <c:dLbls>
          <c:showLegendKey val="0"/>
          <c:showVal val="0"/>
          <c:showCatName val="0"/>
          <c:showSerName val="0"/>
          <c:showPercent val="0"/>
          <c:showBubbleSize val="0"/>
        </c:dLbls>
        <c:marker val="1"/>
        <c:smooth val="0"/>
        <c:axId val="2099424671"/>
        <c:axId val="864578975"/>
      </c:lineChart>
      <c:valAx>
        <c:axId val="74496111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Vendor</a:t>
                </a:r>
                <a:r>
                  <a:rPr lang="en-US" baseline="0"/>
                  <a:t> Setups</a:t>
                </a:r>
                <a:r>
                  <a:rPr lang="en-US"/>
                  <a:t>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60328"/>
        <c:crosses val="max"/>
        <c:crossBetween val="between"/>
      </c:valAx>
      <c:catAx>
        <c:axId val="744960328"/>
        <c:scaling>
          <c:orientation val="minMax"/>
        </c:scaling>
        <c:delete val="1"/>
        <c:axPos val="b"/>
        <c:numFmt formatCode="General" sourceLinked="1"/>
        <c:majorTickMark val="out"/>
        <c:minorTickMark val="none"/>
        <c:tickLblPos val="nextTo"/>
        <c:crossAx val="744961112"/>
        <c:crosses val="autoZero"/>
        <c:auto val="1"/>
        <c:lblAlgn val="ctr"/>
        <c:lblOffset val="100"/>
        <c:noMultiLvlLbl val="0"/>
      </c:catAx>
      <c:valAx>
        <c:axId val="864578975"/>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424671"/>
        <c:crosses val="autoZero"/>
        <c:crossBetween val="between"/>
      </c:valAx>
      <c:catAx>
        <c:axId val="2099424671"/>
        <c:scaling>
          <c:orientation val="minMax"/>
        </c:scaling>
        <c:delete val="1"/>
        <c:axPos val="b"/>
        <c:numFmt formatCode="General" sourceLinked="1"/>
        <c:majorTickMark val="out"/>
        <c:minorTickMark val="none"/>
        <c:tickLblPos val="nextTo"/>
        <c:crossAx val="864578975"/>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Payment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PR!$BY$25</c:f>
              <c:strCache>
                <c:ptCount val="1"/>
                <c:pt idx="0">
                  <c:v>Quantity</c:v>
                </c:pt>
              </c:strCache>
            </c:strRef>
          </c:tx>
          <c:spPr>
            <a:solidFill>
              <a:schemeClr val="bg1">
                <a:lumMod val="65000"/>
              </a:schemeClr>
            </a:solidFill>
            <a:ln>
              <a:noFill/>
            </a:ln>
            <a:effectLst/>
          </c:spPr>
          <c:invertIfNegative val="0"/>
          <c:cat>
            <c:strRef>
              <c:f>PR!$BX$26:$BX$38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PR!$BY$26:$BY$38</c:f>
              <c:numCache>
                <c:formatCode>0.0</c:formatCode>
                <c:ptCount val="13"/>
                <c:pt idx="0">
                  <c:v>258.47800000000001</c:v>
                </c:pt>
                <c:pt idx="1">
                  <c:v>253.136</c:v>
                </c:pt>
                <c:pt idx="2">
                  <c:v>311.60000000000002</c:v>
                </c:pt>
                <c:pt idx="3">
                  <c:v>229.54400000000001</c:v>
                </c:pt>
                <c:pt idx="4">
                  <c:v>262.45499999999998</c:v>
                </c:pt>
                <c:pt idx="5">
                  <c:v>335.536</c:v>
                </c:pt>
                <c:pt idx="6">
                  <c:v>277.95999999999998</c:v>
                </c:pt>
                <c:pt idx="7">
                  <c:v>273.79000000000002</c:v>
                </c:pt>
                <c:pt idx="8">
                  <c:v>292.64600000000002</c:v>
                </c:pt>
                <c:pt idx="9">
                  <c:v>219.91</c:v>
                </c:pt>
                <c:pt idx="10">
                  <c:v>234.52</c:v>
                </c:pt>
                <c:pt idx="11">
                  <c:v>359.27699999999999</c:v>
                </c:pt>
                <c:pt idx="12">
                  <c:v>297.26100000000002</c:v>
                </c:pt>
              </c:numCache>
            </c:numRef>
          </c:val>
          <c:extLst>
            <c:ext xmlns:c16="http://schemas.microsoft.com/office/drawing/2014/chart" uri="{C3380CC4-5D6E-409C-BE32-E72D297353CC}">
              <c16:uniqueId val="{00000000-5481-4323-8E63-42BF1A3CDB19}"/>
            </c:ext>
          </c:extLst>
        </c:ser>
        <c:dLbls>
          <c:showLegendKey val="0"/>
          <c:showVal val="0"/>
          <c:showCatName val="0"/>
          <c:showSerName val="0"/>
          <c:showPercent val="0"/>
          <c:showBubbleSize val="0"/>
        </c:dLbls>
        <c:gapWidth val="75"/>
        <c:overlap val="100"/>
        <c:axId val="703158120"/>
        <c:axId val="703164392"/>
      </c:barChart>
      <c:lineChart>
        <c:grouping val="standard"/>
        <c:varyColors val="0"/>
        <c:ser>
          <c:idx val="2"/>
          <c:order val="1"/>
          <c:tx>
            <c:strRef>
              <c:f>PR!$BZ$25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PR!$BX$26:$BX$38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PR!$BZ$26:$BZ$38</c:f>
              <c:numCache>
                <c:formatCode>_("$"* #,##0.00_);_("$"* \(#,##0.00\);_("$"* "-"??_);_(@_)</c:formatCode>
                <c:ptCount val="13"/>
                <c:pt idx="0">
                  <c:v>1.03</c:v>
                </c:pt>
                <c:pt idx="1">
                  <c:v>1.03</c:v>
                </c:pt>
                <c:pt idx="2">
                  <c:v>1.03</c:v>
                </c:pt>
                <c:pt idx="3">
                  <c:v>1.03</c:v>
                </c:pt>
                <c:pt idx="4">
                  <c:v>1.03</c:v>
                </c:pt>
                <c:pt idx="5">
                  <c:v>1.03</c:v>
                </c:pt>
                <c:pt idx="6">
                  <c:v>1.03</c:v>
                </c:pt>
                <c:pt idx="7">
                  <c:v>1.03</c:v>
                </c:pt>
                <c:pt idx="8">
                  <c:v>1.03</c:v>
                </c:pt>
                <c:pt idx="9">
                  <c:v>1.03</c:v>
                </c:pt>
                <c:pt idx="10">
                  <c:v>1.03</c:v>
                </c:pt>
                <c:pt idx="11">
                  <c:v>1.03</c:v>
                </c:pt>
                <c:pt idx="12">
                  <c:v>1.03</c:v>
                </c:pt>
              </c:numCache>
            </c:numRef>
          </c:val>
          <c:smooth val="0"/>
          <c:extLst>
            <c:ext xmlns:c16="http://schemas.microsoft.com/office/drawing/2014/chart" uri="{C3380CC4-5D6E-409C-BE32-E72D297353CC}">
              <c16:uniqueId val="{00000001-5481-4323-8E63-42BF1A3CDB19}"/>
            </c:ext>
          </c:extLst>
        </c:ser>
        <c:ser>
          <c:idx val="1"/>
          <c:order val="2"/>
          <c:tx>
            <c:strRef>
              <c:f>PR!$CA$25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PR!$BX$26:$BX$38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PR!$CA$26:$CA$38</c:f>
              <c:numCache>
                <c:formatCode>_("$"* #,##0.00_);_("$"* \(#,##0.00\);_("$"* "-"??_);_(@_)</c:formatCode>
                <c:ptCount val="13"/>
                <c:pt idx="0">
                  <c:v>0.88982427904889383</c:v>
                </c:pt>
                <c:pt idx="1">
                  <c:v>1.0334365716452818</c:v>
                </c:pt>
                <c:pt idx="2">
                  <c:v>1.0401155327342748</c:v>
                </c:pt>
                <c:pt idx="3">
                  <c:v>1.2607386819084794</c:v>
                </c:pt>
                <c:pt idx="4">
                  <c:v>1.0879312644072319</c:v>
                </c:pt>
                <c:pt idx="5">
                  <c:v>0.97219076343522004</c:v>
                </c:pt>
                <c:pt idx="6">
                  <c:v>0.93937976687293145</c:v>
                </c:pt>
                <c:pt idx="7">
                  <c:v>0.91683406990759342</c:v>
                </c:pt>
                <c:pt idx="8">
                  <c:v>1.0500194774574059</c:v>
                </c:pt>
                <c:pt idx="9">
                  <c:v>1.1176390341503342</c:v>
                </c:pt>
                <c:pt idx="10">
                  <c:v>1.027191710728296</c:v>
                </c:pt>
                <c:pt idx="11">
                  <c:v>0.85103694363958726</c:v>
                </c:pt>
                <c:pt idx="12">
                  <c:v>0.84746064905924412</c:v>
                </c:pt>
              </c:numCache>
            </c:numRef>
          </c:val>
          <c:smooth val="0"/>
          <c:extLst>
            <c:ext xmlns:c16="http://schemas.microsoft.com/office/drawing/2014/chart" uri="{C3380CC4-5D6E-409C-BE32-E72D297353CC}">
              <c16:uniqueId val="{00000002-5481-4323-8E63-42BF1A3CDB19}"/>
            </c:ext>
          </c:extLst>
        </c:ser>
        <c:dLbls>
          <c:showLegendKey val="0"/>
          <c:showVal val="0"/>
          <c:showCatName val="0"/>
          <c:showSerName val="0"/>
          <c:showPercent val="0"/>
          <c:showBubbleSize val="0"/>
        </c:dLbls>
        <c:marker val="1"/>
        <c:smooth val="0"/>
        <c:axId val="703165176"/>
        <c:axId val="703159296"/>
      </c:lineChart>
      <c:valAx>
        <c:axId val="70316439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Payments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58120"/>
        <c:crosses val="max"/>
        <c:crossBetween val="between"/>
      </c:valAx>
      <c:catAx>
        <c:axId val="703158120"/>
        <c:scaling>
          <c:orientation val="minMax"/>
        </c:scaling>
        <c:delete val="1"/>
        <c:axPos val="b"/>
        <c:numFmt formatCode="General" sourceLinked="1"/>
        <c:majorTickMark val="out"/>
        <c:minorTickMark val="none"/>
        <c:tickLblPos val="nextTo"/>
        <c:crossAx val="703164392"/>
        <c:crosses val="autoZero"/>
        <c:auto val="1"/>
        <c:lblAlgn val="ctr"/>
        <c:lblOffset val="100"/>
        <c:noMultiLvlLbl val="0"/>
      </c:catAx>
      <c:valAx>
        <c:axId val="703159296"/>
        <c:scaling>
          <c:orientation val="minMax"/>
          <c:max val="1.5"/>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in $s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65176"/>
        <c:crosses val="autoZero"/>
        <c:crossBetween val="between"/>
        <c:majorUnit val="0.25"/>
        <c:minorUnit val="0.1"/>
      </c:valAx>
      <c:catAx>
        <c:axId val="703165176"/>
        <c:scaling>
          <c:orientation val="minMax"/>
        </c:scaling>
        <c:delete val="1"/>
        <c:axPos val="b"/>
        <c:numFmt formatCode="General" sourceLinked="1"/>
        <c:majorTickMark val="out"/>
        <c:minorTickMark val="none"/>
        <c:tickLblPos val="nextTo"/>
        <c:crossAx val="70315929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eForm Resolution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PR!$BY$44</c:f>
              <c:strCache>
                <c:ptCount val="1"/>
                <c:pt idx="0">
                  <c:v>Quantity</c:v>
                </c:pt>
              </c:strCache>
            </c:strRef>
          </c:tx>
          <c:spPr>
            <a:solidFill>
              <a:schemeClr val="bg1">
                <a:lumMod val="65000"/>
              </a:schemeClr>
            </a:solidFill>
            <a:ln>
              <a:noFill/>
            </a:ln>
            <a:effectLst/>
          </c:spPr>
          <c:invertIfNegative val="0"/>
          <c:cat>
            <c:strRef>
              <c:f>PR!$BX$45:$BX$57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PR!$BY$45:$BY$57</c:f>
              <c:numCache>
                <c:formatCode>0.0</c:formatCode>
                <c:ptCount val="13"/>
                <c:pt idx="0">
                  <c:v>1.6950000000000001</c:v>
                </c:pt>
                <c:pt idx="1">
                  <c:v>1.169</c:v>
                </c:pt>
                <c:pt idx="2">
                  <c:v>1.6180000000000001</c:v>
                </c:pt>
                <c:pt idx="3">
                  <c:v>1.4610000000000001</c:v>
                </c:pt>
                <c:pt idx="4">
                  <c:v>1.069</c:v>
                </c:pt>
                <c:pt idx="5">
                  <c:v>1.371</c:v>
                </c:pt>
                <c:pt idx="6">
                  <c:v>1.0669999999999999</c:v>
                </c:pt>
                <c:pt idx="7">
                  <c:v>1.145</c:v>
                </c:pt>
                <c:pt idx="8">
                  <c:v>1.468</c:v>
                </c:pt>
                <c:pt idx="9">
                  <c:v>1.3069999999999999</c:v>
                </c:pt>
                <c:pt idx="10">
                  <c:v>1.41</c:v>
                </c:pt>
                <c:pt idx="11">
                  <c:v>1.77</c:v>
                </c:pt>
                <c:pt idx="12">
                  <c:v>1.407</c:v>
                </c:pt>
              </c:numCache>
            </c:numRef>
          </c:val>
          <c:extLst>
            <c:ext xmlns:c16="http://schemas.microsoft.com/office/drawing/2014/chart" uri="{C3380CC4-5D6E-409C-BE32-E72D297353CC}">
              <c16:uniqueId val="{00000000-B594-4125-99E9-E22FF65DC167}"/>
            </c:ext>
          </c:extLst>
        </c:ser>
        <c:dLbls>
          <c:showLegendKey val="0"/>
          <c:showVal val="0"/>
          <c:showCatName val="0"/>
          <c:showSerName val="0"/>
          <c:showPercent val="0"/>
          <c:showBubbleSize val="0"/>
        </c:dLbls>
        <c:gapWidth val="75"/>
        <c:overlap val="100"/>
        <c:axId val="703171056"/>
        <c:axId val="703172232"/>
      </c:barChart>
      <c:lineChart>
        <c:grouping val="standard"/>
        <c:varyColors val="0"/>
        <c:ser>
          <c:idx val="2"/>
          <c:order val="1"/>
          <c:tx>
            <c:strRef>
              <c:f>PR!$BZ$44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PR!$BX$45:$BX$57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PR!$BZ$45:$BZ$57</c:f>
              <c:numCache>
                <c:formatCode>0%</c:formatCode>
                <c:ptCount val="13"/>
                <c:pt idx="0">
                  <c:v>0.99</c:v>
                </c:pt>
                <c:pt idx="1">
                  <c:v>0.99</c:v>
                </c:pt>
                <c:pt idx="2">
                  <c:v>0.99</c:v>
                </c:pt>
                <c:pt idx="3">
                  <c:v>0.99</c:v>
                </c:pt>
                <c:pt idx="4">
                  <c:v>0.99</c:v>
                </c:pt>
                <c:pt idx="5">
                  <c:v>0.99</c:v>
                </c:pt>
                <c:pt idx="6">
                  <c:v>0.99</c:v>
                </c:pt>
                <c:pt idx="7">
                  <c:v>0.99</c:v>
                </c:pt>
                <c:pt idx="8">
                  <c:v>0.99</c:v>
                </c:pt>
                <c:pt idx="9">
                  <c:v>0.99</c:v>
                </c:pt>
                <c:pt idx="10">
                  <c:v>0.99</c:v>
                </c:pt>
                <c:pt idx="11">
                  <c:v>0.99</c:v>
                </c:pt>
                <c:pt idx="12">
                  <c:v>0.99</c:v>
                </c:pt>
              </c:numCache>
            </c:numRef>
          </c:val>
          <c:smooth val="0"/>
          <c:extLst>
            <c:ext xmlns:c16="http://schemas.microsoft.com/office/drawing/2014/chart" uri="{C3380CC4-5D6E-409C-BE32-E72D297353CC}">
              <c16:uniqueId val="{00000001-B594-4125-99E9-E22FF65DC167}"/>
            </c:ext>
          </c:extLst>
        </c:ser>
        <c:ser>
          <c:idx val="1"/>
          <c:order val="2"/>
          <c:tx>
            <c:strRef>
              <c:f>PR!$CA$44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PR!$BX$45:$BX$57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PR!$CA$45:$CA$57</c:f>
              <c:numCache>
                <c:formatCode>0.0%</c:formatCode>
                <c:ptCount val="13"/>
                <c:pt idx="0">
                  <c:v>0.99469026548672557</c:v>
                </c:pt>
                <c:pt idx="1">
                  <c:v>0.99401197604790414</c:v>
                </c:pt>
                <c:pt idx="2">
                  <c:v>0.99381953028430159</c:v>
                </c:pt>
                <c:pt idx="3">
                  <c:v>0.99247091033538659</c:v>
                </c:pt>
                <c:pt idx="4">
                  <c:v>1</c:v>
                </c:pt>
                <c:pt idx="5">
                  <c:v>0.99927060539752011</c:v>
                </c:pt>
                <c:pt idx="6">
                  <c:v>0.99812558575445176</c:v>
                </c:pt>
                <c:pt idx="7">
                  <c:v>1</c:v>
                </c:pt>
                <c:pt idx="8">
                  <c:v>0.99795640326975488</c:v>
                </c:pt>
                <c:pt idx="9">
                  <c:v>1</c:v>
                </c:pt>
                <c:pt idx="10">
                  <c:v>1</c:v>
                </c:pt>
                <c:pt idx="11">
                  <c:v>0.99152542372881347</c:v>
                </c:pt>
                <c:pt idx="12">
                  <c:v>0.98009950248756217</c:v>
                </c:pt>
              </c:numCache>
            </c:numRef>
          </c:val>
          <c:smooth val="0"/>
          <c:extLst>
            <c:ext xmlns:c16="http://schemas.microsoft.com/office/drawing/2014/chart" uri="{C3380CC4-5D6E-409C-BE32-E72D297353CC}">
              <c16:uniqueId val="{00000002-B594-4125-99E9-E22FF65DC167}"/>
            </c:ext>
          </c:extLst>
        </c:ser>
        <c:dLbls>
          <c:showLegendKey val="0"/>
          <c:showVal val="0"/>
          <c:showCatName val="0"/>
          <c:showSerName val="0"/>
          <c:showPercent val="0"/>
          <c:showBubbleSize val="0"/>
        </c:dLbls>
        <c:marker val="1"/>
        <c:smooth val="0"/>
        <c:axId val="703171840"/>
        <c:axId val="703171448"/>
      </c:lineChart>
      <c:valAx>
        <c:axId val="703172232"/>
        <c:scaling>
          <c:orientation val="minMax"/>
          <c:max val="3"/>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eForms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71056"/>
        <c:crosses val="max"/>
        <c:crossBetween val="between"/>
      </c:valAx>
      <c:catAx>
        <c:axId val="703171056"/>
        <c:scaling>
          <c:orientation val="minMax"/>
        </c:scaling>
        <c:delete val="1"/>
        <c:axPos val="b"/>
        <c:numFmt formatCode="General" sourceLinked="1"/>
        <c:majorTickMark val="out"/>
        <c:minorTickMark val="none"/>
        <c:tickLblPos val="nextTo"/>
        <c:crossAx val="703172232"/>
        <c:crosses val="autoZero"/>
        <c:auto val="1"/>
        <c:lblAlgn val="ctr"/>
        <c:lblOffset val="100"/>
        <c:noMultiLvlLbl val="0"/>
      </c:catAx>
      <c:valAx>
        <c:axId val="703171448"/>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 (2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71840"/>
        <c:crosses val="autoZero"/>
        <c:crossBetween val="between"/>
      </c:valAx>
      <c:catAx>
        <c:axId val="703171840"/>
        <c:scaling>
          <c:orientation val="minMax"/>
        </c:scaling>
        <c:delete val="1"/>
        <c:axPos val="b"/>
        <c:numFmt formatCode="General" sourceLinked="1"/>
        <c:majorTickMark val="out"/>
        <c:minorTickMark val="none"/>
        <c:tickLblPos val="nextTo"/>
        <c:crossAx val="70317144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Incident Resolution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PR!$BY$63</c:f>
              <c:strCache>
                <c:ptCount val="1"/>
                <c:pt idx="0">
                  <c:v>Quantity</c:v>
                </c:pt>
              </c:strCache>
            </c:strRef>
          </c:tx>
          <c:spPr>
            <a:solidFill>
              <a:schemeClr val="bg1">
                <a:lumMod val="65000"/>
              </a:schemeClr>
            </a:solidFill>
            <a:ln>
              <a:noFill/>
            </a:ln>
            <a:effectLst/>
          </c:spPr>
          <c:invertIfNegative val="0"/>
          <c:cat>
            <c:strRef>
              <c:f>PR!$BX$64:$BX$76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PR!$BY$64:$BY$76</c:f>
              <c:numCache>
                <c:formatCode>0.0</c:formatCode>
                <c:ptCount val="13"/>
                <c:pt idx="0">
                  <c:v>3.2360000000000002</c:v>
                </c:pt>
                <c:pt idx="1">
                  <c:v>2.4740000000000002</c:v>
                </c:pt>
                <c:pt idx="2">
                  <c:v>3.9350000000000001</c:v>
                </c:pt>
                <c:pt idx="3">
                  <c:v>3.5369999999999999</c:v>
                </c:pt>
                <c:pt idx="4">
                  <c:v>2.7269999999999999</c:v>
                </c:pt>
                <c:pt idx="5">
                  <c:v>2.8769999999999998</c:v>
                </c:pt>
                <c:pt idx="6">
                  <c:v>2.875</c:v>
                </c:pt>
                <c:pt idx="7">
                  <c:v>1.653</c:v>
                </c:pt>
                <c:pt idx="8">
                  <c:v>2.3330000000000002</c:v>
                </c:pt>
                <c:pt idx="9">
                  <c:v>2.09</c:v>
                </c:pt>
                <c:pt idx="10">
                  <c:v>2.097</c:v>
                </c:pt>
                <c:pt idx="11">
                  <c:v>3.371</c:v>
                </c:pt>
                <c:pt idx="12">
                  <c:v>2.2130000000000001</c:v>
                </c:pt>
              </c:numCache>
            </c:numRef>
          </c:val>
          <c:extLst>
            <c:ext xmlns:c16="http://schemas.microsoft.com/office/drawing/2014/chart" uri="{C3380CC4-5D6E-409C-BE32-E72D297353CC}">
              <c16:uniqueId val="{00000000-55A2-4526-A9F7-83F7AE898CBC}"/>
            </c:ext>
          </c:extLst>
        </c:ser>
        <c:dLbls>
          <c:showLegendKey val="0"/>
          <c:showVal val="0"/>
          <c:showCatName val="0"/>
          <c:showSerName val="0"/>
          <c:showPercent val="0"/>
          <c:showBubbleSize val="0"/>
        </c:dLbls>
        <c:gapWidth val="75"/>
        <c:overlap val="100"/>
        <c:axId val="703169096"/>
        <c:axId val="703175760"/>
      </c:barChart>
      <c:lineChart>
        <c:grouping val="standard"/>
        <c:varyColors val="0"/>
        <c:ser>
          <c:idx val="2"/>
          <c:order val="1"/>
          <c:tx>
            <c:strRef>
              <c:f>PR!$BZ$63</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PR!$BX$64:$BX$76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PR!$BZ$64:$BZ$76</c:f>
              <c:numCache>
                <c:formatCode>0%</c:formatCode>
                <c:ptCount val="13"/>
                <c:pt idx="0">
                  <c:v>0.9</c:v>
                </c:pt>
                <c:pt idx="1">
                  <c:v>0.9</c:v>
                </c:pt>
                <c:pt idx="2">
                  <c:v>0.9</c:v>
                </c:pt>
                <c:pt idx="3">
                  <c:v>0.9</c:v>
                </c:pt>
                <c:pt idx="4">
                  <c:v>0.9</c:v>
                </c:pt>
                <c:pt idx="5">
                  <c:v>0.9</c:v>
                </c:pt>
                <c:pt idx="6">
                  <c:v>0.9</c:v>
                </c:pt>
                <c:pt idx="7">
                  <c:v>0.9</c:v>
                </c:pt>
                <c:pt idx="8">
                  <c:v>0.9</c:v>
                </c:pt>
                <c:pt idx="9">
                  <c:v>0.9</c:v>
                </c:pt>
                <c:pt idx="10">
                  <c:v>0.9</c:v>
                </c:pt>
                <c:pt idx="11">
                  <c:v>0.9</c:v>
                </c:pt>
                <c:pt idx="12">
                  <c:v>0.9</c:v>
                </c:pt>
              </c:numCache>
            </c:numRef>
          </c:val>
          <c:smooth val="0"/>
          <c:extLst>
            <c:ext xmlns:c16="http://schemas.microsoft.com/office/drawing/2014/chart" uri="{C3380CC4-5D6E-409C-BE32-E72D297353CC}">
              <c16:uniqueId val="{00000001-55A2-4526-A9F7-83F7AE898CBC}"/>
            </c:ext>
          </c:extLst>
        </c:ser>
        <c:ser>
          <c:idx val="1"/>
          <c:order val="2"/>
          <c:tx>
            <c:strRef>
              <c:f>PR!$CA$63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PR!$BX$64:$BX$76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PR!$CA$64:$CA$76</c:f>
              <c:numCache>
                <c:formatCode>0.0%</c:formatCode>
                <c:ptCount val="13"/>
                <c:pt idx="0">
                  <c:v>0.99227441285537687</c:v>
                </c:pt>
                <c:pt idx="1">
                  <c:v>0.9911075181891672</c:v>
                </c:pt>
                <c:pt idx="2">
                  <c:v>0.98094027954256668</c:v>
                </c:pt>
                <c:pt idx="3">
                  <c:v>0.98303647158608987</c:v>
                </c:pt>
                <c:pt idx="4">
                  <c:v>0.99229922992299235</c:v>
                </c:pt>
                <c:pt idx="5">
                  <c:v>0.99826207855404936</c:v>
                </c:pt>
                <c:pt idx="6">
                  <c:v>0.99791304347826093</c:v>
                </c:pt>
                <c:pt idx="7">
                  <c:v>0.99879007864488811</c:v>
                </c:pt>
                <c:pt idx="8">
                  <c:v>1</c:v>
                </c:pt>
                <c:pt idx="9">
                  <c:v>0.99665071770334945</c:v>
                </c:pt>
                <c:pt idx="10">
                  <c:v>0.99856938483547919</c:v>
                </c:pt>
                <c:pt idx="11">
                  <c:v>0.99970335212103234</c:v>
                </c:pt>
                <c:pt idx="12">
                  <c:v>0.96927248079530048</c:v>
                </c:pt>
              </c:numCache>
            </c:numRef>
          </c:val>
          <c:smooth val="0"/>
          <c:extLst>
            <c:ext xmlns:c16="http://schemas.microsoft.com/office/drawing/2014/chart" uri="{C3380CC4-5D6E-409C-BE32-E72D297353CC}">
              <c16:uniqueId val="{00000002-55A2-4526-A9F7-83F7AE898CBC}"/>
            </c:ext>
          </c:extLst>
        </c:ser>
        <c:dLbls>
          <c:showLegendKey val="0"/>
          <c:showVal val="0"/>
          <c:showCatName val="0"/>
          <c:showSerName val="0"/>
          <c:showPercent val="0"/>
          <c:showBubbleSize val="0"/>
        </c:dLbls>
        <c:marker val="1"/>
        <c:smooth val="0"/>
        <c:axId val="703173016"/>
        <c:axId val="703176152"/>
      </c:lineChart>
      <c:valAx>
        <c:axId val="70317576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Service Now Tickets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69096"/>
        <c:crosses val="max"/>
        <c:crossBetween val="between"/>
      </c:valAx>
      <c:catAx>
        <c:axId val="703169096"/>
        <c:scaling>
          <c:orientation val="minMax"/>
        </c:scaling>
        <c:delete val="1"/>
        <c:axPos val="b"/>
        <c:numFmt formatCode="General" sourceLinked="1"/>
        <c:majorTickMark val="out"/>
        <c:minorTickMark val="none"/>
        <c:tickLblPos val="nextTo"/>
        <c:crossAx val="703175760"/>
        <c:crosses val="autoZero"/>
        <c:auto val="1"/>
        <c:lblAlgn val="ctr"/>
        <c:lblOffset val="100"/>
        <c:noMultiLvlLbl val="0"/>
      </c:catAx>
      <c:valAx>
        <c:axId val="703176152"/>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 (2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73016"/>
        <c:crosses val="autoZero"/>
        <c:crossBetween val="between"/>
      </c:valAx>
      <c:catAx>
        <c:axId val="703173016"/>
        <c:scaling>
          <c:orientation val="minMax"/>
        </c:scaling>
        <c:delete val="1"/>
        <c:axPos val="b"/>
        <c:numFmt formatCode="General" sourceLinked="1"/>
        <c:majorTickMark val="out"/>
        <c:minorTickMark val="none"/>
        <c:tickLblPos val="nextTo"/>
        <c:crossAx val="70317615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Email Volume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spPr>
            <a:solidFill>
              <a:schemeClr val="accent1"/>
            </a:solidFill>
            <a:ln>
              <a:noFill/>
            </a:ln>
            <a:effectLst/>
          </c:spPr>
          <c:invertIfNegative val="0"/>
          <c:val>
            <c:numRef>
              <c:f>BSS!#REF!</c:f>
              <c:numCache>
                <c:formatCode>General</c:formatCode>
                <c:ptCount val="1"/>
                <c:pt idx="0">
                  <c:v>1</c:v>
                </c:pt>
              </c:numCache>
              <c:extLst xmlns:c15="http://schemas.microsoft.com/office/drawing/2012/chart"/>
            </c:numRef>
          </c:val>
          <c:extLst xmlns:c15="http://schemas.microsoft.com/office/drawing/2012/chart">
            <c:ext xmlns:c15="http://schemas.microsoft.com/office/drawing/2012/chart" uri="{02D57815-91ED-43cb-92C2-25804820EDAC}">
              <c15:filteredSeriesTitle>
                <c15:tx>
                  <c:strRef>
                    <c:extLst>
                      <c:ext uri="{02D57815-91ED-43cb-92C2-25804820EDAC}">
                        <c15:formulaRef>
                          <c15:sqref>BSS!#REF!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BSS!#REF!</c15:sqref>
                        </c15:formulaRef>
                      </c:ext>
                    </c:extLst>
                  </c:multiLvlStrRef>
                </c15:cat>
              </c15:filteredCategoryTitle>
            </c:ext>
            <c:ext xmlns:c16="http://schemas.microsoft.com/office/drawing/2014/chart" uri="{C3380CC4-5D6E-409C-BE32-E72D297353CC}">
              <c16:uniqueId val="{00000000-53D3-4222-82AD-D360B69CD677}"/>
            </c:ext>
          </c:extLst>
        </c:ser>
        <c:ser>
          <c:idx val="1"/>
          <c:order val="1"/>
          <c:spPr>
            <a:solidFill>
              <a:schemeClr val="accent2"/>
            </a:solidFill>
            <a:ln>
              <a:noFill/>
            </a:ln>
            <a:effectLst/>
          </c:spPr>
          <c:invertIfNegative val="0"/>
          <c:val>
            <c:numRef>
              <c:f>BSS!#REF!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BSS!#REF!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BSS!#REF!</c15:sqref>
                        </c15:formulaRef>
                      </c:ext>
                    </c:extLst>
                  </c:multiLvlStrRef>
                </c15:cat>
              </c15:filteredCategoryTitle>
            </c:ext>
            <c:ext xmlns:c16="http://schemas.microsoft.com/office/drawing/2014/chart" uri="{C3380CC4-5D6E-409C-BE32-E72D297353CC}">
              <c16:uniqueId val="{00000001-53D3-4222-82AD-D360B69CD677}"/>
            </c:ext>
          </c:extLst>
        </c:ser>
        <c:ser>
          <c:idx val="2"/>
          <c:order val="2"/>
          <c:spPr>
            <a:solidFill>
              <a:schemeClr val="accent3"/>
            </a:solidFill>
            <a:ln>
              <a:noFill/>
            </a:ln>
            <a:effectLst/>
          </c:spPr>
          <c:invertIfNegative val="0"/>
          <c:val>
            <c:numRef>
              <c:f>BSS!#REF!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BSS!#REF!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BSS!#REF!</c15:sqref>
                        </c15:formulaRef>
                      </c:ext>
                    </c:extLst>
                  </c:multiLvlStrRef>
                </c15:cat>
              </c15:filteredCategoryTitle>
            </c:ext>
            <c:ext xmlns:c16="http://schemas.microsoft.com/office/drawing/2014/chart" uri="{C3380CC4-5D6E-409C-BE32-E72D297353CC}">
              <c16:uniqueId val="{00000002-53D3-4222-82AD-D360B69CD677}"/>
            </c:ext>
          </c:extLst>
        </c:ser>
        <c:ser>
          <c:idx val="3"/>
          <c:order val="3"/>
          <c:spPr>
            <a:solidFill>
              <a:schemeClr val="accent4"/>
            </a:solidFill>
            <a:ln>
              <a:noFill/>
            </a:ln>
            <a:effectLst/>
          </c:spPr>
          <c:invertIfNegative val="0"/>
          <c:val>
            <c:numRef>
              <c:f>BSS!#REF!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BSS!#REF!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BSS!#REF!</c15:sqref>
                        </c15:formulaRef>
                      </c:ext>
                    </c:extLst>
                  </c:multiLvlStrRef>
                </c15:cat>
              </c15:filteredCategoryTitle>
            </c:ext>
            <c:ext xmlns:c16="http://schemas.microsoft.com/office/drawing/2014/chart" uri="{C3380CC4-5D6E-409C-BE32-E72D297353CC}">
              <c16:uniqueId val="{00000003-53D3-4222-82AD-D360B69CD677}"/>
            </c:ext>
          </c:extLst>
        </c:ser>
        <c:ser>
          <c:idx val="4"/>
          <c:order val="4"/>
          <c:spPr>
            <a:solidFill>
              <a:schemeClr val="accent5"/>
            </a:solidFill>
            <a:ln>
              <a:noFill/>
            </a:ln>
            <a:effectLst/>
          </c:spPr>
          <c:invertIfNegative val="0"/>
          <c:val>
            <c:numRef>
              <c:f>BSS!#REF!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BSS!#REF!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BSS!#REF!</c15:sqref>
                        </c15:formulaRef>
                      </c:ext>
                    </c:extLst>
                  </c:multiLvlStrRef>
                </c15:cat>
              </c15:filteredCategoryTitle>
            </c:ext>
            <c:ext xmlns:c16="http://schemas.microsoft.com/office/drawing/2014/chart" uri="{C3380CC4-5D6E-409C-BE32-E72D297353CC}">
              <c16:uniqueId val="{00000004-53D3-4222-82AD-D360B69CD677}"/>
            </c:ext>
          </c:extLst>
        </c:ser>
        <c:ser>
          <c:idx val="5"/>
          <c:order val="5"/>
          <c:spPr>
            <a:solidFill>
              <a:schemeClr val="accent6"/>
            </a:solidFill>
            <a:ln>
              <a:noFill/>
            </a:ln>
            <a:effectLst/>
          </c:spPr>
          <c:invertIfNegative val="0"/>
          <c:val>
            <c:numRef>
              <c:f>BSS!#REF!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BSS!#REF!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BSS!#REF!</c15:sqref>
                        </c15:formulaRef>
                      </c:ext>
                    </c:extLst>
                  </c:multiLvlStrRef>
                </c15:cat>
              </c15:filteredCategoryTitle>
            </c:ext>
            <c:ext xmlns:c16="http://schemas.microsoft.com/office/drawing/2014/chart" uri="{C3380CC4-5D6E-409C-BE32-E72D297353CC}">
              <c16:uniqueId val="{00000005-53D3-4222-82AD-D360B69CD677}"/>
            </c:ext>
          </c:extLst>
        </c:ser>
        <c:ser>
          <c:idx val="6"/>
          <c:order val="6"/>
          <c:spPr>
            <a:solidFill>
              <a:schemeClr val="accent1">
                <a:lumMod val="60000"/>
              </a:schemeClr>
            </a:solidFill>
            <a:ln>
              <a:noFill/>
            </a:ln>
            <a:effectLst/>
          </c:spPr>
          <c:invertIfNegative val="0"/>
          <c:val>
            <c:numRef>
              <c:f>BSS!#REF!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BSS!#REF!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BSS!#REF!</c15:sqref>
                        </c15:formulaRef>
                      </c:ext>
                    </c:extLst>
                  </c:multiLvlStrRef>
                </c15:cat>
              </c15:filteredCategoryTitle>
            </c:ext>
            <c:ext xmlns:c16="http://schemas.microsoft.com/office/drawing/2014/chart" uri="{C3380CC4-5D6E-409C-BE32-E72D297353CC}">
              <c16:uniqueId val="{00000006-53D3-4222-82AD-D360B69CD677}"/>
            </c:ext>
          </c:extLst>
        </c:ser>
        <c:ser>
          <c:idx val="7"/>
          <c:order val="7"/>
          <c:spPr>
            <a:solidFill>
              <a:schemeClr val="accent2">
                <a:lumMod val="60000"/>
              </a:schemeClr>
            </a:solidFill>
            <a:ln>
              <a:noFill/>
            </a:ln>
            <a:effectLst/>
          </c:spPr>
          <c:invertIfNegative val="0"/>
          <c:val>
            <c:numRef>
              <c:f>BSS!#REF!</c:f>
              <c:numCache>
                <c:formatCode>General</c:formatCode>
                <c:ptCount val="1"/>
                <c:pt idx="0">
                  <c:v>1</c:v>
                </c:pt>
              </c:numCache>
              <c:extLst xmlns:c15="http://schemas.microsoft.com/office/drawing/2012/chart"/>
            </c:numRef>
          </c:val>
          <c:extLst xmlns:c15="http://schemas.microsoft.com/office/drawing/2012/chart">
            <c:ext xmlns:c15="http://schemas.microsoft.com/office/drawing/2012/chart" uri="{02D57815-91ED-43cb-92C2-25804820EDAC}">
              <c15:filteredSeriesTitle>
                <c15:tx>
                  <c:strRef>
                    <c:extLst>
                      <c:ext uri="{02D57815-91ED-43cb-92C2-25804820EDAC}">
                        <c15:formulaRef>
                          <c15:sqref>BSS!#REF!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BSS!#REF!</c15:sqref>
                        </c15:formulaRef>
                      </c:ext>
                    </c:extLst>
                  </c:multiLvlStrRef>
                </c15:cat>
              </c15:filteredCategoryTitle>
            </c:ext>
            <c:ext xmlns:c16="http://schemas.microsoft.com/office/drawing/2014/chart" uri="{C3380CC4-5D6E-409C-BE32-E72D297353CC}">
              <c16:uniqueId val="{00000007-53D3-4222-82AD-D360B69CD677}"/>
            </c:ext>
          </c:extLst>
        </c:ser>
        <c:ser>
          <c:idx val="8"/>
          <c:order val="8"/>
          <c:spPr>
            <a:solidFill>
              <a:schemeClr val="accent3">
                <a:lumMod val="60000"/>
              </a:schemeClr>
            </a:solidFill>
            <a:ln>
              <a:noFill/>
            </a:ln>
            <a:effectLst/>
          </c:spPr>
          <c:invertIfNegative val="0"/>
          <c:val>
            <c:numRef>
              <c:f>BSS!#REF!</c:f>
              <c:numCache>
                <c:formatCode>General</c:formatCode>
                <c:ptCount val="1"/>
                <c:pt idx="0">
                  <c:v>1</c:v>
                </c:pt>
              </c:numCache>
              <c:extLst xmlns:c15="http://schemas.microsoft.com/office/drawing/2012/chart"/>
            </c:numRef>
          </c:val>
          <c:extLst xmlns:c15="http://schemas.microsoft.com/office/drawing/2012/chart">
            <c:ext xmlns:c15="http://schemas.microsoft.com/office/drawing/2012/chart" uri="{02D57815-91ED-43cb-92C2-25804820EDAC}">
              <c15:filteredSeriesTitle>
                <c15:tx>
                  <c:strRef>
                    <c:extLst>
                      <c:ext uri="{02D57815-91ED-43cb-92C2-25804820EDAC}">
                        <c15:formulaRef>
                          <c15:sqref>BSS!#REF!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BSS!#REF!</c15:sqref>
                        </c15:formulaRef>
                      </c:ext>
                    </c:extLst>
                  </c:multiLvlStrRef>
                </c15:cat>
              </c15:filteredCategoryTitle>
            </c:ext>
            <c:ext xmlns:c16="http://schemas.microsoft.com/office/drawing/2014/chart" uri="{C3380CC4-5D6E-409C-BE32-E72D297353CC}">
              <c16:uniqueId val="{00000008-53D3-4222-82AD-D360B69CD677}"/>
            </c:ext>
          </c:extLst>
        </c:ser>
        <c:ser>
          <c:idx val="9"/>
          <c:order val="9"/>
          <c:spPr>
            <a:solidFill>
              <a:schemeClr val="accent4">
                <a:lumMod val="60000"/>
              </a:schemeClr>
            </a:solidFill>
            <a:ln>
              <a:noFill/>
            </a:ln>
            <a:effectLst/>
          </c:spPr>
          <c:invertIfNegative val="0"/>
          <c:val>
            <c:numRef>
              <c:f>BSS!#REF!</c:f>
              <c:numCache>
                <c:formatCode>General</c:formatCode>
                <c:ptCount val="1"/>
                <c:pt idx="0">
                  <c:v>1</c:v>
                </c:pt>
              </c:numCache>
              <c:extLst xmlns:c15="http://schemas.microsoft.com/office/drawing/2012/chart"/>
            </c:numRef>
          </c:val>
          <c:extLst xmlns:c15="http://schemas.microsoft.com/office/drawing/2012/chart">
            <c:ext xmlns:c15="http://schemas.microsoft.com/office/drawing/2012/chart" uri="{02D57815-91ED-43cb-92C2-25804820EDAC}">
              <c15:filteredSeriesTitle>
                <c15:tx>
                  <c:strRef>
                    <c:extLst>
                      <c:ext uri="{02D57815-91ED-43cb-92C2-25804820EDAC}">
                        <c15:formulaRef>
                          <c15:sqref>BSS!#REF!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BSS!#REF!</c15:sqref>
                        </c15:formulaRef>
                      </c:ext>
                    </c:extLst>
                  </c:multiLvlStrRef>
                </c15:cat>
              </c15:filteredCategoryTitle>
            </c:ext>
            <c:ext xmlns:c16="http://schemas.microsoft.com/office/drawing/2014/chart" uri="{C3380CC4-5D6E-409C-BE32-E72D297353CC}">
              <c16:uniqueId val="{00000009-53D3-4222-82AD-D360B69CD677}"/>
            </c:ext>
          </c:extLst>
        </c:ser>
        <c:dLbls>
          <c:showLegendKey val="0"/>
          <c:showVal val="0"/>
          <c:showCatName val="0"/>
          <c:showSerName val="0"/>
          <c:showPercent val="0"/>
          <c:showBubbleSize val="0"/>
        </c:dLbls>
        <c:gapWidth val="150"/>
        <c:overlap val="100"/>
        <c:axId val="518372847"/>
        <c:axId val="518382831"/>
        <c:extLst/>
      </c:barChart>
      <c:catAx>
        <c:axId val="51837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382831"/>
        <c:crosses val="autoZero"/>
        <c:auto val="1"/>
        <c:lblAlgn val="ctr"/>
        <c:lblOffset val="100"/>
        <c:noMultiLvlLbl val="0"/>
      </c:catAx>
      <c:valAx>
        <c:axId val="518382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Email Ct </a:t>
                </a:r>
              </a:p>
            </c:rich>
          </c:tx>
          <c:layout>
            <c:manualLayout>
              <c:xMode val="edge"/>
              <c:yMode val="edge"/>
              <c:x val="6.3999989249345635E-3"/>
              <c:y val="0.28664078448527269"/>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372847"/>
        <c:crosses val="autoZero"/>
        <c:crossBetween val="between"/>
        <c:majorUnit val="1000"/>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Satisfaction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BSS!$BY$25</c:f>
              <c:strCache>
                <c:ptCount val="1"/>
                <c:pt idx="0">
                  <c:v>Quantity</c:v>
                </c:pt>
              </c:strCache>
            </c:strRef>
          </c:tx>
          <c:spPr>
            <a:solidFill>
              <a:sysClr val="window" lastClr="FFFFFF">
                <a:lumMod val="65000"/>
              </a:sysClr>
            </a:solidFill>
            <a:ln>
              <a:noFill/>
            </a:ln>
            <a:effectLst/>
          </c:spPr>
          <c:invertIfNegative val="0"/>
          <c:cat>
            <c:strRef>
              <c:f>BSS!$BX$26:$BX$38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BSS!$BY$26:$BY$38</c:f>
              <c:numCache>
                <c:formatCode>0.0</c:formatCode>
                <c:ptCount val="13"/>
                <c:pt idx="0">
                  <c:v>5.0439999999999996</c:v>
                </c:pt>
                <c:pt idx="1">
                  <c:v>5.8719999999999999</c:v>
                </c:pt>
                <c:pt idx="2">
                  <c:v>6.8789999999999996</c:v>
                </c:pt>
                <c:pt idx="3">
                  <c:v>6.7670000000000003</c:v>
                </c:pt>
                <c:pt idx="4">
                  <c:v>7.64</c:v>
                </c:pt>
                <c:pt idx="5">
                  <c:v>10.999000000000001</c:v>
                </c:pt>
                <c:pt idx="6">
                  <c:v>8.3879999999999999</c:v>
                </c:pt>
                <c:pt idx="7">
                  <c:v>8.6630000000000003</c:v>
                </c:pt>
                <c:pt idx="8">
                  <c:v>10.794</c:v>
                </c:pt>
                <c:pt idx="9">
                  <c:v>9.2170000000000005</c:v>
                </c:pt>
                <c:pt idx="10">
                  <c:v>10.285</c:v>
                </c:pt>
                <c:pt idx="11">
                  <c:v>13.36</c:v>
                </c:pt>
                <c:pt idx="12">
                  <c:v>9.01</c:v>
                </c:pt>
              </c:numCache>
            </c:numRef>
          </c:val>
          <c:extLst>
            <c:ext xmlns:c16="http://schemas.microsoft.com/office/drawing/2014/chart" uri="{C3380CC4-5D6E-409C-BE32-E72D297353CC}">
              <c16:uniqueId val="{00000000-8B03-4051-92F9-FB82A58B8427}"/>
            </c:ext>
          </c:extLst>
        </c:ser>
        <c:dLbls>
          <c:showLegendKey val="0"/>
          <c:showVal val="0"/>
          <c:showCatName val="0"/>
          <c:showSerName val="0"/>
          <c:showPercent val="0"/>
          <c:showBubbleSize val="0"/>
        </c:dLbls>
        <c:gapWidth val="75"/>
        <c:overlap val="100"/>
        <c:axId val="744981496"/>
        <c:axId val="744983848"/>
      </c:barChart>
      <c:lineChart>
        <c:grouping val="standard"/>
        <c:varyColors val="0"/>
        <c:ser>
          <c:idx val="2"/>
          <c:order val="1"/>
          <c:tx>
            <c:strRef>
              <c:f>BSS!$BZ$25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BSS!$BX$26:$BX$38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BSS!$BZ$26:$BZ$38</c:f>
              <c:numCache>
                <c:formatCode>0%</c:formatCode>
                <c:ptCount val="13"/>
                <c:pt idx="0">
                  <c:v>0.9</c:v>
                </c:pt>
                <c:pt idx="1">
                  <c:v>0.9</c:v>
                </c:pt>
                <c:pt idx="2">
                  <c:v>0.9</c:v>
                </c:pt>
                <c:pt idx="3">
                  <c:v>0.9</c:v>
                </c:pt>
                <c:pt idx="4">
                  <c:v>0.9</c:v>
                </c:pt>
                <c:pt idx="5">
                  <c:v>0.9</c:v>
                </c:pt>
                <c:pt idx="6">
                  <c:v>0.9</c:v>
                </c:pt>
                <c:pt idx="7">
                  <c:v>0.9</c:v>
                </c:pt>
                <c:pt idx="8">
                  <c:v>0.9</c:v>
                </c:pt>
                <c:pt idx="9">
                  <c:v>0.9</c:v>
                </c:pt>
                <c:pt idx="10">
                  <c:v>0.9</c:v>
                </c:pt>
                <c:pt idx="11">
                  <c:v>0.9</c:v>
                </c:pt>
                <c:pt idx="12">
                  <c:v>0.9</c:v>
                </c:pt>
              </c:numCache>
            </c:numRef>
          </c:val>
          <c:smooth val="0"/>
          <c:extLst>
            <c:ext xmlns:c16="http://schemas.microsoft.com/office/drawing/2014/chart" uri="{C3380CC4-5D6E-409C-BE32-E72D297353CC}">
              <c16:uniqueId val="{00000001-8B03-4051-92F9-FB82A58B8427}"/>
            </c:ext>
          </c:extLst>
        </c:ser>
        <c:ser>
          <c:idx val="1"/>
          <c:order val="2"/>
          <c:tx>
            <c:strRef>
              <c:f>BSS!$CA$25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BSS!$BX$26:$BX$38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BSS!$CA$26:$CA$38</c:f>
              <c:numCache>
                <c:formatCode>0.0%</c:formatCode>
                <c:ptCount val="13"/>
                <c:pt idx="0">
                  <c:v>0.94512291831879469</c:v>
                </c:pt>
                <c:pt idx="1">
                  <c:v>0.93545640326975488</c:v>
                </c:pt>
                <c:pt idx="2">
                  <c:v>0.92978630614914959</c:v>
                </c:pt>
                <c:pt idx="3">
                  <c:v>0.94369735481010786</c:v>
                </c:pt>
                <c:pt idx="4">
                  <c:v>0.95117801047120432</c:v>
                </c:pt>
                <c:pt idx="5">
                  <c:v>0.9503227566142376</c:v>
                </c:pt>
                <c:pt idx="6">
                  <c:v>0.95100143061516462</c:v>
                </c:pt>
                <c:pt idx="7">
                  <c:v>0.95860556389241591</c:v>
                </c:pt>
                <c:pt idx="8">
                  <c:v>0.95821752825643869</c:v>
                </c:pt>
                <c:pt idx="9">
                  <c:v>0.96039926223283056</c:v>
                </c:pt>
                <c:pt idx="10">
                  <c:v>0.96256684491978617</c:v>
                </c:pt>
                <c:pt idx="11">
                  <c:v>0.95508982035928147</c:v>
                </c:pt>
                <c:pt idx="12">
                  <c:v>0.95849056603773575</c:v>
                </c:pt>
              </c:numCache>
            </c:numRef>
          </c:val>
          <c:smooth val="0"/>
          <c:extLst>
            <c:ext xmlns:c16="http://schemas.microsoft.com/office/drawing/2014/chart" uri="{C3380CC4-5D6E-409C-BE32-E72D297353CC}">
              <c16:uniqueId val="{00000002-8B03-4051-92F9-FB82A58B8427}"/>
            </c:ext>
          </c:extLst>
        </c:ser>
        <c:dLbls>
          <c:showLegendKey val="0"/>
          <c:showVal val="0"/>
          <c:showCatName val="0"/>
          <c:showSerName val="0"/>
          <c:showPercent val="0"/>
          <c:showBubbleSize val="0"/>
        </c:dLbls>
        <c:marker val="1"/>
        <c:smooth val="0"/>
        <c:axId val="703168704"/>
        <c:axId val="744983456"/>
      </c:lineChart>
      <c:valAx>
        <c:axId val="744983848"/>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Surveys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81496"/>
        <c:crosses val="max"/>
        <c:crossBetween val="between"/>
      </c:valAx>
      <c:catAx>
        <c:axId val="744981496"/>
        <c:scaling>
          <c:orientation val="minMax"/>
        </c:scaling>
        <c:delete val="1"/>
        <c:axPos val="b"/>
        <c:numFmt formatCode="General" sourceLinked="1"/>
        <c:majorTickMark val="out"/>
        <c:minorTickMark val="none"/>
        <c:tickLblPos val="nextTo"/>
        <c:crossAx val="744983848"/>
        <c:crosses val="autoZero"/>
        <c:auto val="1"/>
        <c:lblAlgn val="ctr"/>
        <c:lblOffset val="100"/>
        <c:noMultiLvlLbl val="0"/>
      </c:catAx>
      <c:valAx>
        <c:axId val="74498345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Favorable Surveys</a:t>
                </a:r>
              </a:p>
            </c:rich>
          </c:tx>
          <c:layout>
            <c:manualLayout>
              <c:xMode val="edge"/>
              <c:yMode val="edge"/>
              <c:x val="1.7505470459518599E-2"/>
              <c:y val="0.17282296650717704"/>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68704"/>
        <c:crosses val="autoZero"/>
        <c:crossBetween val="between"/>
      </c:valAx>
      <c:catAx>
        <c:axId val="703168704"/>
        <c:scaling>
          <c:orientation val="minMax"/>
        </c:scaling>
        <c:delete val="1"/>
        <c:axPos val="b"/>
        <c:numFmt formatCode="General" sourceLinked="1"/>
        <c:majorTickMark val="out"/>
        <c:minorTickMark val="none"/>
        <c:tickLblPos val="nextTo"/>
        <c:crossAx val="74498345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Survey</a:t>
            </a:r>
            <a:r>
              <a:rPr lang="en-US" baseline="0"/>
              <a:t> Participation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BSS!$BY$44</c:f>
              <c:strCache>
                <c:ptCount val="1"/>
                <c:pt idx="0">
                  <c:v>Quantity</c:v>
                </c:pt>
              </c:strCache>
            </c:strRef>
          </c:tx>
          <c:spPr>
            <a:solidFill>
              <a:sysClr val="window" lastClr="FFFFFF">
                <a:lumMod val="65000"/>
              </a:sysClr>
            </a:solidFill>
            <a:ln>
              <a:noFill/>
            </a:ln>
            <a:effectLst/>
          </c:spPr>
          <c:invertIfNegative val="0"/>
          <c:cat>
            <c:strRef>
              <c:f>BSS!$BX$45:$BX$57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BSS!$BY$45:$BY$57</c:f>
              <c:numCache>
                <c:formatCode>0.0</c:formatCode>
                <c:ptCount val="13"/>
                <c:pt idx="0">
                  <c:v>14.692</c:v>
                </c:pt>
                <c:pt idx="1">
                  <c:v>17.420999999999999</c:v>
                </c:pt>
                <c:pt idx="2">
                  <c:v>20.58</c:v>
                </c:pt>
                <c:pt idx="3">
                  <c:v>19.574000000000002</c:v>
                </c:pt>
                <c:pt idx="4">
                  <c:v>21.501999999999999</c:v>
                </c:pt>
                <c:pt idx="5">
                  <c:v>30.018000000000001</c:v>
                </c:pt>
                <c:pt idx="6">
                  <c:v>22.516999999999999</c:v>
                </c:pt>
                <c:pt idx="7">
                  <c:v>21.077000000000002</c:v>
                </c:pt>
                <c:pt idx="8">
                  <c:v>26.126999999999999</c:v>
                </c:pt>
                <c:pt idx="9">
                  <c:v>21.317</c:v>
                </c:pt>
                <c:pt idx="10">
                  <c:v>23.876000000000001</c:v>
                </c:pt>
                <c:pt idx="11">
                  <c:v>30.539000000000001</c:v>
                </c:pt>
                <c:pt idx="12">
                  <c:v>20.283999999999999</c:v>
                </c:pt>
              </c:numCache>
            </c:numRef>
          </c:val>
          <c:extLst>
            <c:ext xmlns:c16="http://schemas.microsoft.com/office/drawing/2014/chart" uri="{C3380CC4-5D6E-409C-BE32-E72D297353CC}">
              <c16:uniqueId val="{00000000-B642-4CED-93CB-7E0055488927}"/>
            </c:ext>
          </c:extLst>
        </c:ser>
        <c:dLbls>
          <c:showLegendKey val="0"/>
          <c:showVal val="0"/>
          <c:showCatName val="0"/>
          <c:showSerName val="0"/>
          <c:showPercent val="0"/>
          <c:showBubbleSize val="0"/>
        </c:dLbls>
        <c:gapWidth val="75"/>
        <c:overlap val="100"/>
        <c:axId val="761703960"/>
        <c:axId val="761703568"/>
      </c:barChart>
      <c:lineChart>
        <c:grouping val="standard"/>
        <c:varyColors val="0"/>
        <c:ser>
          <c:idx val="2"/>
          <c:order val="1"/>
          <c:tx>
            <c:strRef>
              <c:f>BSS!$BZ$44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BSS!$BX$45:$BX$57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BSS!$BZ$45:$BZ$57</c:f>
              <c:numCache>
                <c:formatCode>0%</c:formatCode>
                <c:ptCount val="13"/>
                <c:pt idx="0">
                  <c:v>0.3</c:v>
                </c:pt>
                <c:pt idx="1">
                  <c:v>0.3</c:v>
                </c:pt>
                <c:pt idx="2">
                  <c:v>0.3</c:v>
                </c:pt>
                <c:pt idx="3">
                  <c:v>0.3</c:v>
                </c:pt>
                <c:pt idx="4">
                  <c:v>0.3</c:v>
                </c:pt>
                <c:pt idx="5">
                  <c:v>0.3</c:v>
                </c:pt>
                <c:pt idx="6">
                  <c:v>0.3</c:v>
                </c:pt>
                <c:pt idx="7">
                  <c:v>0.3</c:v>
                </c:pt>
                <c:pt idx="8">
                  <c:v>0.3</c:v>
                </c:pt>
                <c:pt idx="9">
                  <c:v>0.3</c:v>
                </c:pt>
                <c:pt idx="10">
                  <c:v>0.3</c:v>
                </c:pt>
                <c:pt idx="11">
                  <c:v>0.3</c:v>
                </c:pt>
                <c:pt idx="12">
                  <c:v>0.3</c:v>
                </c:pt>
              </c:numCache>
            </c:numRef>
          </c:val>
          <c:smooth val="0"/>
          <c:extLst>
            <c:ext xmlns:c16="http://schemas.microsoft.com/office/drawing/2014/chart" uri="{C3380CC4-5D6E-409C-BE32-E72D297353CC}">
              <c16:uniqueId val="{00000001-B642-4CED-93CB-7E0055488927}"/>
            </c:ext>
          </c:extLst>
        </c:ser>
        <c:ser>
          <c:idx val="1"/>
          <c:order val="2"/>
          <c:tx>
            <c:strRef>
              <c:f>BSS!$CA$44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BSS!$BX$45:$BX$57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BSS!$CA$45:$CA$57</c:f>
              <c:numCache>
                <c:formatCode>0.0%</c:formatCode>
                <c:ptCount val="13"/>
                <c:pt idx="0">
                  <c:v>0.34331609038932748</c:v>
                </c:pt>
                <c:pt idx="1">
                  <c:v>0.33706446243040011</c:v>
                </c:pt>
                <c:pt idx="2">
                  <c:v>0.33425655976676383</c:v>
                </c:pt>
                <c:pt idx="3">
                  <c:v>0.34571370184939204</c:v>
                </c:pt>
                <c:pt idx="4">
                  <c:v>0.35531578457817875</c:v>
                </c:pt>
                <c:pt idx="5">
                  <c:v>0.36641348524218803</c:v>
                </c:pt>
                <c:pt idx="6">
                  <c:v>0.37251854154638719</c:v>
                </c:pt>
                <c:pt idx="7">
                  <c:v>0.41101674811405797</c:v>
                </c:pt>
                <c:pt idx="8">
                  <c:v>0.4131358364909864</c:v>
                </c:pt>
                <c:pt idx="9">
                  <c:v>0.43237791434066708</c:v>
                </c:pt>
                <c:pt idx="10">
                  <c:v>0.43076729770480815</c:v>
                </c:pt>
                <c:pt idx="11">
                  <c:v>0.4374733946756606</c:v>
                </c:pt>
                <c:pt idx="12">
                  <c:v>0.44419246696903963</c:v>
                </c:pt>
              </c:numCache>
            </c:numRef>
          </c:val>
          <c:smooth val="0"/>
          <c:extLst>
            <c:ext xmlns:c16="http://schemas.microsoft.com/office/drawing/2014/chart" uri="{C3380CC4-5D6E-409C-BE32-E72D297353CC}">
              <c16:uniqueId val="{00000002-B642-4CED-93CB-7E0055488927}"/>
            </c:ext>
          </c:extLst>
        </c:ser>
        <c:dLbls>
          <c:showLegendKey val="0"/>
          <c:showVal val="0"/>
          <c:showCatName val="0"/>
          <c:showSerName val="0"/>
          <c:showPercent val="0"/>
          <c:showBubbleSize val="0"/>
        </c:dLbls>
        <c:marker val="1"/>
        <c:smooth val="0"/>
        <c:axId val="761706312"/>
        <c:axId val="761712584"/>
      </c:lineChart>
      <c:valAx>
        <c:axId val="761703568"/>
        <c:scaling>
          <c:orientation val="minMax"/>
          <c:max val="35"/>
          <c:min val="1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Surveys</a:t>
                </a:r>
                <a:r>
                  <a:rPr lang="en-US" baseline="0"/>
                  <a:t> Offered in 1000s</a:t>
                </a:r>
                <a:endParaRPr lang="en-US"/>
              </a:p>
            </c:rich>
          </c:tx>
          <c:layout>
            <c:manualLayout>
              <c:xMode val="edge"/>
              <c:yMode val="edge"/>
              <c:x val="0.94980293706023811"/>
              <c:y val="0.11540669856459332"/>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03960"/>
        <c:crosses val="max"/>
        <c:crossBetween val="between"/>
      </c:valAx>
      <c:catAx>
        <c:axId val="761703960"/>
        <c:scaling>
          <c:orientation val="minMax"/>
        </c:scaling>
        <c:delete val="1"/>
        <c:axPos val="b"/>
        <c:numFmt formatCode="General" sourceLinked="1"/>
        <c:majorTickMark val="out"/>
        <c:minorTickMark val="none"/>
        <c:tickLblPos val="nextTo"/>
        <c:crossAx val="761703568"/>
        <c:crosses val="autoZero"/>
        <c:auto val="1"/>
        <c:lblAlgn val="ctr"/>
        <c:lblOffset val="100"/>
        <c:noMultiLvlLbl val="0"/>
      </c:catAx>
      <c:valAx>
        <c:axId val="761712584"/>
        <c:scaling>
          <c:orientation val="minMax"/>
          <c:max val="0.5"/>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Taking Surveys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06312"/>
        <c:crosses val="autoZero"/>
        <c:crossBetween val="between"/>
      </c:valAx>
      <c:catAx>
        <c:axId val="761706312"/>
        <c:scaling>
          <c:orientation val="minMax"/>
        </c:scaling>
        <c:delete val="1"/>
        <c:axPos val="b"/>
        <c:numFmt formatCode="General" sourceLinked="1"/>
        <c:majorTickMark val="out"/>
        <c:minorTickMark val="none"/>
        <c:tickLblPos val="nextTo"/>
        <c:crossAx val="761712584"/>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Answer</a:t>
            </a:r>
            <a:r>
              <a:rPr lang="en-US" baseline="0"/>
              <a:t>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BSS!$BY$65</c:f>
              <c:strCache>
                <c:ptCount val="1"/>
                <c:pt idx="0">
                  <c:v>Quantity</c:v>
                </c:pt>
              </c:strCache>
            </c:strRef>
          </c:tx>
          <c:spPr>
            <a:solidFill>
              <a:sysClr val="window" lastClr="FFFFFF">
                <a:lumMod val="65000"/>
              </a:sysClr>
            </a:solidFill>
            <a:ln>
              <a:noFill/>
            </a:ln>
            <a:effectLst/>
          </c:spPr>
          <c:invertIfNegative val="0"/>
          <c:cat>
            <c:strRef>
              <c:f>BSS!$BX$180:$BX$192</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BSS!$BY$66:$BY$78</c:f>
              <c:numCache>
                <c:formatCode>0.0</c:formatCode>
                <c:ptCount val="13"/>
                <c:pt idx="0">
                  <c:v>14.872</c:v>
                </c:pt>
                <c:pt idx="1">
                  <c:v>17.82</c:v>
                </c:pt>
                <c:pt idx="2">
                  <c:v>21.216000000000001</c:v>
                </c:pt>
                <c:pt idx="3">
                  <c:v>19.876999999999999</c:v>
                </c:pt>
                <c:pt idx="4">
                  <c:v>23.61</c:v>
                </c:pt>
                <c:pt idx="5">
                  <c:v>30.507000000000001</c:v>
                </c:pt>
                <c:pt idx="6">
                  <c:v>22.803000000000001</c:v>
                </c:pt>
                <c:pt idx="7">
                  <c:v>21.344000000000001</c:v>
                </c:pt>
                <c:pt idx="8">
                  <c:v>26.661000000000001</c:v>
                </c:pt>
                <c:pt idx="9">
                  <c:v>21.687000000000001</c:v>
                </c:pt>
                <c:pt idx="10">
                  <c:v>23.152000000000001</c:v>
                </c:pt>
                <c:pt idx="11">
                  <c:v>30.244</c:v>
                </c:pt>
                <c:pt idx="12">
                  <c:v>22.855</c:v>
                </c:pt>
              </c:numCache>
            </c:numRef>
          </c:val>
          <c:extLst>
            <c:ext xmlns:c16="http://schemas.microsoft.com/office/drawing/2014/chart" uri="{C3380CC4-5D6E-409C-BE32-E72D297353CC}">
              <c16:uniqueId val="{00000000-E260-4B23-BEC9-106D67FC836A}"/>
            </c:ext>
          </c:extLst>
        </c:ser>
        <c:dLbls>
          <c:showLegendKey val="0"/>
          <c:showVal val="0"/>
          <c:showCatName val="0"/>
          <c:showSerName val="0"/>
          <c:showPercent val="0"/>
          <c:showBubbleSize val="0"/>
        </c:dLbls>
        <c:gapWidth val="75"/>
        <c:overlap val="100"/>
        <c:axId val="761700824"/>
        <c:axId val="761702392"/>
      </c:barChart>
      <c:lineChart>
        <c:grouping val="standard"/>
        <c:varyColors val="0"/>
        <c:ser>
          <c:idx val="2"/>
          <c:order val="1"/>
          <c:tx>
            <c:strRef>
              <c:f>BSS!$BZ$65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BSS!$BX$66:$BX$78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BSS!$BZ$66:$BZ$78</c:f>
              <c:numCache>
                <c:formatCode>mm:ss</c:formatCode>
                <c:ptCount val="13"/>
                <c:pt idx="0">
                  <c:v>6.9444444444444447E-4</c:v>
                </c:pt>
                <c:pt idx="1">
                  <c:v>6.9444444444444447E-4</c:v>
                </c:pt>
                <c:pt idx="2">
                  <c:v>6.9444444444444447E-4</c:v>
                </c:pt>
                <c:pt idx="3">
                  <c:v>6.9444444444444447E-4</c:v>
                </c:pt>
                <c:pt idx="4">
                  <c:v>6.9444444444444447E-4</c:v>
                </c:pt>
                <c:pt idx="5">
                  <c:v>6.9444444444444447E-4</c:v>
                </c:pt>
                <c:pt idx="6">
                  <c:v>6.9444444444444447E-4</c:v>
                </c:pt>
                <c:pt idx="7">
                  <c:v>6.9444444444444447E-4</c:v>
                </c:pt>
                <c:pt idx="8">
                  <c:v>6.9444444444444447E-4</c:v>
                </c:pt>
                <c:pt idx="9">
                  <c:v>6.9444444444444447E-4</c:v>
                </c:pt>
                <c:pt idx="10">
                  <c:v>6.9444444444444447E-4</c:v>
                </c:pt>
                <c:pt idx="11">
                  <c:v>6.9444444444444447E-4</c:v>
                </c:pt>
                <c:pt idx="12">
                  <c:v>6.9444444444444447E-4</c:v>
                </c:pt>
              </c:numCache>
            </c:numRef>
          </c:val>
          <c:smooth val="0"/>
          <c:extLst>
            <c:ext xmlns:c16="http://schemas.microsoft.com/office/drawing/2014/chart" uri="{C3380CC4-5D6E-409C-BE32-E72D297353CC}">
              <c16:uniqueId val="{00000001-E260-4B23-BEC9-106D67FC836A}"/>
            </c:ext>
          </c:extLst>
        </c:ser>
        <c:ser>
          <c:idx val="1"/>
          <c:order val="2"/>
          <c:tx>
            <c:strRef>
              <c:f>BSS!$CA$65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BSS!$BX$66:$BX$78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BSS!$CA$66:$CA$78</c:f>
              <c:numCache>
                <c:formatCode>mm:ss</c:formatCode>
                <c:ptCount val="13"/>
                <c:pt idx="0">
                  <c:v>2.2337962962962967E-3</c:v>
                </c:pt>
                <c:pt idx="1">
                  <c:v>1.8518518518518517E-3</c:v>
                </c:pt>
                <c:pt idx="2">
                  <c:v>2.3379629629629631E-3</c:v>
                </c:pt>
                <c:pt idx="3">
                  <c:v>6.2500000000000001E-4</c:v>
                </c:pt>
                <c:pt idx="4">
                  <c:v>3.3564814814814812E-4</c:v>
                </c:pt>
                <c:pt idx="5">
                  <c:v>2.0833333333333335E-4</c:v>
                </c:pt>
                <c:pt idx="6">
                  <c:v>2.199074074074074E-4</c:v>
                </c:pt>
                <c:pt idx="7">
                  <c:v>1.8518518518518518E-4</c:v>
                </c:pt>
                <c:pt idx="8">
                  <c:v>3.3564814814814812E-4</c:v>
                </c:pt>
                <c:pt idx="9">
                  <c:v>3.7037037037037035E-4</c:v>
                </c:pt>
                <c:pt idx="10">
                  <c:v>2.5462962962962961E-4</c:v>
                </c:pt>
                <c:pt idx="11">
                  <c:v>3.8194444444444446E-4</c:v>
                </c:pt>
                <c:pt idx="12">
                  <c:v>4.0509259259259258E-4</c:v>
                </c:pt>
              </c:numCache>
            </c:numRef>
          </c:val>
          <c:smooth val="0"/>
          <c:extLst>
            <c:ext xmlns:c16="http://schemas.microsoft.com/office/drawing/2014/chart" uri="{C3380CC4-5D6E-409C-BE32-E72D297353CC}">
              <c16:uniqueId val="{00000002-E260-4B23-BEC9-106D67FC836A}"/>
            </c:ext>
          </c:extLst>
        </c:ser>
        <c:dLbls>
          <c:showLegendKey val="0"/>
          <c:showVal val="0"/>
          <c:showCatName val="0"/>
          <c:showSerName val="0"/>
          <c:showPercent val="0"/>
          <c:showBubbleSize val="0"/>
        </c:dLbls>
        <c:marker val="1"/>
        <c:smooth val="0"/>
        <c:axId val="761701216"/>
        <c:axId val="761704744"/>
      </c:lineChart>
      <c:valAx>
        <c:axId val="761702392"/>
        <c:scaling>
          <c:orientation val="minMax"/>
          <c:max val="35"/>
          <c:min val="1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Calls Handled in 1000s</a:t>
                </a:r>
              </a:p>
            </c:rich>
          </c:tx>
          <c:layout>
            <c:manualLayout>
              <c:xMode val="edge"/>
              <c:yMode val="edge"/>
              <c:x val="0.96071075186398147"/>
              <c:y val="0.27464467741267146"/>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00824"/>
        <c:crosses val="max"/>
        <c:crossBetween val="between"/>
      </c:valAx>
      <c:catAx>
        <c:axId val="761700824"/>
        <c:scaling>
          <c:orientation val="minMax"/>
        </c:scaling>
        <c:delete val="1"/>
        <c:axPos val="b"/>
        <c:numFmt formatCode="General" sourceLinked="1"/>
        <c:majorTickMark val="out"/>
        <c:minorTickMark val="none"/>
        <c:tickLblPos val="nextTo"/>
        <c:crossAx val="761702392"/>
        <c:crosses val="autoZero"/>
        <c:auto val="1"/>
        <c:lblAlgn val="ctr"/>
        <c:lblOffset val="100"/>
        <c:noMultiLvlLbl val="0"/>
      </c:catAx>
      <c:valAx>
        <c:axId val="761704744"/>
        <c:scaling>
          <c:orientation val="minMax"/>
          <c:min val="0"/>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900"/>
                  <a:t>MM:SS</a:t>
                </a:r>
              </a:p>
            </c:rich>
          </c:tx>
          <c:layout>
            <c:manualLayout>
              <c:xMode val="edge"/>
              <c:yMode val="edge"/>
              <c:x val="2.0407512346039963E-2"/>
              <c:y val="0.3791599780164164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mm:ss;@"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01216"/>
        <c:crosses val="autoZero"/>
        <c:crossBetween val="between"/>
        <c:majorUnit val="3.4720000000000009E-4"/>
      </c:valAx>
      <c:catAx>
        <c:axId val="761701216"/>
        <c:scaling>
          <c:orientation val="minMax"/>
        </c:scaling>
        <c:delete val="1"/>
        <c:axPos val="b"/>
        <c:numFmt formatCode="General" sourceLinked="1"/>
        <c:majorTickMark val="out"/>
        <c:minorTickMark val="none"/>
        <c:tickLblPos val="nextTo"/>
        <c:crossAx val="761704744"/>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Abandonment</a:t>
            </a:r>
            <a:r>
              <a:rPr lang="en-US" baseline="0"/>
              <a:t> Rate</a:t>
            </a:r>
            <a:endParaRPr lang="en-US"/>
          </a:p>
        </c:rich>
      </c:tx>
      <c:layout>
        <c:manualLayout>
          <c:xMode val="edge"/>
          <c:yMode val="edge"/>
          <c:x val="0.3885129152363340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BSS!$BY$84</c:f>
              <c:strCache>
                <c:ptCount val="1"/>
                <c:pt idx="0">
                  <c:v>Quantity</c:v>
                </c:pt>
              </c:strCache>
            </c:strRef>
          </c:tx>
          <c:spPr>
            <a:solidFill>
              <a:sysClr val="window" lastClr="FFFFFF">
                <a:lumMod val="65000"/>
              </a:sysClr>
            </a:solidFill>
            <a:ln>
              <a:noFill/>
            </a:ln>
            <a:effectLst/>
          </c:spPr>
          <c:invertIfNegative val="0"/>
          <c:cat>
            <c:strRef>
              <c:f>BSS!$BX$199:$BX$211</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BSS!$BY$85:$BY$97</c:f>
              <c:numCache>
                <c:formatCode>0.0</c:formatCode>
                <c:ptCount val="13"/>
                <c:pt idx="0">
                  <c:v>26.504999999999999</c:v>
                </c:pt>
                <c:pt idx="1">
                  <c:v>29.207000000000001</c:v>
                </c:pt>
                <c:pt idx="2">
                  <c:v>38.783999999999999</c:v>
                </c:pt>
                <c:pt idx="3">
                  <c:v>24.552</c:v>
                </c:pt>
                <c:pt idx="4">
                  <c:v>26.137</c:v>
                </c:pt>
                <c:pt idx="5">
                  <c:v>32.433</c:v>
                </c:pt>
                <c:pt idx="6">
                  <c:v>24.289000000000001</c:v>
                </c:pt>
                <c:pt idx="7">
                  <c:v>22.440999999999999</c:v>
                </c:pt>
                <c:pt idx="8">
                  <c:v>29.413</c:v>
                </c:pt>
                <c:pt idx="9">
                  <c:v>24.001999999999999</c:v>
                </c:pt>
                <c:pt idx="10">
                  <c:v>24.768000000000001</c:v>
                </c:pt>
                <c:pt idx="11">
                  <c:v>33.549999999999997</c:v>
                </c:pt>
                <c:pt idx="12">
                  <c:v>25.474</c:v>
                </c:pt>
              </c:numCache>
            </c:numRef>
          </c:val>
          <c:extLst>
            <c:ext xmlns:c16="http://schemas.microsoft.com/office/drawing/2014/chart" uri="{C3380CC4-5D6E-409C-BE32-E72D297353CC}">
              <c16:uniqueId val="{00000000-F157-4AF4-8DA6-C1CC823FA5D7}"/>
            </c:ext>
          </c:extLst>
        </c:ser>
        <c:dLbls>
          <c:showLegendKey val="0"/>
          <c:showVal val="0"/>
          <c:showCatName val="0"/>
          <c:showSerName val="0"/>
          <c:showPercent val="0"/>
          <c:showBubbleSize val="0"/>
        </c:dLbls>
        <c:gapWidth val="75"/>
        <c:overlap val="100"/>
        <c:axId val="761711408"/>
        <c:axId val="761712192"/>
      </c:barChart>
      <c:lineChart>
        <c:grouping val="standard"/>
        <c:varyColors val="0"/>
        <c:ser>
          <c:idx val="2"/>
          <c:order val="1"/>
          <c:tx>
            <c:strRef>
              <c:f>BSS!$BZ$84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BSS!$BX$85:$BX$97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BSS!$BZ$85:$BZ$97</c:f>
              <c:numCache>
                <c:formatCode>0%</c:formatCode>
                <c:ptCount val="13"/>
                <c:pt idx="0">
                  <c:v>0.05</c:v>
                </c:pt>
                <c:pt idx="1">
                  <c:v>0.05</c:v>
                </c:pt>
                <c:pt idx="2">
                  <c:v>0.05</c:v>
                </c:pt>
                <c:pt idx="3">
                  <c:v>0.05</c:v>
                </c:pt>
                <c:pt idx="4">
                  <c:v>0.05</c:v>
                </c:pt>
                <c:pt idx="5">
                  <c:v>0.05</c:v>
                </c:pt>
                <c:pt idx="6">
                  <c:v>0.05</c:v>
                </c:pt>
                <c:pt idx="7">
                  <c:v>0.05</c:v>
                </c:pt>
                <c:pt idx="8">
                  <c:v>0.05</c:v>
                </c:pt>
                <c:pt idx="9">
                  <c:v>0.05</c:v>
                </c:pt>
                <c:pt idx="10">
                  <c:v>0.05</c:v>
                </c:pt>
                <c:pt idx="11">
                  <c:v>0.05</c:v>
                </c:pt>
                <c:pt idx="12">
                  <c:v>0.05</c:v>
                </c:pt>
              </c:numCache>
            </c:numRef>
          </c:val>
          <c:smooth val="0"/>
          <c:extLst>
            <c:ext xmlns:c16="http://schemas.microsoft.com/office/drawing/2014/chart" uri="{C3380CC4-5D6E-409C-BE32-E72D297353CC}">
              <c16:uniqueId val="{00000001-F157-4AF4-8DA6-C1CC823FA5D7}"/>
            </c:ext>
          </c:extLst>
        </c:ser>
        <c:ser>
          <c:idx val="1"/>
          <c:order val="2"/>
          <c:tx>
            <c:strRef>
              <c:f>BSS!$CA$84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BSS!$BX$85:$BX$97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BSS!$CA$85:$CA$97</c:f>
              <c:numCache>
                <c:formatCode>0.0%</c:formatCode>
                <c:ptCount val="13"/>
                <c:pt idx="0">
                  <c:v>0.15887568383323902</c:v>
                </c:pt>
                <c:pt idx="1">
                  <c:v>0.15533947341390761</c:v>
                </c:pt>
                <c:pt idx="2">
                  <c:v>0.18672648514851486</c:v>
                </c:pt>
                <c:pt idx="3">
                  <c:v>7.8771586836102969E-2</c:v>
                </c:pt>
                <c:pt idx="4">
                  <c:v>4.2927650457206264E-2</c:v>
                </c:pt>
                <c:pt idx="5">
                  <c:v>2.6855363364474454E-2</c:v>
                </c:pt>
                <c:pt idx="6">
                  <c:v>2.8119724978385278E-2</c:v>
                </c:pt>
                <c:pt idx="7">
                  <c:v>2.361748585178914E-2</c:v>
                </c:pt>
                <c:pt idx="8">
                  <c:v>3.8962363580729603E-2</c:v>
                </c:pt>
                <c:pt idx="9">
                  <c:v>4.1829847512707276E-2</c:v>
                </c:pt>
                <c:pt idx="10">
                  <c:v>2.9836886304909559E-2</c:v>
                </c:pt>
                <c:pt idx="11">
                  <c:v>4.2146050670640839E-2</c:v>
                </c:pt>
                <c:pt idx="12">
                  <c:v>4.1022218732825626E-2</c:v>
                </c:pt>
              </c:numCache>
            </c:numRef>
          </c:val>
          <c:smooth val="0"/>
          <c:extLst>
            <c:ext xmlns:c16="http://schemas.microsoft.com/office/drawing/2014/chart" uri="{C3380CC4-5D6E-409C-BE32-E72D297353CC}">
              <c16:uniqueId val="{00000002-F157-4AF4-8DA6-C1CC823FA5D7}"/>
            </c:ext>
          </c:extLst>
        </c:ser>
        <c:dLbls>
          <c:showLegendKey val="0"/>
          <c:showVal val="0"/>
          <c:showCatName val="0"/>
          <c:showSerName val="0"/>
          <c:showPercent val="0"/>
          <c:showBubbleSize val="0"/>
        </c:dLbls>
        <c:marker val="1"/>
        <c:smooth val="0"/>
        <c:axId val="761705136"/>
        <c:axId val="761708272"/>
      </c:lineChart>
      <c:valAx>
        <c:axId val="761712192"/>
        <c:scaling>
          <c:orientation val="minMax"/>
          <c:max val="40"/>
          <c:min val="15"/>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Calls Offered in 1000s</a:t>
                </a:r>
              </a:p>
            </c:rich>
          </c:tx>
          <c:layout>
            <c:manualLayout>
              <c:xMode val="edge"/>
              <c:yMode val="edge"/>
              <c:x val="0.95586257062910085"/>
              <c:y val="0.30827507289787215"/>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1408"/>
        <c:crosses val="max"/>
        <c:crossBetween val="between"/>
      </c:valAx>
      <c:catAx>
        <c:axId val="761711408"/>
        <c:scaling>
          <c:orientation val="minMax"/>
        </c:scaling>
        <c:delete val="1"/>
        <c:axPos val="b"/>
        <c:numFmt formatCode="General" sourceLinked="1"/>
        <c:majorTickMark val="out"/>
        <c:minorTickMark val="none"/>
        <c:tickLblPos val="nextTo"/>
        <c:crossAx val="761712192"/>
        <c:crosses val="autoZero"/>
        <c:auto val="1"/>
        <c:lblAlgn val="ctr"/>
        <c:lblOffset val="100"/>
        <c:noMultiLvlLbl val="0"/>
      </c:catAx>
      <c:valAx>
        <c:axId val="761708272"/>
        <c:scaling>
          <c:orientation val="minMax"/>
          <c:max val="0.25"/>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a:t>
                </a:r>
                <a:r>
                  <a:rPr lang="en-US" baseline="0"/>
                  <a:t> Calls Abandoned</a:t>
                </a:r>
                <a:endParaRPr lang="en-US"/>
              </a:p>
            </c:rich>
          </c:tx>
          <c:layout>
            <c:manualLayout>
              <c:xMode val="edge"/>
              <c:yMode val="edge"/>
              <c:x val="2.6338162030207755E-2"/>
              <c:y val="0.28653684663896384"/>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05136"/>
        <c:crosses val="autoZero"/>
        <c:crossBetween val="between"/>
      </c:valAx>
      <c:catAx>
        <c:axId val="761705136"/>
        <c:scaling>
          <c:orientation val="minMax"/>
        </c:scaling>
        <c:delete val="1"/>
        <c:axPos val="b"/>
        <c:numFmt formatCode="General" sourceLinked="1"/>
        <c:majorTickMark val="out"/>
        <c:minorTickMark val="none"/>
        <c:tickLblPos val="nextTo"/>
        <c:crossAx val="76170827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Service Level % (60 sec)</a:t>
            </a:r>
          </a:p>
        </c:rich>
      </c:tx>
      <c:layout>
        <c:manualLayout>
          <c:xMode val="edge"/>
          <c:yMode val="edge"/>
          <c:x val="0.32779866996313117"/>
          <c:y val="8.441673684777269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BSS!$BY$103</c:f>
              <c:strCache>
                <c:ptCount val="1"/>
                <c:pt idx="0">
                  <c:v>Quantity</c:v>
                </c:pt>
              </c:strCache>
            </c:strRef>
          </c:tx>
          <c:spPr>
            <a:solidFill>
              <a:sysClr val="window" lastClr="FFFFFF">
                <a:lumMod val="65000"/>
              </a:sysClr>
            </a:solidFill>
            <a:ln>
              <a:noFill/>
            </a:ln>
            <a:effectLst/>
          </c:spPr>
          <c:invertIfNegative val="0"/>
          <c:cat>
            <c:strRef>
              <c:f>BSS!$BX$199:$BX$211</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BSS!$BY$104:$BY$116</c:f>
              <c:numCache>
                <c:formatCode>0.0</c:formatCode>
                <c:ptCount val="13"/>
                <c:pt idx="0">
                  <c:v>14.872</c:v>
                </c:pt>
                <c:pt idx="1">
                  <c:v>17.82</c:v>
                </c:pt>
                <c:pt idx="2">
                  <c:v>21.216000000000001</c:v>
                </c:pt>
                <c:pt idx="3">
                  <c:v>19.876999999999999</c:v>
                </c:pt>
                <c:pt idx="4">
                  <c:v>23.61</c:v>
                </c:pt>
                <c:pt idx="5">
                  <c:v>30.507000000000001</c:v>
                </c:pt>
                <c:pt idx="6">
                  <c:v>22.803000000000001</c:v>
                </c:pt>
                <c:pt idx="7">
                  <c:v>21.344000000000001</c:v>
                </c:pt>
                <c:pt idx="8">
                  <c:v>26.661000000000001</c:v>
                </c:pt>
                <c:pt idx="9">
                  <c:v>21.687000000000001</c:v>
                </c:pt>
                <c:pt idx="10">
                  <c:v>23.152000000000001</c:v>
                </c:pt>
                <c:pt idx="11">
                  <c:v>30.244</c:v>
                </c:pt>
                <c:pt idx="12">
                  <c:v>22.855</c:v>
                </c:pt>
              </c:numCache>
            </c:numRef>
          </c:val>
          <c:extLst>
            <c:ext xmlns:c16="http://schemas.microsoft.com/office/drawing/2014/chart" uri="{C3380CC4-5D6E-409C-BE32-E72D297353CC}">
              <c16:uniqueId val="{00000000-4D5F-4280-9C6C-0EA86C73EB4E}"/>
            </c:ext>
          </c:extLst>
        </c:ser>
        <c:dLbls>
          <c:showLegendKey val="0"/>
          <c:showVal val="0"/>
          <c:showCatName val="0"/>
          <c:showSerName val="0"/>
          <c:showPercent val="0"/>
          <c:showBubbleSize val="0"/>
        </c:dLbls>
        <c:gapWidth val="75"/>
        <c:overlap val="100"/>
        <c:axId val="761711408"/>
        <c:axId val="761712192"/>
      </c:barChart>
      <c:lineChart>
        <c:grouping val="standard"/>
        <c:varyColors val="0"/>
        <c:ser>
          <c:idx val="2"/>
          <c:order val="1"/>
          <c:tx>
            <c:strRef>
              <c:f>BSS!$BZ$103</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BSS!$BX$104:$BX$116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BSS!$BZ$104:$BZ$116</c:f>
              <c:numCache>
                <c:formatCode>0%</c:formatCode>
                <c:ptCount val="13"/>
                <c:pt idx="0">
                  <c:v>0.8</c:v>
                </c:pt>
                <c:pt idx="1">
                  <c:v>0.8</c:v>
                </c:pt>
                <c:pt idx="2">
                  <c:v>0.8</c:v>
                </c:pt>
                <c:pt idx="3">
                  <c:v>0.8</c:v>
                </c:pt>
                <c:pt idx="4">
                  <c:v>0.8</c:v>
                </c:pt>
                <c:pt idx="5">
                  <c:v>0.8</c:v>
                </c:pt>
                <c:pt idx="6">
                  <c:v>0.8</c:v>
                </c:pt>
                <c:pt idx="7">
                  <c:v>0.8</c:v>
                </c:pt>
                <c:pt idx="8">
                  <c:v>0.8</c:v>
                </c:pt>
                <c:pt idx="9">
                  <c:v>0.8</c:v>
                </c:pt>
                <c:pt idx="10">
                  <c:v>0.8</c:v>
                </c:pt>
                <c:pt idx="11">
                  <c:v>0.8</c:v>
                </c:pt>
                <c:pt idx="12">
                  <c:v>0.8</c:v>
                </c:pt>
              </c:numCache>
            </c:numRef>
          </c:val>
          <c:smooth val="0"/>
          <c:extLst>
            <c:ext xmlns:c16="http://schemas.microsoft.com/office/drawing/2014/chart" uri="{C3380CC4-5D6E-409C-BE32-E72D297353CC}">
              <c16:uniqueId val="{00000001-4D5F-4280-9C6C-0EA86C73EB4E}"/>
            </c:ext>
          </c:extLst>
        </c:ser>
        <c:ser>
          <c:idx val="1"/>
          <c:order val="2"/>
          <c:tx>
            <c:strRef>
              <c:f>BSS!$CA$103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4472C4">
                    <a:lumMod val="75000"/>
                  </a:srgbClr>
                </a:solidFill>
              </a:ln>
              <a:effectLst/>
            </c:spPr>
          </c:marker>
          <c:cat>
            <c:strRef>
              <c:f>BSS!$BX$104:$BX$116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BSS!$CA$104:$CA$116</c:f>
              <c:numCache>
                <c:formatCode>0.0%</c:formatCode>
                <c:ptCount val="13"/>
                <c:pt idx="0">
                  <c:v>0.62204142011834318</c:v>
                </c:pt>
                <c:pt idx="1">
                  <c:v>0.66818181818181821</c:v>
                </c:pt>
                <c:pt idx="2">
                  <c:v>0.71479072398190036</c:v>
                </c:pt>
                <c:pt idx="3">
                  <c:v>0.87523268098807661</c:v>
                </c:pt>
                <c:pt idx="4">
                  <c:v>0.9108852181279119</c:v>
                </c:pt>
                <c:pt idx="5">
                  <c:v>0.93040941423279899</c:v>
                </c:pt>
                <c:pt idx="6">
                  <c:v>0.9179493926237775</c:v>
                </c:pt>
                <c:pt idx="7">
                  <c:v>0.93337706146926536</c:v>
                </c:pt>
                <c:pt idx="8">
                  <c:v>0.88500056261955662</c:v>
                </c:pt>
                <c:pt idx="9">
                  <c:v>0.86964540969244242</c:v>
                </c:pt>
                <c:pt idx="10">
                  <c:v>0.90674671734623347</c:v>
                </c:pt>
                <c:pt idx="11">
                  <c:v>0.86403914826081207</c:v>
                </c:pt>
                <c:pt idx="12">
                  <c:v>0.86287464449792162</c:v>
                </c:pt>
              </c:numCache>
            </c:numRef>
          </c:val>
          <c:smooth val="0"/>
          <c:extLst>
            <c:ext xmlns:c16="http://schemas.microsoft.com/office/drawing/2014/chart" uri="{C3380CC4-5D6E-409C-BE32-E72D297353CC}">
              <c16:uniqueId val="{00000002-4D5F-4280-9C6C-0EA86C73EB4E}"/>
            </c:ext>
          </c:extLst>
        </c:ser>
        <c:dLbls>
          <c:showLegendKey val="0"/>
          <c:showVal val="0"/>
          <c:showCatName val="0"/>
          <c:showSerName val="0"/>
          <c:showPercent val="0"/>
          <c:showBubbleSize val="0"/>
        </c:dLbls>
        <c:marker val="1"/>
        <c:smooth val="0"/>
        <c:axId val="761705136"/>
        <c:axId val="761708272"/>
      </c:lineChart>
      <c:valAx>
        <c:axId val="761712192"/>
        <c:scaling>
          <c:orientation val="minMax"/>
          <c:max val="31"/>
          <c:min val="11"/>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Calls  Offered </a:t>
                </a:r>
                <a:r>
                  <a:rPr lang="en-US" baseline="0"/>
                  <a:t> </a:t>
                </a:r>
                <a:r>
                  <a:rPr lang="en-US"/>
                  <a:t>in 1000s</a:t>
                </a:r>
              </a:p>
            </c:rich>
          </c:tx>
          <c:layout>
            <c:manualLayout>
              <c:xMode val="edge"/>
              <c:yMode val="edge"/>
              <c:x val="0.96398175891730353"/>
              <c:y val="0.29221529127040935"/>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1408"/>
        <c:crosses val="max"/>
        <c:crossBetween val="between"/>
      </c:valAx>
      <c:catAx>
        <c:axId val="761711408"/>
        <c:scaling>
          <c:orientation val="minMax"/>
        </c:scaling>
        <c:delete val="1"/>
        <c:axPos val="b"/>
        <c:numFmt formatCode="General" sourceLinked="1"/>
        <c:majorTickMark val="out"/>
        <c:minorTickMark val="none"/>
        <c:tickLblPos val="nextTo"/>
        <c:crossAx val="761712192"/>
        <c:crosses val="autoZero"/>
        <c:auto val="1"/>
        <c:lblAlgn val="ctr"/>
        <c:lblOffset val="100"/>
        <c:noMultiLvlLbl val="0"/>
      </c:catAx>
      <c:valAx>
        <c:axId val="761708272"/>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Calls</a:t>
                </a:r>
                <a:r>
                  <a:rPr lang="en-US" baseline="0"/>
                  <a:t> answered in SLA</a:t>
                </a:r>
                <a:endParaRPr lang="en-US"/>
              </a:p>
            </c:rich>
          </c:tx>
          <c:layout>
            <c:manualLayout>
              <c:xMode val="edge"/>
              <c:yMode val="edge"/>
              <c:x val="1.7553712865537828E-2"/>
              <c:y val="0.2641912942700344"/>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05136"/>
        <c:crosses val="autoZero"/>
        <c:crossBetween val="between"/>
      </c:valAx>
      <c:catAx>
        <c:axId val="761705136"/>
        <c:scaling>
          <c:orientation val="minMax"/>
        </c:scaling>
        <c:delete val="1"/>
        <c:axPos val="b"/>
        <c:numFmt formatCode="General" sourceLinked="1"/>
        <c:majorTickMark val="out"/>
        <c:minorTickMark val="none"/>
        <c:tickLblPos val="nextTo"/>
        <c:crossAx val="76170827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Email Volume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0"/>
          <c:tx>
            <c:strRef>
              <c:f>BSS!$CI$776</c:f>
              <c:strCache>
                <c:ptCount val="1"/>
                <c:pt idx="0">
                  <c:v>iCare</c:v>
                </c:pt>
              </c:strCache>
            </c:strRef>
          </c:tx>
          <c:spPr>
            <a:solidFill>
              <a:schemeClr val="accent2"/>
            </a:solidFill>
            <a:ln>
              <a:noFill/>
            </a:ln>
            <a:effectLst/>
          </c:spPr>
          <c:invertIfNegative val="0"/>
          <c:cat>
            <c:strRef>
              <c:f>BSS!$CH$777:$CH$789</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BSS!$CI$777:$CI$789</c:f>
              <c:numCache>
                <c:formatCode>0</c:formatCode>
                <c:ptCount val="13"/>
                <c:pt idx="0">
                  <c:v>2954</c:v>
                </c:pt>
                <c:pt idx="1">
                  <c:v>1952</c:v>
                </c:pt>
                <c:pt idx="2">
                  <c:v>2787</c:v>
                </c:pt>
                <c:pt idx="3">
                  <c:v>2544</c:v>
                </c:pt>
                <c:pt idx="4">
                  <c:v>2535</c:v>
                </c:pt>
                <c:pt idx="5">
                  <c:v>3309</c:v>
                </c:pt>
                <c:pt idx="6">
                  <c:v>2370</c:v>
                </c:pt>
                <c:pt idx="7">
                  <c:v>2390</c:v>
                </c:pt>
                <c:pt idx="8">
                  <c:v>2628</c:v>
                </c:pt>
                <c:pt idx="9">
                  <c:v>2068</c:v>
                </c:pt>
                <c:pt idx="10">
                  <c:v>2139</c:v>
                </c:pt>
                <c:pt idx="11">
                  <c:v>3026</c:v>
                </c:pt>
                <c:pt idx="12">
                  <c:v>2269</c:v>
                </c:pt>
              </c:numCache>
            </c:numRef>
          </c:val>
          <c:extLst>
            <c:ext xmlns:c16="http://schemas.microsoft.com/office/drawing/2014/chart" uri="{C3380CC4-5D6E-409C-BE32-E72D297353CC}">
              <c16:uniqueId val="{00000000-CEB8-4230-A542-788CDC7EE1E0}"/>
            </c:ext>
          </c:extLst>
        </c:ser>
        <c:ser>
          <c:idx val="2"/>
          <c:order val="1"/>
          <c:tx>
            <c:strRef>
              <c:f>BSS!$CJ$776</c:f>
              <c:strCache>
                <c:ptCount val="1"/>
                <c:pt idx="0">
                  <c:v>MunchMail</c:v>
                </c:pt>
              </c:strCache>
            </c:strRef>
          </c:tx>
          <c:spPr>
            <a:solidFill>
              <a:schemeClr val="accent3"/>
            </a:solidFill>
            <a:ln>
              <a:noFill/>
            </a:ln>
            <a:effectLst/>
          </c:spPr>
          <c:invertIfNegative val="0"/>
          <c:cat>
            <c:strRef>
              <c:f>BSS!$CH$777:$CH$789</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BSS!$CJ$777:$CJ$789</c:f>
              <c:numCache>
                <c:formatCode>0</c:formatCode>
                <c:ptCount val="13"/>
                <c:pt idx="0">
                  <c:v>229</c:v>
                </c:pt>
                <c:pt idx="1">
                  <c:v>190</c:v>
                </c:pt>
                <c:pt idx="2">
                  <c:v>314</c:v>
                </c:pt>
                <c:pt idx="3">
                  <c:v>213</c:v>
                </c:pt>
                <c:pt idx="4">
                  <c:v>422</c:v>
                </c:pt>
                <c:pt idx="5">
                  <c:v>339</c:v>
                </c:pt>
                <c:pt idx="6">
                  <c:v>145</c:v>
                </c:pt>
                <c:pt idx="7">
                  <c:v>163</c:v>
                </c:pt>
                <c:pt idx="8">
                  <c:v>117</c:v>
                </c:pt>
                <c:pt idx="9">
                  <c:v>149</c:v>
                </c:pt>
                <c:pt idx="10">
                  <c:v>148</c:v>
                </c:pt>
                <c:pt idx="11">
                  <c:v>151</c:v>
                </c:pt>
                <c:pt idx="12">
                  <c:v>99</c:v>
                </c:pt>
              </c:numCache>
            </c:numRef>
          </c:val>
          <c:extLst>
            <c:ext xmlns:c16="http://schemas.microsoft.com/office/drawing/2014/chart" uri="{C3380CC4-5D6E-409C-BE32-E72D297353CC}">
              <c16:uniqueId val="{00000001-CEB8-4230-A542-788CDC7EE1E0}"/>
            </c:ext>
          </c:extLst>
        </c:ser>
        <c:ser>
          <c:idx val="3"/>
          <c:order val="2"/>
          <c:tx>
            <c:strRef>
              <c:f>BSS!$CK$776</c:f>
              <c:strCache>
                <c:ptCount val="1"/>
                <c:pt idx="0">
                  <c:v>US Open</c:v>
                </c:pt>
              </c:strCache>
            </c:strRef>
          </c:tx>
          <c:spPr>
            <a:solidFill>
              <a:schemeClr val="accent4"/>
            </a:solidFill>
            <a:ln>
              <a:noFill/>
            </a:ln>
            <a:effectLst/>
          </c:spPr>
          <c:invertIfNegative val="0"/>
          <c:cat>
            <c:strRef>
              <c:f>BSS!$CH$777:$CH$789</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BSS!$CK$777:$CK$789</c:f>
              <c:numCache>
                <c:formatCode>0</c:formatCode>
                <c:ptCount val="13"/>
                <c:pt idx="0">
                  <c:v>271</c:v>
                </c:pt>
                <c:pt idx="1">
                  <c:v>187</c:v>
                </c:pt>
                <c:pt idx="2">
                  <c:v>170</c:v>
                </c:pt>
                <c:pt idx="3">
                  <c:v>139</c:v>
                </c:pt>
                <c:pt idx="4">
                  <c:v>106</c:v>
                </c:pt>
                <c:pt idx="5">
                  <c:v>200</c:v>
                </c:pt>
                <c:pt idx="6">
                  <c:v>129</c:v>
                </c:pt>
                <c:pt idx="7">
                  <c:v>217</c:v>
                </c:pt>
                <c:pt idx="8">
                  <c:v>231</c:v>
                </c:pt>
                <c:pt idx="9">
                  <c:v>219</c:v>
                </c:pt>
                <c:pt idx="10">
                  <c:v>284</c:v>
                </c:pt>
                <c:pt idx="11">
                  <c:v>1167</c:v>
                </c:pt>
                <c:pt idx="12">
                  <c:v>80</c:v>
                </c:pt>
              </c:numCache>
            </c:numRef>
          </c:val>
          <c:extLst>
            <c:ext xmlns:c16="http://schemas.microsoft.com/office/drawing/2014/chart" uri="{C3380CC4-5D6E-409C-BE32-E72D297353CC}">
              <c16:uniqueId val="{00000002-CEB8-4230-A542-788CDC7EE1E0}"/>
            </c:ext>
          </c:extLst>
        </c:ser>
        <c:ser>
          <c:idx val="4"/>
          <c:order val="3"/>
          <c:tx>
            <c:strRef>
              <c:f>BSS!$CL$776</c:f>
              <c:strCache>
                <c:ptCount val="1"/>
                <c:pt idx="0">
                  <c:v>Spurs</c:v>
                </c:pt>
              </c:strCache>
            </c:strRef>
          </c:tx>
          <c:spPr>
            <a:solidFill>
              <a:schemeClr val="accent5"/>
            </a:solidFill>
            <a:ln>
              <a:noFill/>
            </a:ln>
            <a:effectLst/>
          </c:spPr>
          <c:invertIfNegative val="0"/>
          <c:cat>
            <c:strRef>
              <c:f>BSS!$CH$777:$CH$789</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BSS!$CL$777:$CL$789</c:f>
              <c:numCache>
                <c:formatCode>0</c:formatCode>
                <c:ptCount val="13"/>
                <c:pt idx="0">
                  <c:v>126</c:v>
                </c:pt>
                <c:pt idx="1">
                  <c:v>606</c:v>
                </c:pt>
                <c:pt idx="2">
                  <c:v>1365</c:v>
                </c:pt>
                <c:pt idx="3">
                  <c:v>1009</c:v>
                </c:pt>
                <c:pt idx="4">
                  <c:v>677</c:v>
                </c:pt>
                <c:pt idx="5">
                  <c:v>1215</c:v>
                </c:pt>
                <c:pt idx="6">
                  <c:v>608</c:v>
                </c:pt>
                <c:pt idx="7">
                  <c:v>669</c:v>
                </c:pt>
                <c:pt idx="8">
                  <c:v>761</c:v>
                </c:pt>
                <c:pt idx="9">
                  <c:v>655</c:v>
                </c:pt>
                <c:pt idx="10">
                  <c:v>459</c:v>
                </c:pt>
                <c:pt idx="11">
                  <c:v>440</c:v>
                </c:pt>
                <c:pt idx="12">
                  <c:v>464</c:v>
                </c:pt>
              </c:numCache>
            </c:numRef>
          </c:val>
          <c:extLst>
            <c:ext xmlns:c16="http://schemas.microsoft.com/office/drawing/2014/chart" uri="{C3380CC4-5D6E-409C-BE32-E72D297353CC}">
              <c16:uniqueId val="{00000003-CEB8-4230-A542-788CDC7EE1E0}"/>
            </c:ext>
          </c:extLst>
        </c:ser>
        <c:ser>
          <c:idx val="5"/>
          <c:order val="4"/>
          <c:tx>
            <c:strRef>
              <c:f>BSS!$CM$776</c:f>
              <c:strCache>
                <c:ptCount val="1"/>
                <c:pt idx="0">
                  <c:v>Sharks</c:v>
                </c:pt>
              </c:strCache>
            </c:strRef>
          </c:tx>
          <c:spPr>
            <a:solidFill>
              <a:schemeClr val="accent6"/>
            </a:solidFill>
            <a:ln>
              <a:noFill/>
            </a:ln>
            <a:effectLst/>
          </c:spPr>
          <c:invertIfNegative val="0"/>
          <c:cat>
            <c:strRef>
              <c:f>BSS!$CH$777:$CH$789</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BSS!$CM$777:$CM$789</c:f>
              <c:numCache>
                <c:formatCode>0</c:formatCode>
                <c:ptCount val="13"/>
                <c:pt idx="0">
                  <c:v>129</c:v>
                </c:pt>
                <c:pt idx="1">
                  <c:v>367</c:v>
                </c:pt>
                <c:pt idx="2">
                  <c:v>1204</c:v>
                </c:pt>
                <c:pt idx="3">
                  <c:v>498</c:v>
                </c:pt>
                <c:pt idx="4">
                  <c:v>463</c:v>
                </c:pt>
                <c:pt idx="5">
                  <c:v>1053</c:v>
                </c:pt>
                <c:pt idx="6">
                  <c:v>595</c:v>
                </c:pt>
                <c:pt idx="7">
                  <c:v>492</c:v>
                </c:pt>
                <c:pt idx="8">
                  <c:v>370</c:v>
                </c:pt>
                <c:pt idx="9">
                  <c:v>299</c:v>
                </c:pt>
                <c:pt idx="10">
                  <c:v>260</c:v>
                </c:pt>
                <c:pt idx="11">
                  <c:v>310</c:v>
                </c:pt>
                <c:pt idx="12">
                  <c:v>268</c:v>
                </c:pt>
              </c:numCache>
            </c:numRef>
          </c:val>
          <c:extLst>
            <c:ext xmlns:c16="http://schemas.microsoft.com/office/drawing/2014/chart" uri="{C3380CC4-5D6E-409C-BE32-E72D297353CC}">
              <c16:uniqueId val="{00000004-CEB8-4230-A542-788CDC7EE1E0}"/>
            </c:ext>
          </c:extLst>
        </c:ser>
        <c:ser>
          <c:idx val="6"/>
          <c:order val="5"/>
          <c:tx>
            <c:strRef>
              <c:f>BSS!$CN$776</c:f>
              <c:strCache>
                <c:ptCount val="1"/>
                <c:pt idx="0">
                  <c:v>Contact Us</c:v>
                </c:pt>
              </c:strCache>
            </c:strRef>
          </c:tx>
          <c:spPr>
            <a:solidFill>
              <a:schemeClr val="accent1">
                <a:lumMod val="60000"/>
              </a:schemeClr>
            </a:solidFill>
            <a:ln>
              <a:noFill/>
            </a:ln>
            <a:effectLst/>
          </c:spPr>
          <c:invertIfNegative val="0"/>
          <c:cat>
            <c:strRef>
              <c:f>BSS!$CH$777:$CH$789</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BSS!$CN$777:$CN$789</c:f>
              <c:numCache>
                <c:formatCode>0</c:formatCode>
                <c:ptCount val="13"/>
                <c:pt idx="0">
                  <c:v>1125</c:v>
                </c:pt>
                <c:pt idx="1">
                  <c:v>1356</c:v>
                </c:pt>
                <c:pt idx="2">
                  <c:v>1794</c:v>
                </c:pt>
                <c:pt idx="3">
                  <c:v>1281</c:v>
                </c:pt>
                <c:pt idx="4">
                  <c:v>1481</c:v>
                </c:pt>
                <c:pt idx="5">
                  <c:v>1191</c:v>
                </c:pt>
                <c:pt idx="6">
                  <c:v>806</c:v>
                </c:pt>
                <c:pt idx="7">
                  <c:v>632</c:v>
                </c:pt>
                <c:pt idx="8">
                  <c:v>807</c:v>
                </c:pt>
                <c:pt idx="9">
                  <c:v>577</c:v>
                </c:pt>
                <c:pt idx="10">
                  <c:v>690</c:v>
                </c:pt>
                <c:pt idx="11">
                  <c:v>795</c:v>
                </c:pt>
                <c:pt idx="12">
                  <c:v>813</c:v>
                </c:pt>
              </c:numCache>
            </c:numRef>
          </c:val>
          <c:extLst>
            <c:ext xmlns:c16="http://schemas.microsoft.com/office/drawing/2014/chart" uri="{C3380CC4-5D6E-409C-BE32-E72D297353CC}">
              <c16:uniqueId val="{00000005-CEB8-4230-A542-788CDC7EE1E0}"/>
            </c:ext>
          </c:extLst>
        </c:ser>
        <c:ser>
          <c:idx val="0"/>
          <c:order val="6"/>
          <c:tx>
            <c:strRef>
              <c:f>BSS!$CO$776</c:f>
              <c:strCache>
                <c:ptCount val="1"/>
                <c:pt idx="0">
                  <c:v>Facilities</c:v>
                </c:pt>
              </c:strCache>
            </c:strRef>
          </c:tx>
          <c:spPr>
            <a:solidFill>
              <a:schemeClr val="accent1"/>
            </a:solidFill>
            <a:ln>
              <a:noFill/>
            </a:ln>
            <a:effectLst/>
          </c:spPr>
          <c:invertIfNegative val="0"/>
          <c:cat>
            <c:strRef>
              <c:f>BSS!$CH$777:$CH$789</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BSS!$CO$777:$CO$789</c:f>
              <c:numCache>
                <c:formatCode>0</c:formatCode>
                <c:ptCount val="13"/>
                <c:pt idx="0">
                  <c:v>5963</c:v>
                </c:pt>
                <c:pt idx="1">
                  <c:v>6745</c:v>
                </c:pt>
                <c:pt idx="2">
                  <c:v>9139</c:v>
                </c:pt>
                <c:pt idx="3">
                  <c:v>6658</c:v>
                </c:pt>
                <c:pt idx="4">
                  <c:v>7865</c:v>
                </c:pt>
                <c:pt idx="5">
                  <c:v>11175</c:v>
                </c:pt>
                <c:pt idx="6">
                  <c:v>8812</c:v>
                </c:pt>
                <c:pt idx="7">
                  <c:v>8744</c:v>
                </c:pt>
                <c:pt idx="8">
                  <c:v>11065</c:v>
                </c:pt>
                <c:pt idx="9">
                  <c:v>7763</c:v>
                </c:pt>
                <c:pt idx="10">
                  <c:v>9075</c:v>
                </c:pt>
                <c:pt idx="11">
                  <c:v>11918</c:v>
                </c:pt>
                <c:pt idx="12">
                  <c:v>10065</c:v>
                </c:pt>
              </c:numCache>
            </c:numRef>
          </c:val>
          <c:extLst>
            <c:ext xmlns:c16="http://schemas.microsoft.com/office/drawing/2014/chart" uri="{C3380CC4-5D6E-409C-BE32-E72D297353CC}">
              <c16:uniqueId val="{00000000-46DB-44B0-BDFB-BB6A56BCB5B7}"/>
            </c:ext>
          </c:extLst>
        </c:ser>
        <c:dLbls>
          <c:showLegendKey val="0"/>
          <c:showVal val="0"/>
          <c:showCatName val="0"/>
          <c:showSerName val="0"/>
          <c:showPercent val="0"/>
          <c:showBubbleSize val="0"/>
        </c:dLbls>
        <c:gapWidth val="150"/>
        <c:overlap val="100"/>
        <c:axId val="518372847"/>
        <c:axId val="518382831"/>
        <c:extLst/>
      </c:barChart>
      <c:catAx>
        <c:axId val="51837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382831"/>
        <c:crosses val="autoZero"/>
        <c:auto val="1"/>
        <c:lblAlgn val="ctr"/>
        <c:lblOffset val="100"/>
        <c:noMultiLvlLbl val="0"/>
      </c:catAx>
      <c:valAx>
        <c:axId val="518382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Email Ct </a:t>
                </a:r>
              </a:p>
            </c:rich>
          </c:tx>
          <c:layout>
            <c:manualLayout>
              <c:xMode val="edge"/>
              <c:yMode val="edge"/>
              <c:x val="6.3999989249345635E-3"/>
              <c:y val="0.28664078448527269"/>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3728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Satisfaction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CC!$BY$25</c:f>
              <c:strCache>
                <c:ptCount val="1"/>
                <c:pt idx="0">
                  <c:v>Quantity</c:v>
                </c:pt>
              </c:strCache>
            </c:strRef>
          </c:tx>
          <c:spPr>
            <a:solidFill>
              <a:schemeClr val="bg1">
                <a:lumMod val="65000"/>
              </a:schemeClr>
            </a:solidFill>
            <a:ln>
              <a:noFill/>
            </a:ln>
            <a:effectLst/>
          </c:spPr>
          <c:invertIfNegative val="0"/>
          <c:cat>
            <c:strRef>
              <c:f>CC!$BX$26:$BX$38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CC!$BY$26:$BY$38</c:f>
              <c:numCache>
                <c:formatCode>0.0</c:formatCode>
                <c:ptCount val="13"/>
                <c:pt idx="0">
                  <c:v>0.88600000000000001</c:v>
                </c:pt>
                <c:pt idx="1">
                  <c:v>0.76800000000000002</c:v>
                </c:pt>
                <c:pt idx="2">
                  <c:v>1.0229999999999999</c:v>
                </c:pt>
                <c:pt idx="3">
                  <c:v>0.91500000000000004</c:v>
                </c:pt>
                <c:pt idx="4">
                  <c:v>1.1839999999999999</c:v>
                </c:pt>
                <c:pt idx="5">
                  <c:v>1.4</c:v>
                </c:pt>
                <c:pt idx="6">
                  <c:v>8.81</c:v>
                </c:pt>
                <c:pt idx="7">
                  <c:v>6.51</c:v>
                </c:pt>
                <c:pt idx="8">
                  <c:v>3.41</c:v>
                </c:pt>
                <c:pt idx="9">
                  <c:v>3.32</c:v>
                </c:pt>
                <c:pt idx="10">
                  <c:v>3.38</c:v>
                </c:pt>
                <c:pt idx="11">
                  <c:v>5.62</c:v>
                </c:pt>
                <c:pt idx="12">
                  <c:v>0</c:v>
                </c:pt>
              </c:numCache>
            </c:numRef>
          </c:val>
          <c:extLst>
            <c:ext xmlns:c16="http://schemas.microsoft.com/office/drawing/2014/chart" uri="{C3380CC4-5D6E-409C-BE32-E72D297353CC}">
              <c16:uniqueId val="{00000000-ABDC-479B-B27E-95FB3580DA3B}"/>
            </c:ext>
          </c:extLst>
        </c:ser>
        <c:dLbls>
          <c:showLegendKey val="0"/>
          <c:showVal val="0"/>
          <c:showCatName val="0"/>
          <c:showSerName val="0"/>
          <c:showPercent val="0"/>
          <c:showBubbleSize val="0"/>
        </c:dLbls>
        <c:gapWidth val="75"/>
        <c:overlap val="100"/>
        <c:axId val="761710624"/>
        <c:axId val="761709056"/>
      </c:barChart>
      <c:lineChart>
        <c:grouping val="standard"/>
        <c:varyColors val="0"/>
        <c:ser>
          <c:idx val="2"/>
          <c:order val="1"/>
          <c:tx>
            <c:strRef>
              <c:f>CC!$BZ$25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CC!$BX$26:$BX$38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CC!$BZ$26:$BZ$38</c:f>
              <c:numCache>
                <c:formatCode>0.0%</c:formatCode>
                <c:ptCount val="13"/>
                <c:pt idx="0">
                  <c:v>0.9</c:v>
                </c:pt>
                <c:pt idx="1">
                  <c:v>0.9</c:v>
                </c:pt>
                <c:pt idx="2">
                  <c:v>0.9</c:v>
                </c:pt>
                <c:pt idx="3">
                  <c:v>0.9</c:v>
                </c:pt>
                <c:pt idx="4">
                  <c:v>0.9</c:v>
                </c:pt>
                <c:pt idx="5">
                  <c:v>0.9</c:v>
                </c:pt>
                <c:pt idx="6">
                  <c:v>0.9</c:v>
                </c:pt>
                <c:pt idx="7">
                  <c:v>0.9</c:v>
                </c:pt>
                <c:pt idx="8">
                  <c:v>0.9</c:v>
                </c:pt>
                <c:pt idx="9">
                  <c:v>0.9</c:v>
                </c:pt>
                <c:pt idx="10">
                  <c:v>0.9</c:v>
                </c:pt>
                <c:pt idx="11">
                  <c:v>0.9</c:v>
                </c:pt>
                <c:pt idx="12">
                  <c:v>0.9</c:v>
                </c:pt>
              </c:numCache>
            </c:numRef>
          </c:val>
          <c:smooth val="0"/>
          <c:extLst>
            <c:ext xmlns:c16="http://schemas.microsoft.com/office/drawing/2014/chart" uri="{C3380CC4-5D6E-409C-BE32-E72D297353CC}">
              <c16:uniqueId val="{00000001-ABDC-479B-B27E-95FB3580DA3B}"/>
            </c:ext>
          </c:extLst>
        </c:ser>
        <c:ser>
          <c:idx val="1"/>
          <c:order val="2"/>
          <c:tx>
            <c:strRef>
              <c:f>CC!$CA$25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CC!$BX$26:$BX$38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CC!$CA$26:$CA$38</c:f>
              <c:numCache>
                <c:formatCode>0.0%</c:formatCode>
                <c:ptCount val="13"/>
                <c:pt idx="0">
                  <c:v>0.96681715575620775</c:v>
                </c:pt>
                <c:pt idx="1">
                  <c:v>0.9692708333333333</c:v>
                </c:pt>
                <c:pt idx="2">
                  <c:v>0.96520039100684274</c:v>
                </c:pt>
                <c:pt idx="3">
                  <c:v>0.96939890710382515</c:v>
                </c:pt>
                <c:pt idx="4">
                  <c:v>0.95439189189189189</c:v>
                </c:pt>
                <c:pt idx="5">
                  <c:v>0.95628571428571429</c:v>
                </c:pt>
                <c:pt idx="6">
                  <c:v>0.95073779795686708</c:v>
                </c:pt>
                <c:pt idx="7">
                  <c:v>0.94039938556067593</c:v>
                </c:pt>
                <c:pt idx="8">
                  <c:v>0.94017595307917878</c:v>
                </c:pt>
                <c:pt idx="9">
                  <c:v>0.96144578313253026</c:v>
                </c:pt>
                <c:pt idx="10">
                  <c:v>0.96331360946745559</c:v>
                </c:pt>
                <c:pt idx="11">
                  <c:v>0.94483985765124545</c:v>
                </c:pt>
                <c:pt idx="12">
                  <c:v>#N/A</c:v>
                </c:pt>
              </c:numCache>
            </c:numRef>
          </c:val>
          <c:smooth val="0"/>
          <c:extLst>
            <c:ext xmlns:c16="http://schemas.microsoft.com/office/drawing/2014/chart" uri="{C3380CC4-5D6E-409C-BE32-E72D297353CC}">
              <c16:uniqueId val="{00000002-ABDC-479B-B27E-95FB3580DA3B}"/>
            </c:ext>
          </c:extLst>
        </c:ser>
        <c:dLbls>
          <c:showLegendKey val="0"/>
          <c:showVal val="0"/>
          <c:showCatName val="0"/>
          <c:showSerName val="0"/>
          <c:showPercent val="0"/>
          <c:showBubbleSize val="0"/>
        </c:dLbls>
        <c:marker val="1"/>
        <c:smooth val="0"/>
        <c:axId val="761721600"/>
        <c:axId val="761711016"/>
      </c:lineChart>
      <c:valAx>
        <c:axId val="76170905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Surveys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0624"/>
        <c:crosses val="max"/>
        <c:crossBetween val="between"/>
      </c:valAx>
      <c:catAx>
        <c:axId val="761710624"/>
        <c:scaling>
          <c:orientation val="minMax"/>
        </c:scaling>
        <c:delete val="1"/>
        <c:axPos val="b"/>
        <c:numFmt formatCode="General" sourceLinked="1"/>
        <c:majorTickMark val="out"/>
        <c:minorTickMark val="none"/>
        <c:tickLblPos val="nextTo"/>
        <c:crossAx val="761709056"/>
        <c:crosses val="autoZero"/>
        <c:auto val="1"/>
        <c:lblAlgn val="ctr"/>
        <c:lblOffset val="100"/>
        <c:noMultiLvlLbl val="0"/>
      </c:catAx>
      <c:valAx>
        <c:axId val="76171101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Favorable Surveys</a:t>
                </a:r>
              </a:p>
            </c:rich>
          </c:tx>
          <c:layout>
            <c:manualLayout>
              <c:xMode val="edge"/>
              <c:yMode val="edge"/>
              <c:x val="3.2096171802054152E-2"/>
              <c:y val="0.19807594291539249"/>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1600"/>
        <c:crosses val="autoZero"/>
        <c:crossBetween val="between"/>
      </c:valAx>
      <c:catAx>
        <c:axId val="761721600"/>
        <c:scaling>
          <c:orientation val="minMax"/>
        </c:scaling>
        <c:delete val="1"/>
        <c:axPos val="b"/>
        <c:numFmt formatCode="General" sourceLinked="1"/>
        <c:majorTickMark val="out"/>
        <c:minorTickMark val="none"/>
        <c:tickLblPos val="nextTo"/>
        <c:crossAx val="76171101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Service Level % (60 sec)</a:t>
            </a:r>
          </a:p>
        </c:rich>
      </c:tx>
      <c:layout>
        <c:manualLayout>
          <c:xMode val="edge"/>
          <c:yMode val="edge"/>
          <c:x val="0.31183372299050854"/>
          <c:y val="1.27420998980632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CC!$BY$82</c:f>
              <c:strCache>
                <c:ptCount val="1"/>
                <c:pt idx="0">
                  <c:v>Quantity</c:v>
                </c:pt>
              </c:strCache>
            </c:strRef>
          </c:tx>
          <c:spPr>
            <a:solidFill>
              <a:schemeClr val="bg1">
                <a:lumMod val="65000"/>
              </a:schemeClr>
            </a:solidFill>
            <a:ln>
              <a:noFill/>
            </a:ln>
            <a:effectLst/>
          </c:spPr>
          <c:invertIfNegative val="0"/>
          <c:cat>
            <c:strRef>
              <c:f>CC!$BX$83:$BX$95</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CC!$BY$83:$BY$95</c:f>
              <c:numCache>
                <c:formatCode>0.0</c:formatCode>
                <c:ptCount val="13"/>
                <c:pt idx="0">
                  <c:v>3.9369999999999998</c:v>
                </c:pt>
                <c:pt idx="1">
                  <c:v>3.4710000000000001</c:v>
                </c:pt>
                <c:pt idx="2">
                  <c:v>4.173</c:v>
                </c:pt>
                <c:pt idx="3">
                  <c:v>3.5640000000000001</c:v>
                </c:pt>
                <c:pt idx="4">
                  <c:v>3.7490000000000001</c:v>
                </c:pt>
                <c:pt idx="5">
                  <c:v>4.5869999999999997</c:v>
                </c:pt>
                <c:pt idx="6">
                  <c:v>3.5150000000000001</c:v>
                </c:pt>
                <c:pt idx="7">
                  <c:v>2.8</c:v>
                </c:pt>
                <c:pt idx="8">
                  <c:v>1.1359999999999999</c:v>
                </c:pt>
                <c:pt idx="9">
                  <c:v>0.82299999999999995</c:v>
                </c:pt>
                <c:pt idx="10">
                  <c:v>0.89</c:v>
                </c:pt>
                <c:pt idx="11">
                  <c:v>1.9390000000000001</c:v>
                </c:pt>
                <c:pt idx="12">
                  <c:v>0</c:v>
                </c:pt>
              </c:numCache>
            </c:numRef>
          </c:val>
          <c:extLst>
            <c:ext xmlns:c16="http://schemas.microsoft.com/office/drawing/2014/chart" uri="{C3380CC4-5D6E-409C-BE32-E72D297353CC}">
              <c16:uniqueId val="{00000000-6C45-4084-9316-59E66ED72641}"/>
            </c:ext>
          </c:extLst>
        </c:ser>
        <c:dLbls>
          <c:showLegendKey val="0"/>
          <c:showVal val="0"/>
          <c:showCatName val="0"/>
          <c:showSerName val="0"/>
          <c:showPercent val="0"/>
          <c:showBubbleSize val="0"/>
        </c:dLbls>
        <c:gapWidth val="75"/>
        <c:overlap val="100"/>
        <c:axId val="761718856"/>
        <c:axId val="761722776"/>
      </c:barChart>
      <c:lineChart>
        <c:grouping val="standard"/>
        <c:varyColors val="0"/>
        <c:ser>
          <c:idx val="2"/>
          <c:order val="1"/>
          <c:tx>
            <c:strRef>
              <c:f>CC!$BZ$82</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CC!$BX$83:$BX$95</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CC!$BZ$83:$BZ$95</c:f>
              <c:numCache>
                <c:formatCode>0.0%</c:formatCode>
                <c:ptCount val="13"/>
                <c:pt idx="0">
                  <c:v>0.8</c:v>
                </c:pt>
                <c:pt idx="1">
                  <c:v>0.8</c:v>
                </c:pt>
                <c:pt idx="2">
                  <c:v>0.8</c:v>
                </c:pt>
                <c:pt idx="3">
                  <c:v>0.8</c:v>
                </c:pt>
                <c:pt idx="4">
                  <c:v>0.8</c:v>
                </c:pt>
                <c:pt idx="5">
                  <c:v>0.8</c:v>
                </c:pt>
                <c:pt idx="6">
                  <c:v>0.8</c:v>
                </c:pt>
                <c:pt idx="7">
                  <c:v>0.8</c:v>
                </c:pt>
                <c:pt idx="8">
                  <c:v>0.8</c:v>
                </c:pt>
                <c:pt idx="9">
                  <c:v>0.8</c:v>
                </c:pt>
                <c:pt idx="10">
                  <c:v>0.8</c:v>
                </c:pt>
                <c:pt idx="11">
                  <c:v>0.8</c:v>
                </c:pt>
                <c:pt idx="12">
                  <c:v>0.8</c:v>
                </c:pt>
              </c:numCache>
            </c:numRef>
          </c:val>
          <c:smooth val="0"/>
          <c:extLst>
            <c:ext xmlns:c16="http://schemas.microsoft.com/office/drawing/2014/chart" uri="{C3380CC4-5D6E-409C-BE32-E72D297353CC}">
              <c16:uniqueId val="{00000001-6C45-4084-9316-59E66ED72641}"/>
            </c:ext>
          </c:extLst>
        </c:ser>
        <c:ser>
          <c:idx val="1"/>
          <c:order val="2"/>
          <c:tx>
            <c:strRef>
              <c:f>CC!$CA$82</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CC!$BX$83:$BX$95</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CC!$CA$83:$CA$95</c:f>
              <c:numCache>
                <c:formatCode>0.0%</c:formatCode>
                <c:ptCount val="13"/>
                <c:pt idx="0">
                  <c:v>0.96266192532385064</c:v>
                </c:pt>
                <c:pt idx="1">
                  <c:v>0.9709017574186114</c:v>
                </c:pt>
                <c:pt idx="2">
                  <c:v>0.9618979151689433</c:v>
                </c:pt>
                <c:pt idx="3">
                  <c:v>0.95735129068462399</c:v>
                </c:pt>
                <c:pt idx="4">
                  <c:v>0.95252067217924785</c:v>
                </c:pt>
                <c:pt idx="5">
                  <c:v>0.97274907346849793</c:v>
                </c:pt>
                <c:pt idx="6">
                  <c:v>0.97524893314366989</c:v>
                </c:pt>
                <c:pt idx="7">
                  <c:v>0.96607142857142869</c:v>
                </c:pt>
                <c:pt idx="8">
                  <c:v>0.98855633802816911</c:v>
                </c:pt>
                <c:pt idx="9">
                  <c:v>0.96476306196840833</c:v>
                </c:pt>
                <c:pt idx="10">
                  <c:v>0.96741573033707862</c:v>
                </c:pt>
                <c:pt idx="11">
                  <c:v>0.92882929345023202</c:v>
                </c:pt>
                <c:pt idx="12">
                  <c:v>#N/A</c:v>
                </c:pt>
              </c:numCache>
            </c:numRef>
          </c:val>
          <c:smooth val="0"/>
          <c:extLst>
            <c:ext xmlns:c16="http://schemas.microsoft.com/office/drawing/2014/chart" uri="{C3380CC4-5D6E-409C-BE32-E72D297353CC}">
              <c16:uniqueId val="{00000002-6C45-4084-9316-59E66ED72641}"/>
            </c:ext>
          </c:extLst>
        </c:ser>
        <c:dLbls>
          <c:showLegendKey val="0"/>
          <c:showVal val="0"/>
          <c:showCatName val="0"/>
          <c:showSerName val="0"/>
          <c:showPercent val="0"/>
          <c:showBubbleSize val="0"/>
        </c:dLbls>
        <c:marker val="1"/>
        <c:smooth val="0"/>
        <c:axId val="761714152"/>
        <c:axId val="761712976"/>
      </c:lineChart>
      <c:valAx>
        <c:axId val="761722776"/>
        <c:scaling>
          <c:orientation val="minMax"/>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Calls Handled in 1000s</a:t>
                </a:r>
              </a:p>
            </c:rich>
          </c:tx>
          <c:layout>
            <c:manualLayout>
              <c:xMode val="edge"/>
              <c:yMode val="edge"/>
              <c:x val="0.95023417976952795"/>
              <c:y val="0.16622069317023447"/>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8856"/>
        <c:crosses val="max"/>
        <c:crossBetween val="between"/>
      </c:valAx>
      <c:catAx>
        <c:axId val="761718856"/>
        <c:scaling>
          <c:orientation val="minMax"/>
        </c:scaling>
        <c:delete val="1"/>
        <c:axPos val="b"/>
        <c:numFmt formatCode="General" sourceLinked="1"/>
        <c:majorTickMark val="out"/>
        <c:minorTickMark val="none"/>
        <c:tickLblPos val="nextTo"/>
        <c:crossAx val="761722776"/>
        <c:crosses val="autoZero"/>
        <c:auto val="1"/>
        <c:lblAlgn val="ctr"/>
        <c:lblOffset val="100"/>
        <c:noMultiLvlLbl val="0"/>
      </c:catAx>
      <c:valAx>
        <c:axId val="76171297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Service Level %</a:t>
                </a:r>
              </a:p>
            </c:rich>
          </c:tx>
          <c:layout>
            <c:manualLayout>
              <c:xMode val="edge"/>
              <c:yMode val="edge"/>
              <c:x val="3.2096171802054152E-2"/>
              <c:y val="0.24685761756844615"/>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4152"/>
        <c:crosses val="autoZero"/>
        <c:crossBetween val="between"/>
      </c:valAx>
      <c:catAx>
        <c:axId val="761714152"/>
        <c:scaling>
          <c:orientation val="minMax"/>
        </c:scaling>
        <c:delete val="1"/>
        <c:axPos val="b"/>
        <c:numFmt formatCode="General" sourceLinked="1"/>
        <c:majorTickMark val="out"/>
        <c:minorTickMark val="none"/>
        <c:tickLblPos val="nextTo"/>
        <c:crossAx val="76171297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Answer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CC!$BY$44</c:f>
              <c:strCache>
                <c:ptCount val="1"/>
                <c:pt idx="0">
                  <c:v>Quantity</c:v>
                </c:pt>
              </c:strCache>
            </c:strRef>
          </c:tx>
          <c:spPr>
            <a:solidFill>
              <a:schemeClr val="bg1">
                <a:lumMod val="65000"/>
              </a:schemeClr>
            </a:solidFill>
            <a:ln>
              <a:noFill/>
            </a:ln>
            <a:effectLst/>
          </c:spPr>
          <c:invertIfNegative val="0"/>
          <c:cat>
            <c:strRef>
              <c:f>CC!$BX$45:$BX$57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CC!$BY$45:$BY$57</c:f>
              <c:numCache>
                <c:formatCode>0.0</c:formatCode>
                <c:ptCount val="13"/>
                <c:pt idx="0">
                  <c:v>3.9769999999999999</c:v>
                </c:pt>
                <c:pt idx="1">
                  <c:v>3.6230000000000002</c:v>
                </c:pt>
                <c:pt idx="2">
                  <c:v>4.173</c:v>
                </c:pt>
                <c:pt idx="3">
                  <c:v>3.5640000000000001</c:v>
                </c:pt>
                <c:pt idx="4">
                  <c:v>3.7490000000000001</c:v>
                </c:pt>
                <c:pt idx="5">
                  <c:v>4.5869999999999997</c:v>
                </c:pt>
                <c:pt idx="6">
                  <c:v>3.5150000000000001</c:v>
                </c:pt>
                <c:pt idx="7">
                  <c:v>2.8</c:v>
                </c:pt>
                <c:pt idx="8">
                  <c:v>1.1359999999999999</c:v>
                </c:pt>
                <c:pt idx="9">
                  <c:v>0.82299999999999995</c:v>
                </c:pt>
                <c:pt idx="10">
                  <c:v>0.89</c:v>
                </c:pt>
                <c:pt idx="11">
                  <c:v>1.9390000000000001</c:v>
                </c:pt>
                <c:pt idx="12">
                  <c:v>0</c:v>
                </c:pt>
              </c:numCache>
            </c:numRef>
          </c:val>
          <c:extLst>
            <c:ext xmlns:c16="http://schemas.microsoft.com/office/drawing/2014/chart" uri="{C3380CC4-5D6E-409C-BE32-E72D297353CC}">
              <c16:uniqueId val="{00000000-2E1D-4718-8C58-38C7E0C9E960}"/>
            </c:ext>
          </c:extLst>
        </c:ser>
        <c:dLbls>
          <c:showLegendKey val="0"/>
          <c:showVal val="0"/>
          <c:showCatName val="0"/>
          <c:showSerName val="0"/>
          <c:showPercent val="0"/>
          <c:showBubbleSize val="0"/>
        </c:dLbls>
        <c:gapWidth val="75"/>
        <c:overlap val="100"/>
        <c:axId val="761720424"/>
        <c:axId val="761721992"/>
      </c:barChart>
      <c:lineChart>
        <c:grouping val="standard"/>
        <c:varyColors val="0"/>
        <c:ser>
          <c:idx val="2"/>
          <c:order val="1"/>
          <c:tx>
            <c:strRef>
              <c:f>CC!$BZ$44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CC!$BX$45:$BX$57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CC!$BZ$45:$BZ$57</c:f>
              <c:numCache>
                <c:formatCode>mm:ss;@</c:formatCode>
                <c:ptCount val="13"/>
                <c:pt idx="0">
                  <c:v>6.9444444444444447E-4</c:v>
                </c:pt>
                <c:pt idx="1">
                  <c:v>6.9444444444444447E-4</c:v>
                </c:pt>
                <c:pt idx="2">
                  <c:v>6.9444444444444447E-4</c:v>
                </c:pt>
                <c:pt idx="3">
                  <c:v>6.9444444444444447E-4</c:v>
                </c:pt>
                <c:pt idx="4">
                  <c:v>6.9444444444444447E-4</c:v>
                </c:pt>
                <c:pt idx="5">
                  <c:v>6.9444444444444447E-4</c:v>
                </c:pt>
                <c:pt idx="6">
                  <c:v>6.9444444444444447E-4</c:v>
                </c:pt>
                <c:pt idx="7">
                  <c:v>6.9444444444444447E-4</c:v>
                </c:pt>
                <c:pt idx="8">
                  <c:v>6.9444444444444447E-4</c:v>
                </c:pt>
                <c:pt idx="9">
                  <c:v>6.9444444444444447E-4</c:v>
                </c:pt>
                <c:pt idx="10">
                  <c:v>6.9444444444444447E-4</c:v>
                </c:pt>
                <c:pt idx="11">
                  <c:v>6.9444444444444447E-4</c:v>
                </c:pt>
                <c:pt idx="12">
                  <c:v>6.9444444444444447E-4</c:v>
                </c:pt>
              </c:numCache>
            </c:numRef>
          </c:val>
          <c:smooth val="0"/>
          <c:extLst>
            <c:ext xmlns:c16="http://schemas.microsoft.com/office/drawing/2014/chart" uri="{C3380CC4-5D6E-409C-BE32-E72D297353CC}">
              <c16:uniqueId val="{00000001-2E1D-4718-8C58-38C7E0C9E960}"/>
            </c:ext>
          </c:extLst>
        </c:ser>
        <c:ser>
          <c:idx val="1"/>
          <c:order val="2"/>
          <c:tx>
            <c:strRef>
              <c:f>CC!$CA$44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CC!$BX$45:$BX$57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CC!$CA$45:$CA$57</c:f>
              <c:numCache>
                <c:formatCode>mm:ss;@</c:formatCode>
                <c:ptCount val="13"/>
                <c:pt idx="0">
                  <c:v>9.2592592592592588E-5</c:v>
                </c:pt>
                <c:pt idx="1">
                  <c:v>8.1018518518518516E-5</c:v>
                </c:pt>
                <c:pt idx="2">
                  <c:v>9.2592592592592588E-5</c:v>
                </c:pt>
                <c:pt idx="3">
                  <c:v>9.2592592592592588E-5</c:v>
                </c:pt>
                <c:pt idx="4">
                  <c:v>1.1574074074074073E-4</c:v>
                </c:pt>
                <c:pt idx="5">
                  <c:v>8.1018518518518516E-5</c:v>
                </c:pt>
                <c:pt idx="6">
                  <c:v>8.1018518518518516E-5</c:v>
                </c:pt>
                <c:pt idx="7">
                  <c:v>9.2592592592592588E-5</c:v>
                </c:pt>
                <c:pt idx="8">
                  <c:v>6.9444444444444444E-5</c:v>
                </c:pt>
                <c:pt idx="9">
                  <c:v>1.0416666666666667E-4</c:v>
                </c:pt>
                <c:pt idx="10">
                  <c:v>9.2592592592592588E-5</c:v>
                </c:pt>
                <c:pt idx="11">
                  <c:v>1.9675925925925926E-4</c:v>
                </c:pt>
                <c:pt idx="12">
                  <c:v>#N/A</c:v>
                </c:pt>
              </c:numCache>
            </c:numRef>
          </c:val>
          <c:smooth val="0"/>
          <c:extLst>
            <c:ext xmlns:c16="http://schemas.microsoft.com/office/drawing/2014/chart" uri="{C3380CC4-5D6E-409C-BE32-E72D297353CC}">
              <c16:uniqueId val="{00000002-2E1D-4718-8C58-38C7E0C9E960}"/>
            </c:ext>
          </c:extLst>
        </c:ser>
        <c:dLbls>
          <c:showLegendKey val="0"/>
          <c:showVal val="0"/>
          <c:showCatName val="0"/>
          <c:showSerName val="0"/>
          <c:showPercent val="0"/>
          <c:showBubbleSize val="0"/>
        </c:dLbls>
        <c:marker val="1"/>
        <c:smooth val="0"/>
        <c:axId val="761718072"/>
        <c:axId val="761725128"/>
      </c:lineChart>
      <c:valAx>
        <c:axId val="761721992"/>
        <c:scaling>
          <c:orientation val="minMax"/>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Calls Handled in 1000s</a:t>
                </a:r>
              </a:p>
            </c:rich>
          </c:tx>
          <c:layout>
            <c:manualLayout>
              <c:xMode val="edge"/>
              <c:yMode val="edge"/>
              <c:x val="0.95023417976952795"/>
              <c:y val="0.15984964322120288"/>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0424"/>
        <c:crosses val="max"/>
        <c:crossBetween val="between"/>
      </c:valAx>
      <c:catAx>
        <c:axId val="761720424"/>
        <c:scaling>
          <c:orientation val="minMax"/>
        </c:scaling>
        <c:delete val="1"/>
        <c:axPos val="b"/>
        <c:numFmt formatCode="General" sourceLinked="1"/>
        <c:majorTickMark val="out"/>
        <c:minorTickMark val="none"/>
        <c:tickLblPos val="nextTo"/>
        <c:crossAx val="761721992"/>
        <c:crosses val="autoZero"/>
        <c:auto val="1"/>
        <c:lblAlgn val="ctr"/>
        <c:lblOffset val="100"/>
        <c:noMultiLvlLbl val="0"/>
      </c:catAx>
      <c:valAx>
        <c:axId val="761725128"/>
        <c:scaling>
          <c:orientation val="minMax"/>
          <c:max val="2.4304000000000005E-3"/>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MM:SS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mm:ss;@"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8072"/>
        <c:crosses val="autoZero"/>
        <c:crossBetween val="between"/>
        <c:majorUnit val="3.4720000000000009E-4"/>
      </c:valAx>
      <c:catAx>
        <c:axId val="761718072"/>
        <c:scaling>
          <c:orientation val="minMax"/>
        </c:scaling>
        <c:delete val="1"/>
        <c:axPos val="b"/>
        <c:numFmt formatCode="General" sourceLinked="1"/>
        <c:majorTickMark val="out"/>
        <c:minorTickMark val="none"/>
        <c:tickLblPos val="nextTo"/>
        <c:crossAx val="76172512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Abandonment Rate </a:t>
            </a:r>
            <a:r>
              <a:rPr lang="en-US" sz="1400" b="0" i="0" u="none" strike="noStrike" baseline="0"/>
              <a:t> </a:t>
            </a:r>
            <a:endParaRPr lang="en-US"/>
          </a:p>
        </c:rich>
      </c:tx>
      <c:layout>
        <c:manualLayout>
          <c:xMode val="edge"/>
          <c:yMode val="edge"/>
          <c:x val="0.37870317865469777"/>
          <c:y val="2.945615699194196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CC!$BY$63</c:f>
              <c:strCache>
                <c:ptCount val="1"/>
                <c:pt idx="0">
                  <c:v>Quantity</c:v>
                </c:pt>
              </c:strCache>
            </c:strRef>
          </c:tx>
          <c:spPr>
            <a:solidFill>
              <a:sysClr val="window" lastClr="FFFFFF">
                <a:lumMod val="65000"/>
              </a:sysClr>
            </a:solidFill>
            <a:ln>
              <a:noFill/>
            </a:ln>
            <a:effectLst/>
          </c:spPr>
          <c:invertIfNegative val="0"/>
          <c:cat>
            <c:strRef>
              <c:f>CC!$BX$64:$BX$76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CC!$BY$64:$BY$76</c:f>
              <c:numCache>
                <c:formatCode>0.0</c:formatCode>
                <c:ptCount val="13"/>
                <c:pt idx="0">
                  <c:v>3.9769999999999999</c:v>
                </c:pt>
                <c:pt idx="1">
                  <c:v>3.6579999999999999</c:v>
                </c:pt>
                <c:pt idx="2">
                  <c:v>4.2119999999999997</c:v>
                </c:pt>
                <c:pt idx="3">
                  <c:v>3.6</c:v>
                </c:pt>
                <c:pt idx="4">
                  <c:v>3.794</c:v>
                </c:pt>
                <c:pt idx="5">
                  <c:v>4.681</c:v>
                </c:pt>
                <c:pt idx="6">
                  <c:v>3.5779999999999998</c:v>
                </c:pt>
                <c:pt idx="7">
                  <c:v>2.8439999999999999</c:v>
                </c:pt>
                <c:pt idx="8">
                  <c:v>1.1539999999999999</c:v>
                </c:pt>
                <c:pt idx="9">
                  <c:v>0.83399999999999996</c:v>
                </c:pt>
                <c:pt idx="10">
                  <c:v>0.91800000000000004</c:v>
                </c:pt>
                <c:pt idx="11">
                  <c:v>2.0430000000000001</c:v>
                </c:pt>
                <c:pt idx="12">
                  <c:v>0</c:v>
                </c:pt>
              </c:numCache>
            </c:numRef>
          </c:val>
          <c:extLst>
            <c:ext xmlns:c16="http://schemas.microsoft.com/office/drawing/2014/chart" uri="{C3380CC4-5D6E-409C-BE32-E72D297353CC}">
              <c16:uniqueId val="{00000000-20D0-47CC-85CF-142C30986C7C}"/>
            </c:ext>
          </c:extLst>
        </c:ser>
        <c:dLbls>
          <c:showLegendKey val="0"/>
          <c:showVal val="0"/>
          <c:showCatName val="0"/>
          <c:showSerName val="0"/>
          <c:showPercent val="0"/>
          <c:showBubbleSize val="0"/>
        </c:dLbls>
        <c:gapWidth val="75"/>
        <c:overlap val="100"/>
        <c:axId val="761714936"/>
        <c:axId val="761719640"/>
      </c:barChart>
      <c:lineChart>
        <c:grouping val="standard"/>
        <c:varyColors val="0"/>
        <c:ser>
          <c:idx val="2"/>
          <c:order val="1"/>
          <c:tx>
            <c:strRef>
              <c:f>CC!$BZ$63</c:f>
              <c:strCache>
                <c:ptCount val="1"/>
                <c:pt idx="0">
                  <c:v>Goal</c:v>
                </c:pt>
              </c:strCache>
            </c:strRef>
          </c:tx>
          <c:spPr>
            <a:ln w="28575" cap="rnd">
              <a:solidFill>
                <a:srgbClr val="00FF00"/>
              </a:solidFill>
              <a:round/>
            </a:ln>
            <a:effectLst/>
          </c:spPr>
          <c:marker>
            <c:symbol val="circle"/>
            <c:size val="5"/>
            <c:spPr>
              <a:solidFill>
                <a:srgbClr val="00FF00"/>
              </a:solidFill>
              <a:ln w="9525">
                <a:noFill/>
              </a:ln>
              <a:effectLst/>
            </c:spPr>
          </c:marker>
          <c:cat>
            <c:strRef>
              <c:f>CC!$BX$64:$BX$76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CC!$BZ$64:$BZ$76</c:f>
              <c:numCache>
                <c:formatCode>0.0%</c:formatCode>
                <c:ptCount val="13"/>
                <c:pt idx="0">
                  <c:v>0.05</c:v>
                </c:pt>
                <c:pt idx="1">
                  <c:v>0.05</c:v>
                </c:pt>
                <c:pt idx="2">
                  <c:v>0.05</c:v>
                </c:pt>
                <c:pt idx="3">
                  <c:v>0.05</c:v>
                </c:pt>
                <c:pt idx="4">
                  <c:v>0.05</c:v>
                </c:pt>
                <c:pt idx="5">
                  <c:v>0.05</c:v>
                </c:pt>
                <c:pt idx="6">
                  <c:v>0.05</c:v>
                </c:pt>
                <c:pt idx="7">
                  <c:v>0.05</c:v>
                </c:pt>
                <c:pt idx="8">
                  <c:v>0.05</c:v>
                </c:pt>
                <c:pt idx="9">
                  <c:v>0.05</c:v>
                </c:pt>
                <c:pt idx="10">
                  <c:v>0.05</c:v>
                </c:pt>
                <c:pt idx="11">
                  <c:v>0.05</c:v>
                </c:pt>
                <c:pt idx="12">
                  <c:v>0.05</c:v>
                </c:pt>
              </c:numCache>
            </c:numRef>
          </c:val>
          <c:smooth val="0"/>
          <c:extLst>
            <c:ext xmlns:c16="http://schemas.microsoft.com/office/drawing/2014/chart" uri="{C3380CC4-5D6E-409C-BE32-E72D297353CC}">
              <c16:uniqueId val="{00000001-20D0-47CC-85CF-142C30986C7C}"/>
            </c:ext>
          </c:extLst>
        </c:ser>
        <c:ser>
          <c:idx val="1"/>
          <c:order val="2"/>
          <c:tx>
            <c:strRef>
              <c:f>CC!$CA$63</c:f>
              <c:strCache>
                <c:ptCount val="1"/>
                <c:pt idx="0">
                  <c:v>KPI</c:v>
                </c:pt>
              </c:strCache>
            </c:strRef>
          </c:tx>
          <c:spPr>
            <a:ln w="28575" cap="rnd">
              <a:solidFill>
                <a:srgbClr val="0070C0"/>
              </a:solidFill>
              <a:round/>
            </a:ln>
            <a:effectLst/>
          </c:spPr>
          <c:marker>
            <c:symbol val="circle"/>
            <c:size val="5"/>
            <c:spPr>
              <a:solidFill>
                <a:srgbClr val="0070C0"/>
              </a:solidFill>
              <a:ln w="9525">
                <a:noFill/>
              </a:ln>
              <a:effectLst/>
            </c:spPr>
          </c:marker>
          <c:cat>
            <c:strRef>
              <c:f>CC!$BX$64:$BX$76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CC!$CA$64:$CA$76</c:f>
              <c:numCache>
                <c:formatCode>0.0%</c:formatCode>
                <c:ptCount val="13"/>
                <c:pt idx="0">
                  <c:v>8.0462660296706061E-3</c:v>
                </c:pt>
                <c:pt idx="1">
                  <c:v>9.0213231273920183E-3</c:v>
                </c:pt>
                <c:pt idx="2">
                  <c:v>8.5470085470085461E-3</c:v>
                </c:pt>
                <c:pt idx="3">
                  <c:v>9.9999999999999985E-3</c:v>
                </c:pt>
                <c:pt idx="4">
                  <c:v>1.080653663679494E-2</c:v>
                </c:pt>
                <c:pt idx="5">
                  <c:v>1.5381328775902583E-2</c:v>
                </c:pt>
                <c:pt idx="6">
                  <c:v>1.3135830072666294E-2</c:v>
                </c:pt>
                <c:pt idx="7">
                  <c:v>9.8452883263009851E-3</c:v>
                </c:pt>
                <c:pt idx="8">
                  <c:v>1.1265164644714038E-2</c:v>
                </c:pt>
                <c:pt idx="9">
                  <c:v>1.0791366906474819E-2</c:v>
                </c:pt>
                <c:pt idx="10">
                  <c:v>2.2875816993464054E-2</c:v>
                </c:pt>
                <c:pt idx="11">
                  <c:v>3.5731767009300044E-2</c:v>
                </c:pt>
                <c:pt idx="12">
                  <c:v>#N/A</c:v>
                </c:pt>
              </c:numCache>
            </c:numRef>
          </c:val>
          <c:smooth val="0"/>
          <c:extLst>
            <c:ext xmlns:c16="http://schemas.microsoft.com/office/drawing/2014/chart" uri="{C3380CC4-5D6E-409C-BE32-E72D297353CC}">
              <c16:uniqueId val="{00000002-20D0-47CC-85CF-142C30986C7C}"/>
            </c:ext>
          </c:extLst>
        </c:ser>
        <c:dLbls>
          <c:showLegendKey val="0"/>
          <c:showVal val="0"/>
          <c:showCatName val="0"/>
          <c:showSerName val="0"/>
          <c:showPercent val="0"/>
          <c:showBubbleSize val="0"/>
        </c:dLbls>
        <c:marker val="1"/>
        <c:smooth val="0"/>
        <c:axId val="761723952"/>
        <c:axId val="761720032"/>
      </c:lineChart>
      <c:valAx>
        <c:axId val="761719640"/>
        <c:scaling>
          <c:orientation val="minMax"/>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0" i="0" u="none" strike="noStrike" baseline="0">
                    <a:effectLst/>
                  </a:rPr>
                  <a:t> </a:t>
                </a:r>
                <a:r>
                  <a:rPr lang="en-US" sz="1000" b="1" i="0" u="none" strike="noStrike" baseline="0">
                    <a:effectLst/>
                  </a:rPr>
                  <a:t>Calls Offered in 1000s</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4936"/>
        <c:crosses val="max"/>
        <c:crossBetween val="between"/>
      </c:valAx>
      <c:catAx>
        <c:axId val="761714936"/>
        <c:scaling>
          <c:orientation val="minMax"/>
        </c:scaling>
        <c:delete val="1"/>
        <c:axPos val="b"/>
        <c:numFmt formatCode="General" sourceLinked="1"/>
        <c:majorTickMark val="out"/>
        <c:minorTickMark val="none"/>
        <c:tickLblPos val="nextTo"/>
        <c:crossAx val="761719640"/>
        <c:crosses val="autoZero"/>
        <c:auto val="1"/>
        <c:lblAlgn val="ctr"/>
        <c:lblOffset val="100"/>
        <c:noMultiLvlLbl val="0"/>
      </c:catAx>
      <c:valAx>
        <c:axId val="761720032"/>
        <c:scaling>
          <c:orientation val="minMax"/>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  Abandoned Calls</a:t>
                </a:r>
                <a:endParaRPr lang="en-US" b="1"/>
              </a:p>
            </c:rich>
          </c:tx>
          <c:layout>
            <c:manualLayout>
              <c:xMode val="edge"/>
              <c:yMode val="edge"/>
              <c:x val="3.2096171802054152E-2"/>
              <c:y val="0.17259174311926606"/>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3952"/>
        <c:crosses val="autoZero"/>
        <c:crossBetween val="between"/>
      </c:valAx>
      <c:catAx>
        <c:axId val="761723952"/>
        <c:scaling>
          <c:orientation val="minMax"/>
        </c:scaling>
        <c:delete val="1"/>
        <c:axPos val="b"/>
        <c:numFmt formatCode="General" sourceLinked="1"/>
        <c:majorTickMark val="out"/>
        <c:minorTickMark val="none"/>
        <c:tickLblPos val="nextTo"/>
        <c:crossAx val="76172003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Service Level % (60 sec)</a:t>
            </a:r>
          </a:p>
        </c:rich>
      </c:tx>
      <c:layout>
        <c:manualLayout>
          <c:xMode val="edge"/>
          <c:yMode val="edge"/>
          <c:x val="0.31183372299050854"/>
          <c:y val="1.27420998980632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CC!$BY$139</c:f>
              <c:strCache>
                <c:ptCount val="1"/>
                <c:pt idx="0">
                  <c:v>Quantity</c:v>
                </c:pt>
              </c:strCache>
            </c:strRef>
          </c:tx>
          <c:spPr>
            <a:solidFill>
              <a:srgbClr val="98999B"/>
            </a:solidFill>
            <a:ln>
              <a:noFill/>
            </a:ln>
            <a:effectLst/>
          </c:spPr>
          <c:invertIfNegative val="0"/>
          <c:cat>
            <c:strRef>
              <c:f>CC!$BX$140:$BX$152</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CC!$BY$140:$BY$152</c:f>
              <c:numCache>
                <c:formatCode>0</c:formatCode>
                <c:ptCount val="13"/>
                <c:pt idx="0">
                  <c:v>120</c:v>
                </c:pt>
                <c:pt idx="1">
                  <c:v>152</c:v>
                </c:pt>
                <c:pt idx="2">
                  <c:v>163</c:v>
                </c:pt>
                <c:pt idx="3">
                  <c:v>99</c:v>
                </c:pt>
                <c:pt idx="4">
                  <c:v>118</c:v>
                </c:pt>
                <c:pt idx="5">
                  <c:v>94</c:v>
                </c:pt>
                <c:pt idx="6">
                  <c:v>92</c:v>
                </c:pt>
                <c:pt idx="7">
                  <c:v>90</c:v>
                </c:pt>
                <c:pt idx="8">
                  <c:v>128</c:v>
                </c:pt>
                <c:pt idx="9">
                  <c:v>110</c:v>
                </c:pt>
                <c:pt idx="10">
                  <c:v>90</c:v>
                </c:pt>
                <c:pt idx="11">
                  <c:v>129</c:v>
                </c:pt>
                <c:pt idx="12">
                  <c:v>0</c:v>
                </c:pt>
              </c:numCache>
            </c:numRef>
          </c:val>
          <c:extLst>
            <c:ext xmlns:c16="http://schemas.microsoft.com/office/drawing/2014/chart" uri="{C3380CC4-5D6E-409C-BE32-E72D297353CC}">
              <c16:uniqueId val="{00000000-505C-46CB-9AA7-4696A0232A8A}"/>
            </c:ext>
          </c:extLst>
        </c:ser>
        <c:dLbls>
          <c:showLegendKey val="0"/>
          <c:showVal val="0"/>
          <c:showCatName val="0"/>
          <c:showSerName val="0"/>
          <c:showPercent val="0"/>
          <c:showBubbleSize val="0"/>
        </c:dLbls>
        <c:gapWidth val="75"/>
        <c:overlap val="100"/>
        <c:axId val="761718856"/>
        <c:axId val="761722776"/>
      </c:barChart>
      <c:lineChart>
        <c:grouping val="standard"/>
        <c:varyColors val="0"/>
        <c:ser>
          <c:idx val="2"/>
          <c:order val="1"/>
          <c:tx>
            <c:strRef>
              <c:f>CC!$BZ$139</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CC!$BX$140:$BX$152</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CC!$BZ$140:$BZ$152</c:f>
              <c:numCache>
                <c:formatCode>0.0%</c:formatCode>
                <c:ptCount val="13"/>
                <c:pt idx="0">
                  <c:v>0.8</c:v>
                </c:pt>
                <c:pt idx="1">
                  <c:v>0.8</c:v>
                </c:pt>
                <c:pt idx="2">
                  <c:v>0.8</c:v>
                </c:pt>
                <c:pt idx="3">
                  <c:v>0.8</c:v>
                </c:pt>
                <c:pt idx="4">
                  <c:v>0.8</c:v>
                </c:pt>
                <c:pt idx="5">
                  <c:v>0.8</c:v>
                </c:pt>
                <c:pt idx="6">
                  <c:v>0.8</c:v>
                </c:pt>
                <c:pt idx="7">
                  <c:v>0.8</c:v>
                </c:pt>
                <c:pt idx="8">
                  <c:v>0.8</c:v>
                </c:pt>
                <c:pt idx="9">
                  <c:v>0.8</c:v>
                </c:pt>
                <c:pt idx="10">
                  <c:v>0.8</c:v>
                </c:pt>
                <c:pt idx="11">
                  <c:v>0.8</c:v>
                </c:pt>
                <c:pt idx="12">
                  <c:v>0.8</c:v>
                </c:pt>
              </c:numCache>
            </c:numRef>
          </c:val>
          <c:smooth val="0"/>
          <c:extLst>
            <c:ext xmlns:c16="http://schemas.microsoft.com/office/drawing/2014/chart" uri="{C3380CC4-5D6E-409C-BE32-E72D297353CC}">
              <c16:uniqueId val="{00000001-505C-46CB-9AA7-4696A0232A8A}"/>
            </c:ext>
          </c:extLst>
        </c:ser>
        <c:ser>
          <c:idx val="1"/>
          <c:order val="2"/>
          <c:tx>
            <c:strRef>
              <c:f>CC!$CA$139</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CC!$BX$140:$BX$152</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CC!$CA$140:$CA$152</c:f>
              <c:numCache>
                <c:formatCode>0.0%</c:formatCode>
                <c:ptCount val="13"/>
                <c:pt idx="0">
                  <c:v>0.98333333333333328</c:v>
                </c:pt>
                <c:pt idx="1">
                  <c:v>0.98026315789473684</c:v>
                </c:pt>
                <c:pt idx="2">
                  <c:v>0.98159509202453987</c:v>
                </c:pt>
                <c:pt idx="3">
                  <c:v>0.98989898989898994</c:v>
                </c:pt>
                <c:pt idx="4">
                  <c:v>0.99152542372881358</c:v>
                </c:pt>
                <c:pt idx="5">
                  <c:v>0.96808510638297873</c:v>
                </c:pt>
                <c:pt idx="6">
                  <c:v>0.98913043478260865</c:v>
                </c:pt>
                <c:pt idx="7">
                  <c:v>1</c:v>
                </c:pt>
                <c:pt idx="8">
                  <c:v>0.9921875</c:v>
                </c:pt>
                <c:pt idx="9">
                  <c:v>1</c:v>
                </c:pt>
                <c:pt idx="10">
                  <c:v>1</c:v>
                </c:pt>
                <c:pt idx="11">
                  <c:v>0.94573643410852715</c:v>
                </c:pt>
                <c:pt idx="12">
                  <c:v>#N/A</c:v>
                </c:pt>
              </c:numCache>
            </c:numRef>
          </c:val>
          <c:smooth val="0"/>
          <c:extLst>
            <c:ext xmlns:c16="http://schemas.microsoft.com/office/drawing/2014/chart" uri="{C3380CC4-5D6E-409C-BE32-E72D297353CC}">
              <c16:uniqueId val="{00000002-505C-46CB-9AA7-4696A0232A8A}"/>
            </c:ext>
          </c:extLst>
        </c:ser>
        <c:dLbls>
          <c:showLegendKey val="0"/>
          <c:showVal val="0"/>
          <c:showCatName val="0"/>
          <c:showSerName val="0"/>
          <c:showPercent val="0"/>
          <c:showBubbleSize val="0"/>
        </c:dLbls>
        <c:marker val="1"/>
        <c:smooth val="0"/>
        <c:axId val="761714152"/>
        <c:axId val="761712976"/>
      </c:lineChart>
      <c:valAx>
        <c:axId val="761722776"/>
        <c:scaling>
          <c:orientation val="minMax"/>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Calls Handled </a:t>
                </a:r>
              </a:p>
            </c:rich>
          </c:tx>
          <c:layout>
            <c:manualLayout>
              <c:xMode val="edge"/>
              <c:yMode val="edge"/>
              <c:x val="0.94396288699206721"/>
              <c:y val="0.26933137084928604"/>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8856"/>
        <c:crosses val="max"/>
        <c:crossBetween val="between"/>
      </c:valAx>
      <c:catAx>
        <c:axId val="761718856"/>
        <c:scaling>
          <c:orientation val="minMax"/>
        </c:scaling>
        <c:delete val="1"/>
        <c:axPos val="b"/>
        <c:numFmt formatCode="General" sourceLinked="1"/>
        <c:majorTickMark val="out"/>
        <c:minorTickMark val="none"/>
        <c:tickLblPos val="nextTo"/>
        <c:crossAx val="761722776"/>
        <c:crosses val="autoZero"/>
        <c:auto val="1"/>
        <c:lblAlgn val="ctr"/>
        <c:lblOffset val="100"/>
        <c:noMultiLvlLbl val="0"/>
      </c:catAx>
      <c:valAx>
        <c:axId val="76171297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Service Level %</a:t>
                </a:r>
              </a:p>
            </c:rich>
          </c:tx>
          <c:layout>
            <c:manualLayout>
              <c:xMode val="edge"/>
              <c:yMode val="edge"/>
              <c:x val="4.084967320261438E-2"/>
              <c:y val="0.22857270421472545"/>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4152"/>
        <c:crosses val="autoZero"/>
        <c:crossBetween val="between"/>
      </c:valAx>
      <c:catAx>
        <c:axId val="761714152"/>
        <c:scaling>
          <c:orientation val="minMax"/>
        </c:scaling>
        <c:delete val="1"/>
        <c:axPos val="b"/>
        <c:numFmt formatCode="General" sourceLinked="1"/>
        <c:majorTickMark val="out"/>
        <c:minorTickMark val="none"/>
        <c:tickLblPos val="nextTo"/>
        <c:crossAx val="76171297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Answer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CC!$BY$120</c:f>
              <c:strCache>
                <c:ptCount val="1"/>
                <c:pt idx="0">
                  <c:v>Quantity</c:v>
                </c:pt>
              </c:strCache>
            </c:strRef>
          </c:tx>
          <c:spPr>
            <a:solidFill>
              <a:srgbClr val="98999B"/>
            </a:solidFill>
            <a:ln>
              <a:noFill/>
            </a:ln>
            <a:effectLst/>
          </c:spPr>
          <c:invertIfNegative val="0"/>
          <c:cat>
            <c:strRef>
              <c:f>CC!$BX$121:$BX$133</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CC!$BY$121:$BY$133</c:f>
              <c:numCache>
                <c:formatCode>0</c:formatCode>
                <c:ptCount val="13"/>
                <c:pt idx="0">
                  <c:v>120</c:v>
                </c:pt>
                <c:pt idx="1">
                  <c:v>152</c:v>
                </c:pt>
                <c:pt idx="2">
                  <c:v>163</c:v>
                </c:pt>
                <c:pt idx="3">
                  <c:v>99</c:v>
                </c:pt>
                <c:pt idx="4">
                  <c:v>118</c:v>
                </c:pt>
                <c:pt idx="5">
                  <c:v>94</c:v>
                </c:pt>
                <c:pt idx="6">
                  <c:v>92</c:v>
                </c:pt>
                <c:pt idx="7">
                  <c:v>90</c:v>
                </c:pt>
                <c:pt idx="8">
                  <c:v>128</c:v>
                </c:pt>
                <c:pt idx="9">
                  <c:v>110</c:v>
                </c:pt>
                <c:pt idx="10">
                  <c:v>90</c:v>
                </c:pt>
                <c:pt idx="11">
                  <c:v>129</c:v>
                </c:pt>
                <c:pt idx="12">
                  <c:v>0</c:v>
                </c:pt>
              </c:numCache>
            </c:numRef>
          </c:val>
          <c:extLst>
            <c:ext xmlns:c16="http://schemas.microsoft.com/office/drawing/2014/chart" uri="{C3380CC4-5D6E-409C-BE32-E72D297353CC}">
              <c16:uniqueId val="{00000000-D9BE-4565-B31D-38B8AC56F056}"/>
            </c:ext>
          </c:extLst>
        </c:ser>
        <c:dLbls>
          <c:showLegendKey val="0"/>
          <c:showVal val="0"/>
          <c:showCatName val="0"/>
          <c:showSerName val="0"/>
          <c:showPercent val="0"/>
          <c:showBubbleSize val="0"/>
        </c:dLbls>
        <c:gapWidth val="75"/>
        <c:overlap val="100"/>
        <c:axId val="761720424"/>
        <c:axId val="761721992"/>
      </c:barChart>
      <c:lineChart>
        <c:grouping val="standard"/>
        <c:varyColors val="0"/>
        <c:ser>
          <c:idx val="2"/>
          <c:order val="1"/>
          <c:tx>
            <c:strRef>
              <c:f>CC!$BZ$120</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CC!$BX$121:$BX$133</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CC!$BZ$121:$BZ$133</c:f>
              <c:numCache>
                <c:formatCode>mm:ss;@</c:formatCode>
                <c:ptCount val="13"/>
                <c:pt idx="0">
                  <c:v>6.9444444444444447E-4</c:v>
                </c:pt>
                <c:pt idx="1">
                  <c:v>6.9444444444444447E-4</c:v>
                </c:pt>
                <c:pt idx="2">
                  <c:v>6.9444444444444447E-4</c:v>
                </c:pt>
                <c:pt idx="3">
                  <c:v>6.9444444444444447E-4</c:v>
                </c:pt>
                <c:pt idx="4">
                  <c:v>6.9444444444444447E-4</c:v>
                </c:pt>
                <c:pt idx="5">
                  <c:v>6.9444444444444447E-4</c:v>
                </c:pt>
                <c:pt idx="6">
                  <c:v>6.9444444444444447E-4</c:v>
                </c:pt>
                <c:pt idx="7">
                  <c:v>6.9444444444444447E-4</c:v>
                </c:pt>
                <c:pt idx="8">
                  <c:v>6.9444444444444447E-4</c:v>
                </c:pt>
                <c:pt idx="9">
                  <c:v>6.9444444444444447E-4</c:v>
                </c:pt>
                <c:pt idx="10">
                  <c:v>6.9444444444444447E-4</c:v>
                </c:pt>
                <c:pt idx="11">
                  <c:v>6.9444444444444447E-4</c:v>
                </c:pt>
                <c:pt idx="12">
                  <c:v>6.9444444444444447E-4</c:v>
                </c:pt>
              </c:numCache>
            </c:numRef>
          </c:val>
          <c:smooth val="0"/>
          <c:extLst>
            <c:ext xmlns:c16="http://schemas.microsoft.com/office/drawing/2014/chart" uri="{C3380CC4-5D6E-409C-BE32-E72D297353CC}">
              <c16:uniqueId val="{00000001-D9BE-4565-B31D-38B8AC56F056}"/>
            </c:ext>
          </c:extLst>
        </c:ser>
        <c:ser>
          <c:idx val="1"/>
          <c:order val="2"/>
          <c:tx>
            <c:strRef>
              <c:f>CC!$CA$120</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CC!$BX$121:$BX$133</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CC!$CA$121:$CA$133</c:f>
              <c:numCache>
                <c:formatCode>mm:ss;@</c:formatCode>
                <c:ptCount val="13"/>
                <c:pt idx="0">
                  <c:v>8.1018518518518516E-5</c:v>
                </c:pt>
                <c:pt idx="1">
                  <c:v>9.2592592592592588E-5</c:v>
                </c:pt>
                <c:pt idx="2">
                  <c:v>5.7870370370370366E-5</c:v>
                </c:pt>
                <c:pt idx="3">
                  <c:v>6.9444444444444444E-5</c:v>
                </c:pt>
                <c:pt idx="4">
                  <c:v>6.9444444444444444E-5</c:v>
                </c:pt>
                <c:pt idx="5">
                  <c:v>9.2592592592592588E-5</c:v>
                </c:pt>
                <c:pt idx="6">
                  <c:v>8.1018518518518516E-5</c:v>
                </c:pt>
                <c:pt idx="7">
                  <c:v>5.7870370370370366E-5</c:v>
                </c:pt>
                <c:pt idx="8">
                  <c:v>6.9444444444444444E-5</c:v>
                </c:pt>
                <c:pt idx="9">
                  <c:v>5.7870370370370366E-5</c:v>
                </c:pt>
                <c:pt idx="10">
                  <c:v>4.6296296296296294E-5</c:v>
                </c:pt>
                <c:pt idx="11">
                  <c:v>1.6203703703703703E-4</c:v>
                </c:pt>
                <c:pt idx="12">
                  <c:v>#N/A</c:v>
                </c:pt>
              </c:numCache>
            </c:numRef>
          </c:val>
          <c:smooth val="0"/>
          <c:extLst>
            <c:ext xmlns:c16="http://schemas.microsoft.com/office/drawing/2014/chart" uri="{C3380CC4-5D6E-409C-BE32-E72D297353CC}">
              <c16:uniqueId val="{00000002-D9BE-4565-B31D-38B8AC56F056}"/>
            </c:ext>
          </c:extLst>
        </c:ser>
        <c:dLbls>
          <c:showLegendKey val="0"/>
          <c:showVal val="0"/>
          <c:showCatName val="0"/>
          <c:showSerName val="0"/>
          <c:showPercent val="0"/>
          <c:showBubbleSize val="0"/>
        </c:dLbls>
        <c:marker val="1"/>
        <c:smooth val="0"/>
        <c:axId val="761718072"/>
        <c:axId val="761725128"/>
      </c:lineChart>
      <c:valAx>
        <c:axId val="761721992"/>
        <c:scaling>
          <c:orientation val="minMax"/>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Calls Handled</a:t>
                </a:r>
              </a:p>
            </c:rich>
          </c:tx>
          <c:layout>
            <c:manualLayout>
              <c:xMode val="edge"/>
              <c:yMode val="edge"/>
              <c:x val="0.94396288699206721"/>
              <c:y val="0.24384717105315962"/>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0424"/>
        <c:crosses val="max"/>
        <c:crossBetween val="between"/>
      </c:valAx>
      <c:catAx>
        <c:axId val="761720424"/>
        <c:scaling>
          <c:orientation val="minMax"/>
        </c:scaling>
        <c:delete val="1"/>
        <c:axPos val="b"/>
        <c:numFmt formatCode="General" sourceLinked="1"/>
        <c:majorTickMark val="out"/>
        <c:minorTickMark val="none"/>
        <c:tickLblPos val="nextTo"/>
        <c:crossAx val="761721992"/>
        <c:crosses val="autoZero"/>
        <c:auto val="1"/>
        <c:lblAlgn val="ctr"/>
        <c:lblOffset val="100"/>
        <c:noMultiLvlLbl val="0"/>
      </c:catAx>
      <c:valAx>
        <c:axId val="761725128"/>
        <c:scaling>
          <c:orientation val="minMax"/>
          <c:max val="2.4304000000000005E-3"/>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MM:SS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mm:ss;@"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8072"/>
        <c:crosses val="autoZero"/>
        <c:crossBetween val="between"/>
        <c:majorUnit val="3.4720000000000009E-4"/>
      </c:valAx>
      <c:catAx>
        <c:axId val="761718072"/>
        <c:scaling>
          <c:orientation val="minMax"/>
        </c:scaling>
        <c:delete val="1"/>
        <c:axPos val="b"/>
        <c:numFmt formatCode="General" sourceLinked="1"/>
        <c:majorTickMark val="out"/>
        <c:minorTickMark val="none"/>
        <c:tickLblPos val="nextTo"/>
        <c:crossAx val="76172512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Email Volume</a:t>
            </a:r>
          </a:p>
        </c:rich>
      </c:tx>
      <c:overlay val="0"/>
      <c:spPr>
        <a:noFill/>
        <a:ln>
          <a:noFill/>
        </a:ln>
        <a:effectLst/>
      </c:spPr>
    </c:title>
    <c:autoTitleDeleted val="0"/>
    <c:plotArea>
      <c:layout>
        <c:manualLayout>
          <c:layoutTarget val="inner"/>
          <c:xMode val="edge"/>
          <c:yMode val="edge"/>
          <c:x val="0.13980122889050633"/>
          <c:y val="0.23630224260958205"/>
          <c:w val="0.78725292610482511"/>
          <c:h val="0.59880495155995406"/>
        </c:manualLayout>
      </c:layout>
      <c:barChart>
        <c:barDir val="col"/>
        <c:grouping val="stacked"/>
        <c:varyColors val="0"/>
        <c:ser>
          <c:idx val="1"/>
          <c:order val="0"/>
          <c:tx>
            <c:strRef>
              <c:f>CC!$BY$101</c:f>
              <c:strCache>
                <c:ptCount val="1"/>
                <c:pt idx="0">
                  <c:v>Quantity</c:v>
                </c:pt>
              </c:strCache>
            </c:strRef>
          </c:tx>
          <c:spPr>
            <a:solidFill>
              <a:schemeClr val="bg1">
                <a:lumMod val="65000"/>
              </a:schemeClr>
            </a:solidFill>
            <a:ln>
              <a:noFill/>
            </a:ln>
            <a:effectLst/>
          </c:spPr>
          <c:invertIfNegative val="0"/>
          <c:cat>
            <c:strRef>
              <c:f>CC!$BX$102:$BX$114</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CC!$BY$102:$BY$114</c:f>
              <c:numCache>
                <c:formatCode>0</c:formatCode>
                <c:ptCount val="13"/>
                <c:pt idx="0">
                  <c:v>3739</c:v>
                </c:pt>
                <c:pt idx="1">
                  <c:v>3283</c:v>
                </c:pt>
                <c:pt idx="2">
                  <c:v>4265</c:v>
                </c:pt>
                <c:pt idx="3">
                  <c:v>3545</c:v>
                </c:pt>
                <c:pt idx="4">
                  <c:v>3752</c:v>
                </c:pt>
                <c:pt idx="5">
                  <c:v>5962</c:v>
                </c:pt>
                <c:pt idx="6">
                  <c:v>6137</c:v>
                </c:pt>
                <c:pt idx="7">
                  <c:v>6048</c:v>
                </c:pt>
                <c:pt idx="8">
                  <c:v>8691</c:v>
                </c:pt>
                <c:pt idx="9">
                  <c:v>6985</c:v>
                </c:pt>
                <c:pt idx="10">
                  <c:v>5379</c:v>
                </c:pt>
                <c:pt idx="11">
                  <c:v>7203</c:v>
                </c:pt>
                <c:pt idx="12">
                  <c:v>0</c:v>
                </c:pt>
              </c:numCache>
            </c:numRef>
          </c:val>
          <c:extLst>
            <c:ext xmlns:c16="http://schemas.microsoft.com/office/drawing/2014/chart" uri="{C3380CC4-5D6E-409C-BE32-E72D297353CC}">
              <c16:uniqueId val="{00000010-8346-4BED-A619-00CD2CB65566}"/>
            </c:ext>
          </c:extLst>
        </c:ser>
        <c:dLbls>
          <c:showLegendKey val="0"/>
          <c:showVal val="0"/>
          <c:showCatName val="0"/>
          <c:showSerName val="0"/>
          <c:showPercent val="0"/>
          <c:showBubbleSize val="0"/>
        </c:dLbls>
        <c:gapWidth val="150"/>
        <c:overlap val="100"/>
        <c:axId val="518372847"/>
        <c:axId val="518382831"/>
        <c:extLst>
          <c:ext xmlns:c15="http://schemas.microsoft.com/office/drawing/2012/chart" uri="{02D57815-91ED-43cb-92C2-25804820EDAC}">
            <c15:filteredBarSeries>
              <c15:ser>
                <c:idx val="2"/>
                <c:order val="1"/>
                <c:tx>
                  <c:strRef>
                    <c:extLst>
                      <c:ext uri="{02D57815-91ED-43cb-92C2-25804820EDAC}">
                        <c15:formulaRef>
                          <c15:sqref>CC!$BZ$101</c15:sqref>
                        </c15:formulaRef>
                      </c:ext>
                    </c:extLst>
                    <c:strCache>
                      <c:ptCount val="1"/>
                      <c:pt idx="0">
                        <c:v>Goal</c:v>
                      </c:pt>
                    </c:strCache>
                  </c:strRef>
                </c:tx>
                <c:spPr>
                  <a:solidFill>
                    <a:schemeClr val="accent3"/>
                  </a:solidFill>
                  <a:ln>
                    <a:noFill/>
                  </a:ln>
                  <a:effectLst/>
                </c:spPr>
                <c:invertIfNegative val="0"/>
                <c:cat>
                  <c:strRef>
                    <c:extLst>
                      <c:ext uri="{02D57815-91ED-43cb-92C2-25804820EDAC}">
                        <c15:formulaRef>
                          <c15:sqref>CC!$BX$102:$BX$114</c15:sqref>
                        </c15:formulaRef>
                      </c:ext>
                    </c:extLst>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extLst>
                      <c:ext uri="{02D57815-91ED-43cb-92C2-25804820EDAC}">
                        <c15:formulaRef>
                          <c15:sqref>CC!$BZ$102:$BZ$114</c15:sqref>
                        </c15:formulaRef>
                      </c:ext>
                    </c:extLst>
                    <c:numCache>
                      <c:formatCode>0.0%</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Cache>
                  </c:numRef>
                </c:val>
                <c:extLst>
                  <c:ext xmlns:c16="http://schemas.microsoft.com/office/drawing/2014/chart" uri="{C3380CC4-5D6E-409C-BE32-E72D297353CC}">
                    <c16:uniqueId val="{00000012-8346-4BED-A619-00CD2CB65566}"/>
                  </c:ext>
                </c:extLst>
              </c15:ser>
            </c15:filteredBarSeries>
            <c15:filteredBarSeries>
              <c15:ser>
                <c:idx val="3"/>
                <c:order val="2"/>
                <c:tx>
                  <c:strRef>
                    <c:extLst xmlns:c15="http://schemas.microsoft.com/office/drawing/2012/chart">
                      <c:ext xmlns:c15="http://schemas.microsoft.com/office/drawing/2012/chart" uri="{02D57815-91ED-43cb-92C2-25804820EDAC}">
                        <c15:formulaRef>
                          <c15:sqref>CC!$CA$101</c15:sqref>
                        </c15:formulaRef>
                      </c:ext>
                    </c:extLst>
                    <c:strCache>
                      <c:ptCount val="1"/>
                      <c:pt idx="0">
                        <c:v>KPI</c:v>
                      </c:pt>
                    </c:strCache>
                  </c:strRef>
                </c:tx>
                <c:spPr>
                  <a:solidFill>
                    <a:schemeClr val="accent4"/>
                  </a:solidFill>
                  <a:ln>
                    <a:noFill/>
                  </a:ln>
                  <a:effectLst/>
                </c:spPr>
                <c:invertIfNegative val="0"/>
                <c:cat>
                  <c:strRef>
                    <c:extLst xmlns:c15="http://schemas.microsoft.com/office/drawing/2012/chart">
                      <c:ext xmlns:c15="http://schemas.microsoft.com/office/drawing/2012/chart" uri="{02D57815-91ED-43cb-92C2-25804820EDAC}">
                        <c15:formulaRef>
                          <c15:sqref>CC!$BX$102:$BX$114</c15:sqref>
                        </c15:formulaRef>
                      </c:ext>
                    </c:extLst>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extLst xmlns:c15="http://schemas.microsoft.com/office/drawing/2012/chart">
                      <c:ext xmlns:c15="http://schemas.microsoft.com/office/drawing/2012/chart" uri="{02D57815-91ED-43cb-92C2-25804820EDAC}">
                        <c15:formulaRef>
                          <c15:sqref>CC!$CA$102:$CA$114</c15:sqref>
                        </c15:formulaRef>
                      </c:ext>
                    </c:extLst>
                    <c:numCache>
                      <c:formatCode>0</c:formatCode>
                      <c:ptCount val="13"/>
                      <c:pt idx="0">
                        <c:v>3739</c:v>
                      </c:pt>
                      <c:pt idx="1">
                        <c:v>3283</c:v>
                      </c:pt>
                      <c:pt idx="2">
                        <c:v>4265</c:v>
                      </c:pt>
                      <c:pt idx="3">
                        <c:v>3545</c:v>
                      </c:pt>
                      <c:pt idx="4">
                        <c:v>3752</c:v>
                      </c:pt>
                      <c:pt idx="5">
                        <c:v>5962</c:v>
                      </c:pt>
                      <c:pt idx="6">
                        <c:v>6137</c:v>
                      </c:pt>
                      <c:pt idx="7">
                        <c:v>6048</c:v>
                      </c:pt>
                      <c:pt idx="8">
                        <c:v>8691</c:v>
                      </c:pt>
                      <c:pt idx="9">
                        <c:v>6985</c:v>
                      </c:pt>
                      <c:pt idx="10">
                        <c:v>5379</c:v>
                      </c:pt>
                      <c:pt idx="11">
                        <c:v>7203</c:v>
                      </c:pt>
                      <c:pt idx="12">
                        <c:v>#N/A</c:v>
                      </c:pt>
                    </c:numCache>
                  </c:numRef>
                </c:val>
                <c:extLst xmlns:c15="http://schemas.microsoft.com/office/drawing/2012/chart">
                  <c:ext xmlns:c16="http://schemas.microsoft.com/office/drawing/2014/chart" uri="{C3380CC4-5D6E-409C-BE32-E72D297353CC}">
                    <c16:uniqueId val="{00000016-8346-4BED-A619-00CD2CB65566}"/>
                  </c:ext>
                </c:extLst>
              </c15:ser>
            </c15:filteredBarSeries>
          </c:ext>
        </c:extLst>
      </c:barChart>
      <c:catAx>
        <c:axId val="51837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382831"/>
        <c:crosses val="autoZero"/>
        <c:auto val="1"/>
        <c:lblAlgn val="ctr"/>
        <c:lblOffset val="100"/>
        <c:noMultiLvlLbl val="0"/>
      </c:catAx>
      <c:valAx>
        <c:axId val="518382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Email Ct</a:t>
                </a:r>
              </a:p>
            </c:rich>
          </c:tx>
          <c:layout>
            <c:manualLayout>
              <c:xMode val="edge"/>
              <c:yMode val="edge"/>
              <c:x val="8.7535014005602242E-3"/>
              <c:y val="0.35435278159037459"/>
            </c:manualLayout>
          </c:layout>
          <c:overlay val="0"/>
          <c:spPr>
            <a:noFill/>
            <a:ln>
              <a:noFill/>
            </a:ln>
            <a:effectLst/>
          </c:sp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3728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plotArea>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Maintenance Incident Resolution/EE Updates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HRSO!$BY$25</c:f>
              <c:strCache>
                <c:ptCount val="1"/>
                <c:pt idx="0">
                  <c:v>Quantity</c:v>
                </c:pt>
              </c:strCache>
            </c:strRef>
          </c:tx>
          <c:spPr>
            <a:solidFill>
              <a:schemeClr val="bg1">
                <a:lumMod val="65000"/>
              </a:schemeClr>
            </a:solidFill>
            <a:ln>
              <a:noFill/>
            </a:ln>
            <a:effectLst/>
          </c:spPr>
          <c:invertIfNegative val="0"/>
          <c:cat>
            <c:strRef>
              <c:f>HRSO!$BX$26:$BX$38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HRSO!$BY$26:$BY$38</c:f>
              <c:numCache>
                <c:formatCode>0.0</c:formatCode>
                <c:ptCount val="13"/>
                <c:pt idx="0">
                  <c:v>26.67</c:v>
                </c:pt>
                <c:pt idx="1">
                  <c:v>24.34</c:v>
                </c:pt>
                <c:pt idx="2">
                  <c:v>17.05</c:v>
                </c:pt>
                <c:pt idx="3">
                  <c:v>23.73</c:v>
                </c:pt>
                <c:pt idx="4">
                  <c:v>23.42</c:v>
                </c:pt>
                <c:pt idx="5">
                  <c:v>51.53</c:v>
                </c:pt>
                <c:pt idx="6">
                  <c:v>54.429000000000002</c:v>
                </c:pt>
                <c:pt idx="7">
                  <c:v>11.69</c:v>
                </c:pt>
                <c:pt idx="8">
                  <c:v>20.687000000000001</c:v>
                </c:pt>
                <c:pt idx="9">
                  <c:v>22.768999999999998</c:v>
                </c:pt>
                <c:pt idx="10">
                  <c:v>34.229999999999997</c:v>
                </c:pt>
                <c:pt idx="11">
                  <c:v>58.744999999999997</c:v>
                </c:pt>
                <c:pt idx="12">
                  <c:v>25.925000000000001</c:v>
                </c:pt>
              </c:numCache>
            </c:numRef>
          </c:val>
          <c:extLst>
            <c:ext xmlns:c16="http://schemas.microsoft.com/office/drawing/2014/chart" uri="{C3380CC4-5D6E-409C-BE32-E72D297353CC}">
              <c16:uniqueId val="{00000000-B775-4A66-9976-F3B82E97958F}"/>
            </c:ext>
          </c:extLst>
        </c:ser>
        <c:dLbls>
          <c:showLegendKey val="0"/>
          <c:showVal val="0"/>
          <c:showCatName val="0"/>
          <c:showSerName val="0"/>
          <c:showPercent val="0"/>
          <c:showBubbleSize val="0"/>
        </c:dLbls>
        <c:gapWidth val="75"/>
        <c:overlap val="100"/>
        <c:axId val="812753016"/>
        <c:axId val="812747920"/>
      </c:barChart>
      <c:lineChart>
        <c:grouping val="standard"/>
        <c:varyColors val="0"/>
        <c:ser>
          <c:idx val="2"/>
          <c:order val="1"/>
          <c:tx>
            <c:strRef>
              <c:f>HRSO!$BZ$25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HRSO!$BX$26:$BX$38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HRSO!$BZ$26:$BZ$38</c:f>
              <c:numCache>
                <c:formatCode>0.00</c:formatCode>
                <c:ptCount val="13"/>
                <c:pt idx="0">
                  <c:v>2</c:v>
                </c:pt>
                <c:pt idx="1">
                  <c:v>2</c:v>
                </c:pt>
                <c:pt idx="2">
                  <c:v>2</c:v>
                </c:pt>
                <c:pt idx="3">
                  <c:v>2</c:v>
                </c:pt>
                <c:pt idx="4">
                  <c:v>2</c:v>
                </c:pt>
                <c:pt idx="5">
                  <c:v>2</c:v>
                </c:pt>
                <c:pt idx="6">
                  <c:v>2</c:v>
                </c:pt>
                <c:pt idx="7">
                  <c:v>2</c:v>
                </c:pt>
                <c:pt idx="8">
                  <c:v>2</c:v>
                </c:pt>
                <c:pt idx="9">
                  <c:v>2</c:v>
                </c:pt>
                <c:pt idx="10">
                  <c:v>2</c:v>
                </c:pt>
                <c:pt idx="11">
                  <c:v>2</c:v>
                </c:pt>
                <c:pt idx="12">
                  <c:v>2</c:v>
                </c:pt>
              </c:numCache>
            </c:numRef>
          </c:val>
          <c:smooth val="0"/>
          <c:extLst>
            <c:ext xmlns:c16="http://schemas.microsoft.com/office/drawing/2014/chart" uri="{C3380CC4-5D6E-409C-BE32-E72D297353CC}">
              <c16:uniqueId val="{00000001-B775-4A66-9976-F3B82E97958F}"/>
            </c:ext>
          </c:extLst>
        </c:ser>
        <c:ser>
          <c:idx val="1"/>
          <c:order val="2"/>
          <c:tx>
            <c:strRef>
              <c:f>HRSO!$CA$25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HRSO!$BX$26:$BX$38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HRSO!$CA$26:$CA$38</c:f>
              <c:numCache>
                <c:formatCode>0.00</c:formatCode>
                <c:ptCount val="13"/>
                <c:pt idx="0">
                  <c:v>3.36</c:v>
                </c:pt>
                <c:pt idx="1">
                  <c:v>2.93</c:v>
                </c:pt>
                <c:pt idx="2">
                  <c:v>2.12</c:v>
                </c:pt>
                <c:pt idx="3">
                  <c:v>1.81</c:v>
                </c:pt>
                <c:pt idx="4">
                  <c:v>1.55</c:v>
                </c:pt>
                <c:pt idx="5">
                  <c:v>1.2350000000000001</c:v>
                </c:pt>
                <c:pt idx="6">
                  <c:v>1.2729999999999999</c:v>
                </c:pt>
                <c:pt idx="7">
                  <c:v>1.1399999999999999</c:v>
                </c:pt>
                <c:pt idx="8">
                  <c:v>1.97</c:v>
                </c:pt>
                <c:pt idx="9">
                  <c:v>2.5099999999999998</c:v>
                </c:pt>
                <c:pt idx="10">
                  <c:v>2.37</c:v>
                </c:pt>
                <c:pt idx="11">
                  <c:v>3.6190000000000002</c:v>
                </c:pt>
                <c:pt idx="12">
                  <c:v>3.42</c:v>
                </c:pt>
              </c:numCache>
            </c:numRef>
          </c:val>
          <c:smooth val="0"/>
          <c:extLst>
            <c:ext xmlns:c16="http://schemas.microsoft.com/office/drawing/2014/chart" uri="{C3380CC4-5D6E-409C-BE32-E72D297353CC}">
              <c16:uniqueId val="{00000002-B775-4A66-9976-F3B82E97958F}"/>
            </c:ext>
          </c:extLst>
        </c:ser>
        <c:dLbls>
          <c:showLegendKey val="0"/>
          <c:showVal val="0"/>
          <c:showCatName val="0"/>
          <c:showSerName val="0"/>
          <c:showPercent val="0"/>
          <c:showBubbleSize val="0"/>
        </c:dLbls>
        <c:marker val="1"/>
        <c:smooth val="0"/>
        <c:axId val="812754192"/>
        <c:axId val="812753800"/>
      </c:lineChart>
      <c:valAx>
        <c:axId val="81274792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SNow Tickets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53016"/>
        <c:crosses val="max"/>
        <c:crossBetween val="between"/>
      </c:valAx>
      <c:catAx>
        <c:axId val="812753016"/>
        <c:scaling>
          <c:orientation val="minMax"/>
        </c:scaling>
        <c:delete val="1"/>
        <c:axPos val="b"/>
        <c:numFmt formatCode="General" sourceLinked="1"/>
        <c:majorTickMark val="out"/>
        <c:minorTickMark val="none"/>
        <c:tickLblPos val="nextTo"/>
        <c:crossAx val="812747920"/>
        <c:crosses val="autoZero"/>
        <c:auto val="1"/>
        <c:lblAlgn val="ctr"/>
        <c:lblOffset val="100"/>
        <c:noMultiLvlLbl val="0"/>
      </c:catAx>
      <c:valAx>
        <c:axId val="812753800"/>
        <c:scaling>
          <c:orientation val="minMax"/>
          <c:max val="6"/>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Days to Resolve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54192"/>
        <c:crosses val="autoZero"/>
        <c:crossBetween val="between"/>
      </c:valAx>
      <c:catAx>
        <c:axId val="812754192"/>
        <c:scaling>
          <c:orientation val="minMax"/>
        </c:scaling>
        <c:delete val="1"/>
        <c:axPos val="b"/>
        <c:numFmt formatCode="General" sourceLinked="1"/>
        <c:majorTickMark val="out"/>
        <c:minorTickMark val="none"/>
        <c:tickLblPos val="nextTo"/>
        <c:crossAx val="81275380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Incident Resolution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ADJ!$BY$25</c:f>
              <c:strCache>
                <c:ptCount val="1"/>
                <c:pt idx="0">
                  <c:v>Quantity</c:v>
                </c:pt>
              </c:strCache>
            </c:strRef>
          </c:tx>
          <c:spPr>
            <a:solidFill>
              <a:schemeClr val="bg1">
                <a:lumMod val="65000"/>
              </a:schemeClr>
            </a:solidFill>
            <a:ln>
              <a:noFill/>
            </a:ln>
            <a:effectLst/>
          </c:spPr>
          <c:invertIfNegative val="0"/>
          <c:cat>
            <c:strRef>
              <c:f>ADJ!$BX$26:$BX$38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ADJ!$BY$26:$BY$38</c:f>
              <c:numCache>
                <c:formatCode>0.0</c:formatCode>
                <c:ptCount val="13"/>
                <c:pt idx="0">
                  <c:v>8.2100000000000009</c:v>
                </c:pt>
                <c:pt idx="1">
                  <c:v>3.51</c:v>
                </c:pt>
                <c:pt idx="2">
                  <c:v>3.0960000000000001</c:v>
                </c:pt>
                <c:pt idx="3">
                  <c:v>2.96</c:v>
                </c:pt>
                <c:pt idx="4">
                  <c:v>3.3969999999999998</c:v>
                </c:pt>
                <c:pt idx="5">
                  <c:v>2.6970000000000001</c:v>
                </c:pt>
                <c:pt idx="6">
                  <c:v>1.486</c:v>
                </c:pt>
                <c:pt idx="7">
                  <c:v>0.89900000000000002</c:v>
                </c:pt>
                <c:pt idx="8">
                  <c:v>1.173</c:v>
                </c:pt>
                <c:pt idx="9">
                  <c:v>2.41</c:v>
                </c:pt>
                <c:pt idx="10">
                  <c:v>3.464</c:v>
                </c:pt>
                <c:pt idx="11">
                  <c:v>3.073</c:v>
                </c:pt>
                <c:pt idx="12">
                  <c:v>2.1230000000000002</c:v>
                </c:pt>
              </c:numCache>
            </c:numRef>
          </c:val>
          <c:extLst>
            <c:ext xmlns:c16="http://schemas.microsoft.com/office/drawing/2014/chart" uri="{C3380CC4-5D6E-409C-BE32-E72D297353CC}">
              <c16:uniqueId val="{00000000-D9B7-49C4-9F0E-3E51DB1B07B8}"/>
            </c:ext>
          </c:extLst>
        </c:ser>
        <c:dLbls>
          <c:showLegendKey val="0"/>
          <c:showVal val="0"/>
          <c:showCatName val="0"/>
          <c:showSerName val="0"/>
          <c:showPercent val="0"/>
          <c:showBubbleSize val="0"/>
        </c:dLbls>
        <c:gapWidth val="75"/>
        <c:overlap val="100"/>
        <c:axId val="761724344"/>
        <c:axId val="761723560"/>
      </c:barChart>
      <c:lineChart>
        <c:grouping val="standard"/>
        <c:varyColors val="0"/>
        <c:ser>
          <c:idx val="2"/>
          <c:order val="1"/>
          <c:tx>
            <c:strRef>
              <c:f>ADJ!$BZ$25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ADJ!$BX$26:$BX$38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ADJ!$BZ$26:$BZ$38</c:f>
              <c:numCache>
                <c:formatCode>0.0%</c:formatCode>
                <c:ptCount val="13"/>
                <c:pt idx="0">
                  <c:v>0.95</c:v>
                </c:pt>
                <c:pt idx="1">
                  <c:v>0.95</c:v>
                </c:pt>
                <c:pt idx="2">
                  <c:v>0.95</c:v>
                </c:pt>
                <c:pt idx="3">
                  <c:v>0.95</c:v>
                </c:pt>
                <c:pt idx="4">
                  <c:v>0.95</c:v>
                </c:pt>
                <c:pt idx="5">
                  <c:v>0.95</c:v>
                </c:pt>
                <c:pt idx="6">
                  <c:v>0.95</c:v>
                </c:pt>
                <c:pt idx="7">
                  <c:v>0.95</c:v>
                </c:pt>
                <c:pt idx="8">
                  <c:v>0.95</c:v>
                </c:pt>
                <c:pt idx="9">
                  <c:v>0.95</c:v>
                </c:pt>
                <c:pt idx="10">
                  <c:v>0.95</c:v>
                </c:pt>
                <c:pt idx="11">
                  <c:v>0.95</c:v>
                </c:pt>
                <c:pt idx="12">
                  <c:v>0.95</c:v>
                </c:pt>
              </c:numCache>
            </c:numRef>
          </c:val>
          <c:smooth val="0"/>
          <c:extLst>
            <c:ext xmlns:c16="http://schemas.microsoft.com/office/drawing/2014/chart" uri="{C3380CC4-5D6E-409C-BE32-E72D297353CC}">
              <c16:uniqueId val="{00000001-D9B7-49C4-9F0E-3E51DB1B07B8}"/>
            </c:ext>
          </c:extLst>
        </c:ser>
        <c:ser>
          <c:idx val="1"/>
          <c:order val="2"/>
          <c:tx>
            <c:strRef>
              <c:f>ADJ!$CA$25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ADJ!$BX$26:$BX$38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ADJ!$CA$26:$CA$38</c:f>
              <c:numCache>
                <c:formatCode>0.0%</c:formatCode>
                <c:ptCount val="13"/>
                <c:pt idx="0">
                  <c:v>0.78002436053593172</c:v>
                </c:pt>
                <c:pt idx="1">
                  <c:v>0.96011396011396022</c:v>
                </c:pt>
                <c:pt idx="2">
                  <c:v>0.91989664082687328</c:v>
                </c:pt>
                <c:pt idx="3">
                  <c:v>0.9</c:v>
                </c:pt>
                <c:pt idx="4">
                  <c:v>0.92993818074771861</c:v>
                </c:pt>
                <c:pt idx="5">
                  <c:v>0.88987764182424911</c:v>
                </c:pt>
                <c:pt idx="6">
                  <c:v>0.97981157469717362</c:v>
                </c:pt>
                <c:pt idx="7">
                  <c:v>0.9899888765294772</c:v>
                </c:pt>
                <c:pt idx="8">
                  <c:v>0.98976982097186705</c:v>
                </c:pt>
                <c:pt idx="9">
                  <c:v>0.98008298755186718</c:v>
                </c:pt>
                <c:pt idx="10">
                  <c:v>0.980080831408776</c:v>
                </c:pt>
                <c:pt idx="11">
                  <c:v>0.98991213797591926</c:v>
                </c:pt>
                <c:pt idx="12">
                  <c:v>0.99246349505416864</c:v>
                </c:pt>
              </c:numCache>
            </c:numRef>
          </c:val>
          <c:smooth val="0"/>
          <c:extLst>
            <c:ext xmlns:c16="http://schemas.microsoft.com/office/drawing/2014/chart" uri="{C3380CC4-5D6E-409C-BE32-E72D297353CC}">
              <c16:uniqueId val="{00000002-D9B7-49C4-9F0E-3E51DB1B07B8}"/>
            </c:ext>
          </c:extLst>
        </c:ser>
        <c:dLbls>
          <c:showLegendKey val="0"/>
          <c:showVal val="0"/>
          <c:showCatName val="0"/>
          <c:showSerName val="0"/>
          <c:showPercent val="0"/>
          <c:showBubbleSize val="0"/>
        </c:dLbls>
        <c:marker val="1"/>
        <c:smooth val="0"/>
        <c:axId val="761726696"/>
        <c:axId val="761724736"/>
      </c:lineChart>
      <c:valAx>
        <c:axId val="76172356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Tickets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4344"/>
        <c:crosses val="max"/>
        <c:crossBetween val="between"/>
      </c:valAx>
      <c:catAx>
        <c:axId val="761724344"/>
        <c:scaling>
          <c:orientation val="minMax"/>
        </c:scaling>
        <c:delete val="1"/>
        <c:axPos val="b"/>
        <c:numFmt formatCode="General" sourceLinked="1"/>
        <c:majorTickMark val="out"/>
        <c:minorTickMark val="none"/>
        <c:tickLblPos val="nextTo"/>
        <c:crossAx val="761723560"/>
        <c:crosses val="autoZero"/>
        <c:auto val="1"/>
        <c:lblAlgn val="ctr"/>
        <c:lblOffset val="100"/>
        <c:noMultiLvlLbl val="0"/>
      </c:catAx>
      <c:valAx>
        <c:axId val="76172473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6696"/>
        <c:crosses val="autoZero"/>
        <c:crossBetween val="between"/>
      </c:valAx>
      <c:catAx>
        <c:axId val="761726696"/>
        <c:scaling>
          <c:orientation val="minMax"/>
        </c:scaling>
        <c:delete val="1"/>
        <c:axPos val="b"/>
        <c:numFmt formatCode="General" sourceLinked="1"/>
        <c:majorTickMark val="out"/>
        <c:minorTickMark val="none"/>
        <c:tickLblPos val="nextTo"/>
        <c:crossAx val="76172473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Same Day Initial Review of Background Checks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ADJ!$BY$44</c:f>
              <c:strCache>
                <c:ptCount val="1"/>
                <c:pt idx="0">
                  <c:v>Quantity</c:v>
                </c:pt>
              </c:strCache>
            </c:strRef>
          </c:tx>
          <c:spPr>
            <a:solidFill>
              <a:schemeClr val="bg1">
                <a:lumMod val="65000"/>
              </a:schemeClr>
            </a:solidFill>
            <a:ln>
              <a:noFill/>
            </a:ln>
            <a:effectLst/>
          </c:spPr>
          <c:invertIfNegative val="0"/>
          <c:cat>
            <c:strRef>
              <c:f>ADJ!$BX$45:$BX$57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ADJ!$BY$45:$BY$57</c:f>
              <c:numCache>
                <c:formatCode>0.0</c:formatCode>
                <c:ptCount val="13"/>
                <c:pt idx="0">
                  <c:v>16.483000000000001</c:v>
                </c:pt>
                <c:pt idx="1">
                  <c:v>11.776999999999999</c:v>
                </c:pt>
                <c:pt idx="2">
                  <c:v>11.878</c:v>
                </c:pt>
                <c:pt idx="3">
                  <c:v>14.680999999999999</c:v>
                </c:pt>
                <c:pt idx="4">
                  <c:v>15.493</c:v>
                </c:pt>
                <c:pt idx="5">
                  <c:v>9.4879999999999995</c:v>
                </c:pt>
                <c:pt idx="6">
                  <c:v>3.8650000000000002</c:v>
                </c:pt>
                <c:pt idx="7">
                  <c:v>2.7970000000000002</c:v>
                </c:pt>
                <c:pt idx="8">
                  <c:v>5.0220000000000002</c:v>
                </c:pt>
                <c:pt idx="9">
                  <c:v>7.82</c:v>
                </c:pt>
                <c:pt idx="10">
                  <c:v>5.9509999999999996</c:v>
                </c:pt>
                <c:pt idx="11">
                  <c:v>5.7</c:v>
                </c:pt>
                <c:pt idx="12">
                  <c:v>4.5149999999999997</c:v>
                </c:pt>
              </c:numCache>
            </c:numRef>
          </c:val>
          <c:extLst>
            <c:ext xmlns:c16="http://schemas.microsoft.com/office/drawing/2014/chart" uri="{C3380CC4-5D6E-409C-BE32-E72D297353CC}">
              <c16:uniqueId val="{00000000-2FCC-4DA2-BE79-D0FA7B564EE4}"/>
            </c:ext>
          </c:extLst>
        </c:ser>
        <c:dLbls>
          <c:showLegendKey val="0"/>
          <c:showVal val="0"/>
          <c:showCatName val="0"/>
          <c:showSerName val="0"/>
          <c:showPercent val="0"/>
          <c:showBubbleSize val="0"/>
        </c:dLbls>
        <c:gapWidth val="75"/>
        <c:overlap val="100"/>
        <c:axId val="761732184"/>
        <c:axId val="761727088"/>
      </c:barChart>
      <c:lineChart>
        <c:grouping val="standard"/>
        <c:varyColors val="0"/>
        <c:ser>
          <c:idx val="2"/>
          <c:order val="1"/>
          <c:tx>
            <c:strRef>
              <c:f>ADJ!$BZ$44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ADJ!$BX$45:$BX$57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ADJ!$BZ$45:$BZ$57</c:f>
              <c:numCache>
                <c:formatCode>0.0%</c:formatCode>
                <c:ptCount val="13"/>
                <c:pt idx="0">
                  <c:v>0.95</c:v>
                </c:pt>
                <c:pt idx="1">
                  <c:v>0.95</c:v>
                </c:pt>
                <c:pt idx="2">
                  <c:v>0.95</c:v>
                </c:pt>
                <c:pt idx="3">
                  <c:v>0.95</c:v>
                </c:pt>
                <c:pt idx="4">
                  <c:v>0.95</c:v>
                </c:pt>
                <c:pt idx="5">
                  <c:v>0.95</c:v>
                </c:pt>
                <c:pt idx="6">
                  <c:v>0.95</c:v>
                </c:pt>
                <c:pt idx="7">
                  <c:v>0.95</c:v>
                </c:pt>
                <c:pt idx="8">
                  <c:v>0.95</c:v>
                </c:pt>
                <c:pt idx="9">
                  <c:v>0.95</c:v>
                </c:pt>
                <c:pt idx="10">
                  <c:v>0.95</c:v>
                </c:pt>
                <c:pt idx="11">
                  <c:v>0.95</c:v>
                </c:pt>
                <c:pt idx="12">
                  <c:v>0.95</c:v>
                </c:pt>
              </c:numCache>
            </c:numRef>
          </c:val>
          <c:smooth val="0"/>
          <c:extLst>
            <c:ext xmlns:c16="http://schemas.microsoft.com/office/drawing/2014/chart" uri="{C3380CC4-5D6E-409C-BE32-E72D297353CC}">
              <c16:uniqueId val="{00000001-2FCC-4DA2-BE79-D0FA7B564EE4}"/>
            </c:ext>
          </c:extLst>
        </c:ser>
        <c:ser>
          <c:idx val="1"/>
          <c:order val="2"/>
          <c:tx>
            <c:strRef>
              <c:f>ADJ!$CA$44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ADJ!$BX$45:$BX$57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ADJ!$CA$45:$CA$57</c:f>
              <c:numCache>
                <c:formatCode>0.0%</c:formatCode>
                <c:ptCount val="13"/>
                <c:pt idx="0">
                  <c:v>0.97002972759813144</c:v>
                </c:pt>
                <c:pt idx="1">
                  <c:v>0.97996094081684648</c:v>
                </c:pt>
                <c:pt idx="2">
                  <c:v>0.97996295672672173</c:v>
                </c:pt>
                <c:pt idx="3">
                  <c:v>0.92997752196716854</c:v>
                </c:pt>
                <c:pt idx="4">
                  <c:v>0.94997740915252049</c:v>
                </c:pt>
                <c:pt idx="5">
                  <c:v>0.95994940978077581</c:v>
                </c:pt>
                <c:pt idx="6">
                  <c:v>0.98007761966364804</c:v>
                </c:pt>
                <c:pt idx="7">
                  <c:v>0.96996782266714332</c:v>
                </c:pt>
                <c:pt idx="8">
                  <c:v>0.99004380724810837</c:v>
                </c:pt>
                <c:pt idx="9">
                  <c:v>0.98005115089514061</c:v>
                </c:pt>
                <c:pt idx="10">
                  <c:v>0.98991766089732824</c:v>
                </c:pt>
                <c:pt idx="11">
                  <c:v>0.967017543859649</c:v>
                </c:pt>
                <c:pt idx="12">
                  <c:v>0.9738648947951275</c:v>
                </c:pt>
              </c:numCache>
            </c:numRef>
          </c:val>
          <c:smooth val="0"/>
          <c:extLst>
            <c:ext xmlns:c16="http://schemas.microsoft.com/office/drawing/2014/chart" uri="{C3380CC4-5D6E-409C-BE32-E72D297353CC}">
              <c16:uniqueId val="{00000002-2FCC-4DA2-BE79-D0FA7B564EE4}"/>
            </c:ext>
          </c:extLst>
        </c:ser>
        <c:dLbls>
          <c:showLegendKey val="0"/>
          <c:showVal val="0"/>
          <c:showCatName val="0"/>
          <c:showSerName val="0"/>
          <c:showPercent val="0"/>
          <c:showBubbleSize val="0"/>
        </c:dLbls>
        <c:marker val="1"/>
        <c:smooth val="0"/>
        <c:axId val="761730224"/>
        <c:axId val="761732576"/>
      </c:lineChart>
      <c:valAx>
        <c:axId val="761727088"/>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Ordered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32184"/>
        <c:crosses val="max"/>
        <c:crossBetween val="between"/>
      </c:valAx>
      <c:catAx>
        <c:axId val="761732184"/>
        <c:scaling>
          <c:orientation val="minMax"/>
        </c:scaling>
        <c:delete val="1"/>
        <c:axPos val="b"/>
        <c:numFmt formatCode="General" sourceLinked="1"/>
        <c:majorTickMark val="out"/>
        <c:minorTickMark val="none"/>
        <c:tickLblPos val="nextTo"/>
        <c:crossAx val="761727088"/>
        <c:crosses val="autoZero"/>
        <c:auto val="1"/>
        <c:lblAlgn val="ctr"/>
        <c:lblOffset val="100"/>
        <c:noMultiLvlLbl val="0"/>
      </c:catAx>
      <c:valAx>
        <c:axId val="76173257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Reviewed in 1 Day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30224"/>
        <c:crosses val="autoZero"/>
        <c:crossBetween val="between"/>
      </c:valAx>
      <c:catAx>
        <c:axId val="761730224"/>
        <c:scaling>
          <c:orientation val="minMax"/>
        </c:scaling>
        <c:delete val="1"/>
        <c:axPos val="b"/>
        <c:numFmt formatCode="General" sourceLinked="1"/>
        <c:majorTickMark val="out"/>
        <c:minorTickMark val="none"/>
        <c:tickLblPos val="nextTo"/>
        <c:crossAx val="76173257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Background Checks (Order to Complete)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ADJ!$BY$63</c:f>
              <c:strCache>
                <c:ptCount val="1"/>
                <c:pt idx="0">
                  <c:v>Quantity</c:v>
                </c:pt>
              </c:strCache>
            </c:strRef>
          </c:tx>
          <c:spPr>
            <a:solidFill>
              <a:schemeClr val="bg1">
                <a:lumMod val="65000"/>
              </a:schemeClr>
            </a:solidFill>
            <a:ln>
              <a:noFill/>
            </a:ln>
            <a:effectLst/>
          </c:spPr>
          <c:invertIfNegative val="0"/>
          <c:cat>
            <c:strRef>
              <c:f>ADJ!$BX$64:$BX$76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ADJ!$BY$64:$BY$76</c:f>
              <c:numCache>
                <c:formatCode>0.0</c:formatCode>
                <c:ptCount val="13"/>
                <c:pt idx="0">
                  <c:v>16.483000000000001</c:v>
                </c:pt>
                <c:pt idx="1">
                  <c:v>11.776999999999999</c:v>
                </c:pt>
                <c:pt idx="2">
                  <c:v>11.878</c:v>
                </c:pt>
                <c:pt idx="3">
                  <c:v>14.680999999999999</c:v>
                </c:pt>
                <c:pt idx="4">
                  <c:v>15.493</c:v>
                </c:pt>
                <c:pt idx="5">
                  <c:v>9.4879999999999995</c:v>
                </c:pt>
                <c:pt idx="6">
                  <c:v>3.8650000000000002</c:v>
                </c:pt>
                <c:pt idx="7">
                  <c:v>2.7970000000000002</c:v>
                </c:pt>
                <c:pt idx="8">
                  <c:v>5.0220000000000002</c:v>
                </c:pt>
                <c:pt idx="9">
                  <c:v>7.82</c:v>
                </c:pt>
                <c:pt idx="10">
                  <c:v>5.9509999999999996</c:v>
                </c:pt>
                <c:pt idx="11">
                  <c:v>5.7</c:v>
                </c:pt>
                <c:pt idx="12">
                  <c:v>3.7069999999999999</c:v>
                </c:pt>
              </c:numCache>
            </c:numRef>
          </c:val>
          <c:extLst>
            <c:ext xmlns:c16="http://schemas.microsoft.com/office/drawing/2014/chart" uri="{C3380CC4-5D6E-409C-BE32-E72D297353CC}">
              <c16:uniqueId val="{00000000-3107-4AB8-8343-ACF181A66D50}"/>
            </c:ext>
          </c:extLst>
        </c:ser>
        <c:dLbls>
          <c:showLegendKey val="0"/>
          <c:showVal val="0"/>
          <c:showCatName val="0"/>
          <c:showSerName val="0"/>
          <c:showPercent val="0"/>
          <c:showBubbleSize val="0"/>
        </c:dLbls>
        <c:gapWidth val="75"/>
        <c:overlap val="100"/>
        <c:axId val="761729440"/>
        <c:axId val="761727480"/>
      </c:barChart>
      <c:lineChart>
        <c:grouping val="standard"/>
        <c:varyColors val="0"/>
        <c:ser>
          <c:idx val="2"/>
          <c:order val="1"/>
          <c:tx>
            <c:strRef>
              <c:f>ADJ!$BZ$63</c:f>
              <c:strCache>
                <c:ptCount val="1"/>
                <c:pt idx="0">
                  <c:v>Goal</c:v>
                </c:pt>
              </c:strCache>
            </c:strRef>
          </c:tx>
          <c:spPr>
            <a:ln w="28575" cap="rnd">
              <a:solidFill>
                <a:srgbClr val="00FF00"/>
              </a:solidFill>
              <a:round/>
            </a:ln>
            <a:effectLst/>
          </c:spPr>
          <c:marker>
            <c:symbol val="circle"/>
            <c:size val="5"/>
            <c:spPr>
              <a:solidFill>
                <a:srgbClr val="00FF00"/>
              </a:solidFill>
              <a:ln w="9525">
                <a:solidFill>
                  <a:schemeClr val="accent3"/>
                </a:solidFill>
              </a:ln>
              <a:effectLst/>
            </c:spPr>
          </c:marker>
          <c:cat>
            <c:strRef>
              <c:f>ADJ!$BX$64:$BX$76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ADJ!$BZ$64:$BZ$76</c:f>
              <c:numCache>
                <c:formatCode>#,##0.00_);\(#,##0.00\)</c:formatCode>
                <c:ptCount val="13"/>
                <c:pt idx="0">
                  <c:v>5</c:v>
                </c:pt>
                <c:pt idx="1">
                  <c:v>5</c:v>
                </c:pt>
                <c:pt idx="2">
                  <c:v>5</c:v>
                </c:pt>
                <c:pt idx="3">
                  <c:v>5</c:v>
                </c:pt>
                <c:pt idx="4">
                  <c:v>5</c:v>
                </c:pt>
                <c:pt idx="5">
                  <c:v>5</c:v>
                </c:pt>
                <c:pt idx="6">
                  <c:v>5</c:v>
                </c:pt>
                <c:pt idx="7">
                  <c:v>5</c:v>
                </c:pt>
                <c:pt idx="8">
                  <c:v>5</c:v>
                </c:pt>
                <c:pt idx="9">
                  <c:v>5</c:v>
                </c:pt>
                <c:pt idx="10">
                  <c:v>5</c:v>
                </c:pt>
                <c:pt idx="11">
                  <c:v>5</c:v>
                </c:pt>
                <c:pt idx="12">
                  <c:v>5</c:v>
                </c:pt>
              </c:numCache>
            </c:numRef>
          </c:val>
          <c:smooth val="0"/>
          <c:extLst>
            <c:ext xmlns:c16="http://schemas.microsoft.com/office/drawing/2014/chart" uri="{C3380CC4-5D6E-409C-BE32-E72D297353CC}">
              <c16:uniqueId val="{00000001-3107-4AB8-8343-ACF181A66D50}"/>
            </c:ext>
          </c:extLst>
        </c:ser>
        <c:ser>
          <c:idx val="1"/>
          <c:order val="2"/>
          <c:tx>
            <c:strRef>
              <c:f>ADJ!$CA$63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ADJ!$BX$64:$BX$76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ADJ!$CA$64:$CA$76</c:f>
              <c:numCache>
                <c:formatCode>#,##0.00_);\(#,##0.00\)</c:formatCode>
                <c:ptCount val="13"/>
                <c:pt idx="0">
                  <c:v>4.37</c:v>
                </c:pt>
                <c:pt idx="1">
                  <c:v>3.85</c:v>
                </c:pt>
                <c:pt idx="2">
                  <c:v>4.0599999999999996</c:v>
                </c:pt>
                <c:pt idx="3">
                  <c:v>3.36</c:v>
                </c:pt>
                <c:pt idx="4">
                  <c:v>4.16</c:v>
                </c:pt>
                <c:pt idx="5">
                  <c:v>5.36</c:v>
                </c:pt>
                <c:pt idx="6">
                  <c:v>7.14</c:v>
                </c:pt>
                <c:pt idx="7">
                  <c:v>5.6</c:v>
                </c:pt>
                <c:pt idx="8">
                  <c:v>4.2699999999999996</c:v>
                </c:pt>
                <c:pt idx="9">
                  <c:v>4.26</c:v>
                </c:pt>
                <c:pt idx="10">
                  <c:v>3.81</c:v>
                </c:pt>
                <c:pt idx="11">
                  <c:v>4.68</c:v>
                </c:pt>
                <c:pt idx="12">
                  <c:v>5.07</c:v>
                </c:pt>
              </c:numCache>
            </c:numRef>
          </c:val>
          <c:smooth val="0"/>
          <c:extLst>
            <c:ext xmlns:c16="http://schemas.microsoft.com/office/drawing/2014/chart" uri="{C3380CC4-5D6E-409C-BE32-E72D297353CC}">
              <c16:uniqueId val="{00000002-3107-4AB8-8343-ACF181A66D50}"/>
            </c:ext>
          </c:extLst>
        </c:ser>
        <c:dLbls>
          <c:showLegendKey val="0"/>
          <c:showVal val="0"/>
          <c:showCatName val="0"/>
          <c:showSerName val="0"/>
          <c:showPercent val="0"/>
          <c:showBubbleSize val="0"/>
        </c:dLbls>
        <c:marker val="1"/>
        <c:smooth val="0"/>
        <c:axId val="761727872"/>
        <c:axId val="761729832"/>
      </c:lineChart>
      <c:valAx>
        <c:axId val="76172748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Ordered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9440"/>
        <c:crosses val="max"/>
        <c:crossBetween val="between"/>
      </c:valAx>
      <c:catAx>
        <c:axId val="761729440"/>
        <c:scaling>
          <c:orientation val="minMax"/>
        </c:scaling>
        <c:delete val="1"/>
        <c:axPos val="b"/>
        <c:numFmt formatCode="General" sourceLinked="1"/>
        <c:majorTickMark val="out"/>
        <c:minorTickMark val="none"/>
        <c:tickLblPos val="nextTo"/>
        <c:crossAx val="761727480"/>
        <c:crosses val="autoZero"/>
        <c:auto val="1"/>
        <c:lblAlgn val="ctr"/>
        <c:lblOffset val="100"/>
        <c:noMultiLvlLbl val="0"/>
      </c:catAx>
      <c:valAx>
        <c:axId val="761729832"/>
        <c:scaling>
          <c:orientation val="minMax"/>
          <c:max val="1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_);\(#,##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7872"/>
        <c:crosses val="autoZero"/>
        <c:crossBetween val="between"/>
      </c:valAx>
      <c:catAx>
        <c:axId val="761727872"/>
        <c:scaling>
          <c:orientation val="minMax"/>
        </c:scaling>
        <c:delete val="1"/>
        <c:axPos val="b"/>
        <c:numFmt formatCode="General" sourceLinked="1"/>
        <c:majorTickMark val="out"/>
        <c:minorTickMark val="none"/>
        <c:tickLblPos val="nextTo"/>
        <c:crossAx val="76172983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Integration</a:t>
            </a:r>
            <a:r>
              <a:rPr lang="en-US" baseline="0"/>
              <a:t> Mystaffing (Hires</a:t>
            </a:r>
            <a:r>
              <a:rPr lang="en-US"/>
              <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ADJ!$BY$82</c:f>
              <c:strCache>
                <c:ptCount val="1"/>
                <c:pt idx="0">
                  <c:v>Quantity</c:v>
                </c:pt>
              </c:strCache>
            </c:strRef>
          </c:tx>
          <c:spPr>
            <a:solidFill>
              <a:sysClr val="window" lastClr="FFFFFF">
                <a:lumMod val="65000"/>
              </a:sysClr>
            </a:solidFill>
            <a:ln>
              <a:noFill/>
            </a:ln>
            <a:effectLst/>
          </c:spPr>
          <c:invertIfNegative val="0"/>
          <c:cat>
            <c:strRef>
              <c:f>ADJ!$BX$83:$BX$95</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ADJ!$BY$83:$BY$95</c:f>
              <c:numCache>
                <c:formatCode>0.0</c:formatCode>
                <c:ptCount val="13"/>
                <c:pt idx="0">
                  <c:v>7.4409999999999998</c:v>
                </c:pt>
                <c:pt idx="1">
                  <c:v>4.2530000000000001</c:v>
                </c:pt>
                <c:pt idx="2">
                  <c:v>3.2080000000000002</c:v>
                </c:pt>
                <c:pt idx="3">
                  <c:v>5.9359999999999999</c:v>
                </c:pt>
                <c:pt idx="4">
                  <c:v>6.5979999999999999</c:v>
                </c:pt>
                <c:pt idx="5">
                  <c:v>4.0590000000000002</c:v>
                </c:pt>
                <c:pt idx="6">
                  <c:v>0.77900000000000003</c:v>
                </c:pt>
                <c:pt idx="7">
                  <c:v>0.874</c:v>
                </c:pt>
                <c:pt idx="8">
                  <c:v>1.5129999999999999</c:v>
                </c:pt>
                <c:pt idx="9">
                  <c:v>2.58</c:v>
                </c:pt>
                <c:pt idx="10">
                  <c:v>4.5720000000000001</c:v>
                </c:pt>
                <c:pt idx="11">
                  <c:v>3.9209999999999998</c:v>
                </c:pt>
                <c:pt idx="12">
                  <c:v>2.8290000000000002</c:v>
                </c:pt>
              </c:numCache>
            </c:numRef>
          </c:val>
          <c:extLst>
            <c:ext xmlns:c16="http://schemas.microsoft.com/office/drawing/2014/chart" uri="{C3380CC4-5D6E-409C-BE32-E72D297353CC}">
              <c16:uniqueId val="{00000000-7E3C-40A4-8EB6-3CF76E3E1E23}"/>
            </c:ext>
          </c:extLst>
        </c:ser>
        <c:dLbls>
          <c:showLegendKey val="0"/>
          <c:showVal val="0"/>
          <c:showCatName val="0"/>
          <c:showSerName val="0"/>
          <c:showPercent val="0"/>
          <c:showBubbleSize val="0"/>
        </c:dLbls>
        <c:gapWidth val="75"/>
        <c:overlap val="100"/>
        <c:axId val="761729440"/>
        <c:axId val="761727480"/>
      </c:barChart>
      <c:lineChart>
        <c:grouping val="standard"/>
        <c:varyColors val="0"/>
        <c:ser>
          <c:idx val="2"/>
          <c:order val="1"/>
          <c:tx>
            <c:strRef>
              <c:f>ADJ!$BZ$82</c:f>
              <c:strCache>
                <c:ptCount val="1"/>
                <c:pt idx="0">
                  <c:v>Goal</c:v>
                </c:pt>
              </c:strCache>
            </c:strRef>
          </c:tx>
          <c:spPr>
            <a:ln w="28575" cap="rnd">
              <a:solidFill>
                <a:srgbClr val="00FF00"/>
              </a:solidFill>
              <a:round/>
            </a:ln>
            <a:effectLst/>
          </c:spPr>
          <c:marker>
            <c:symbol val="circle"/>
            <c:size val="5"/>
            <c:spPr>
              <a:solidFill>
                <a:srgbClr val="00FF00"/>
              </a:solidFill>
              <a:ln w="9525">
                <a:solidFill>
                  <a:schemeClr val="accent3"/>
                </a:solidFill>
              </a:ln>
              <a:effectLst/>
            </c:spPr>
          </c:marker>
          <c:cat>
            <c:strRef>
              <c:f>ADJ!$BX$83:$BX$95</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ADJ!$BZ$83:$BZ$95</c:f>
              <c:numCache>
                <c:formatCode>#,##0.00_);\(#,##0.00\)</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1-7E3C-40A4-8EB6-3CF76E3E1E23}"/>
            </c:ext>
          </c:extLst>
        </c:ser>
        <c:ser>
          <c:idx val="1"/>
          <c:order val="2"/>
          <c:tx>
            <c:strRef>
              <c:f>ADJ!$CA$82</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ADJ!$BX$83:$BX$95</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ADJ!$CA$83:$CA$95</c:f>
              <c:numCache>
                <c:formatCode>#,##0.00_);\(#,##0.00\)</c:formatCode>
                <c:ptCount val="13"/>
                <c:pt idx="0">
                  <c:v>0.11</c:v>
                </c:pt>
                <c:pt idx="1">
                  <c:v>0.06</c:v>
                </c:pt>
                <c:pt idx="2">
                  <c:v>0.06</c:v>
                </c:pt>
                <c:pt idx="3">
                  <c:v>0.09</c:v>
                </c:pt>
                <c:pt idx="4">
                  <c:v>0.08</c:v>
                </c:pt>
                <c:pt idx="5">
                  <c:v>0.05</c:v>
                </c:pt>
                <c:pt idx="6">
                  <c:v>0.01</c:v>
                </c:pt>
                <c:pt idx="7">
                  <c:v>0.04</c:v>
                </c:pt>
                <c:pt idx="8">
                  <c:v>0.05</c:v>
                </c:pt>
                <c:pt idx="9">
                  <c:v>7.4999999999999997E-2</c:v>
                </c:pt>
                <c:pt idx="10">
                  <c:v>0.11</c:v>
                </c:pt>
                <c:pt idx="11">
                  <c:v>0.12</c:v>
                </c:pt>
                <c:pt idx="12">
                  <c:v>0.12</c:v>
                </c:pt>
              </c:numCache>
            </c:numRef>
          </c:val>
          <c:smooth val="0"/>
          <c:extLst>
            <c:ext xmlns:c16="http://schemas.microsoft.com/office/drawing/2014/chart" uri="{C3380CC4-5D6E-409C-BE32-E72D297353CC}">
              <c16:uniqueId val="{00000002-7E3C-40A4-8EB6-3CF76E3E1E23}"/>
            </c:ext>
          </c:extLst>
        </c:ser>
        <c:dLbls>
          <c:showLegendKey val="0"/>
          <c:showVal val="0"/>
          <c:showCatName val="0"/>
          <c:showSerName val="0"/>
          <c:showPercent val="0"/>
          <c:showBubbleSize val="0"/>
        </c:dLbls>
        <c:marker val="1"/>
        <c:smooth val="0"/>
        <c:axId val="761727872"/>
        <c:axId val="761729832"/>
      </c:lineChart>
      <c:valAx>
        <c:axId val="76172748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Hires/rehires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9440"/>
        <c:crosses val="max"/>
        <c:crossBetween val="between"/>
      </c:valAx>
      <c:catAx>
        <c:axId val="761729440"/>
        <c:scaling>
          <c:orientation val="minMax"/>
        </c:scaling>
        <c:delete val="1"/>
        <c:axPos val="b"/>
        <c:numFmt formatCode="General" sourceLinked="1"/>
        <c:majorTickMark val="out"/>
        <c:minorTickMark val="none"/>
        <c:tickLblPos val="nextTo"/>
        <c:crossAx val="761727480"/>
        <c:crosses val="autoZero"/>
        <c:auto val="1"/>
        <c:lblAlgn val="ctr"/>
        <c:lblOffset val="100"/>
        <c:noMultiLvlLbl val="0"/>
      </c:catAx>
      <c:valAx>
        <c:axId val="761729832"/>
        <c:scaling>
          <c:orientation val="minMax"/>
          <c:max val="1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_);\(#,##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7872"/>
        <c:crosses val="autoZero"/>
        <c:crossBetween val="between"/>
      </c:valAx>
      <c:catAx>
        <c:axId val="761727872"/>
        <c:scaling>
          <c:orientation val="minMax"/>
        </c:scaling>
        <c:delete val="1"/>
        <c:axPos val="b"/>
        <c:numFmt formatCode="General" sourceLinked="1"/>
        <c:majorTickMark val="out"/>
        <c:minorTickMark val="none"/>
        <c:tickLblPos val="nextTo"/>
        <c:crossAx val="76172983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Satisfaction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MyHRT1!$BY$25</c:f>
              <c:strCache>
                <c:ptCount val="1"/>
                <c:pt idx="0">
                  <c:v>Quantity</c:v>
                </c:pt>
              </c:strCache>
            </c:strRef>
          </c:tx>
          <c:spPr>
            <a:solidFill>
              <a:schemeClr val="bg1">
                <a:lumMod val="65000"/>
              </a:schemeClr>
            </a:solidFill>
            <a:ln>
              <a:noFill/>
            </a:ln>
            <a:effectLst/>
          </c:spPr>
          <c:invertIfNegative val="0"/>
          <c:cat>
            <c:strRef>
              <c:f>MyHRT1!$BX$26:$BX$38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MyHRT1!$BY$26:$BY$38</c:f>
              <c:numCache>
                <c:formatCode>0.0</c:formatCode>
                <c:ptCount val="13"/>
                <c:pt idx="0">
                  <c:v>0</c:v>
                </c:pt>
                <c:pt idx="1">
                  <c:v>0</c:v>
                </c:pt>
                <c:pt idx="2">
                  <c:v>0</c:v>
                </c:pt>
                <c:pt idx="3">
                  <c:v>0</c:v>
                </c:pt>
                <c:pt idx="4">
                  <c:v>0</c:v>
                </c:pt>
                <c:pt idx="5">
                  <c:v>0</c:v>
                </c:pt>
                <c:pt idx="6">
                  <c:v>0.32572799999999996</c:v>
                </c:pt>
                <c:pt idx="7">
                  <c:v>0.29981999999999998</c:v>
                </c:pt>
                <c:pt idx="8">
                  <c:v>0.230958</c:v>
                </c:pt>
                <c:pt idx="9">
                  <c:v>0.31900000000000001</c:v>
                </c:pt>
                <c:pt idx="10">
                  <c:v>0.32016</c:v>
                </c:pt>
                <c:pt idx="11">
                  <c:v>0.29199999999999998</c:v>
                </c:pt>
                <c:pt idx="12">
                  <c:v>0.29399999999999998</c:v>
                </c:pt>
              </c:numCache>
            </c:numRef>
          </c:val>
          <c:extLst>
            <c:ext xmlns:c16="http://schemas.microsoft.com/office/drawing/2014/chart" uri="{C3380CC4-5D6E-409C-BE32-E72D297353CC}">
              <c16:uniqueId val="{00000000-7B48-4CF7-A0FC-93B8A2B0FAA9}"/>
            </c:ext>
          </c:extLst>
        </c:ser>
        <c:dLbls>
          <c:showLegendKey val="0"/>
          <c:showVal val="0"/>
          <c:showCatName val="0"/>
          <c:showSerName val="0"/>
          <c:showPercent val="0"/>
          <c:showBubbleSize val="0"/>
        </c:dLbls>
        <c:gapWidth val="75"/>
        <c:overlap val="100"/>
        <c:axId val="761725912"/>
        <c:axId val="761731792"/>
      </c:barChart>
      <c:lineChart>
        <c:grouping val="standard"/>
        <c:varyColors val="0"/>
        <c:ser>
          <c:idx val="2"/>
          <c:order val="1"/>
          <c:tx>
            <c:strRef>
              <c:f>MyHRT1!$BZ$25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MyHRT1!$BX$26:$BX$38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MyHRT1!$BZ$26:$BZ$38</c:f>
              <c:numCache>
                <c:formatCode>0.0%</c:formatCode>
                <c:ptCount val="13"/>
                <c:pt idx="0">
                  <c:v>0.9</c:v>
                </c:pt>
                <c:pt idx="1">
                  <c:v>0.9</c:v>
                </c:pt>
                <c:pt idx="2">
                  <c:v>0.9</c:v>
                </c:pt>
                <c:pt idx="3">
                  <c:v>0.9</c:v>
                </c:pt>
                <c:pt idx="4">
                  <c:v>0.9</c:v>
                </c:pt>
                <c:pt idx="5">
                  <c:v>0.9</c:v>
                </c:pt>
                <c:pt idx="6">
                  <c:v>0.9</c:v>
                </c:pt>
                <c:pt idx="7">
                  <c:v>0.9</c:v>
                </c:pt>
                <c:pt idx="8">
                  <c:v>0.9</c:v>
                </c:pt>
                <c:pt idx="9">
                  <c:v>0.9</c:v>
                </c:pt>
                <c:pt idx="10">
                  <c:v>0.9</c:v>
                </c:pt>
                <c:pt idx="11">
                  <c:v>0.9</c:v>
                </c:pt>
                <c:pt idx="12">
                  <c:v>0.9</c:v>
                </c:pt>
              </c:numCache>
            </c:numRef>
          </c:val>
          <c:smooth val="0"/>
          <c:extLst>
            <c:ext xmlns:c16="http://schemas.microsoft.com/office/drawing/2014/chart" uri="{C3380CC4-5D6E-409C-BE32-E72D297353CC}">
              <c16:uniqueId val="{00000001-7B48-4CF7-A0FC-93B8A2B0FAA9}"/>
            </c:ext>
          </c:extLst>
        </c:ser>
        <c:ser>
          <c:idx val="1"/>
          <c:order val="2"/>
          <c:tx>
            <c:strRef>
              <c:f>MyHRT1!$CA$25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MyHRT1!$BX$26:$BX$38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MyHRT1!$CA$26:$CA$38</c:f>
              <c:numCache>
                <c:formatCode>0.0%</c:formatCode>
                <c:ptCount val="13"/>
                <c:pt idx="0">
                  <c:v>#N/A</c:v>
                </c:pt>
                <c:pt idx="1">
                  <c:v>#N/A</c:v>
                </c:pt>
                <c:pt idx="2">
                  <c:v>#N/A</c:v>
                </c:pt>
                <c:pt idx="3">
                  <c:v>#N/A</c:v>
                </c:pt>
                <c:pt idx="4">
                  <c:v>#N/A</c:v>
                </c:pt>
                <c:pt idx="5">
                  <c:v>#N/A</c:v>
                </c:pt>
                <c:pt idx="6">
                  <c:v>0.95600000000000007</c:v>
                </c:pt>
                <c:pt idx="7">
                  <c:v>0.85</c:v>
                </c:pt>
                <c:pt idx="8">
                  <c:v>0.88800000000000012</c:v>
                </c:pt>
                <c:pt idx="9">
                  <c:v>0.90199999999999991</c:v>
                </c:pt>
                <c:pt idx="10">
                  <c:v>0.87799999999999989</c:v>
                </c:pt>
                <c:pt idx="11">
                  <c:v>0.98399999999999999</c:v>
                </c:pt>
                <c:pt idx="12">
                  <c:v>0.9880000000000001</c:v>
                </c:pt>
              </c:numCache>
            </c:numRef>
          </c:val>
          <c:smooth val="0"/>
          <c:extLst>
            <c:ext xmlns:c16="http://schemas.microsoft.com/office/drawing/2014/chart" uri="{C3380CC4-5D6E-409C-BE32-E72D297353CC}">
              <c16:uniqueId val="{00000002-7B48-4CF7-A0FC-93B8A2B0FAA9}"/>
            </c:ext>
          </c:extLst>
        </c:ser>
        <c:dLbls>
          <c:showLegendKey val="0"/>
          <c:showVal val="0"/>
          <c:showCatName val="0"/>
          <c:showSerName val="0"/>
          <c:showPercent val="0"/>
          <c:showBubbleSize val="0"/>
        </c:dLbls>
        <c:marker val="1"/>
        <c:smooth val="0"/>
        <c:axId val="812748312"/>
        <c:axId val="812755760"/>
      </c:lineChart>
      <c:valAx>
        <c:axId val="76173179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Surveys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5912"/>
        <c:crosses val="max"/>
        <c:crossBetween val="between"/>
      </c:valAx>
      <c:catAx>
        <c:axId val="761725912"/>
        <c:scaling>
          <c:orientation val="minMax"/>
        </c:scaling>
        <c:delete val="1"/>
        <c:axPos val="b"/>
        <c:numFmt formatCode="General" sourceLinked="1"/>
        <c:majorTickMark val="out"/>
        <c:minorTickMark val="none"/>
        <c:tickLblPos val="nextTo"/>
        <c:crossAx val="761731792"/>
        <c:crosses val="autoZero"/>
        <c:auto val="1"/>
        <c:lblAlgn val="ctr"/>
        <c:lblOffset val="100"/>
        <c:noMultiLvlLbl val="0"/>
      </c:catAx>
      <c:valAx>
        <c:axId val="812755760"/>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Favorable Surveys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48312"/>
        <c:crosses val="autoZero"/>
        <c:crossBetween val="between"/>
      </c:valAx>
      <c:catAx>
        <c:axId val="812748312"/>
        <c:scaling>
          <c:orientation val="minMax"/>
        </c:scaling>
        <c:delete val="1"/>
        <c:axPos val="b"/>
        <c:numFmt formatCode="General" sourceLinked="1"/>
        <c:majorTickMark val="out"/>
        <c:minorTickMark val="none"/>
        <c:tickLblPos val="nextTo"/>
        <c:crossAx val="81275576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Answer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MyHRT1!$BY$44</c:f>
              <c:strCache>
                <c:ptCount val="1"/>
                <c:pt idx="0">
                  <c:v>Quantity</c:v>
                </c:pt>
              </c:strCache>
            </c:strRef>
          </c:tx>
          <c:spPr>
            <a:solidFill>
              <a:schemeClr val="bg1">
                <a:lumMod val="65000"/>
              </a:schemeClr>
            </a:solidFill>
            <a:ln>
              <a:noFill/>
            </a:ln>
            <a:effectLst/>
          </c:spPr>
          <c:invertIfNegative val="0"/>
          <c:cat>
            <c:strRef>
              <c:f>MyHRT1!$BX$45:$BX$57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MyHRT1!$BY$45:$BY$57</c:f>
              <c:numCache>
                <c:formatCode>0.0</c:formatCode>
                <c:ptCount val="13"/>
                <c:pt idx="0">
                  <c:v>0</c:v>
                </c:pt>
                <c:pt idx="1">
                  <c:v>0</c:v>
                </c:pt>
                <c:pt idx="2">
                  <c:v>0</c:v>
                </c:pt>
                <c:pt idx="3">
                  <c:v>0</c:v>
                </c:pt>
                <c:pt idx="4">
                  <c:v>0</c:v>
                </c:pt>
                <c:pt idx="5">
                  <c:v>0</c:v>
                </c:pt>
                <c:pt idx="6">
                  <c:v>3.3539999999999996</c:v>
                </c:pt>
                <c:pt idx="7">
                  <c:v>2.59</c:v>
                </c:pt>
                <c:pt idx="8">
                  <c:v>2.9179999999999997</c:v>
                </c:pt>
                <c:pt idx="9">
                  <c:v>2.9180000000000001</c:v>
                </c:pt>
                <c:pt idx="10">
                  <c:v>3.621</c:v>
                </c:pt>
                <c:pt idx="11">
                  <c:v>5.6130000000000004</c:v>
                </c:pt>
                <c:pt idx="12">
                  <c:v>7.5190000000000001</c:v>
                </c:pt>
              </c:numCache>
            </c:numRef>
          </c:val>
          <c:extLst>
            <c:ext xmlns:c16="http://schemas.microsoft.com/office/drawing/2014/chart" uri="{C3380CC4-5D6E-409C-BE32-E72D297353CC}">
              <c16:uniqueId val="{00000000-6F94-40B6-BA62-9446316B324A}"/>
            </c:ext>
          </c:extLst>
        </c:ser>
        <c:dLbls>
          <c:showLegendKey val="0"/>
          <c:showVal val="0"/>
          <c:showCatName val="0"/>
          <c:showSerName val="0"/>
          <c:showPercent val="0"/>
          <c:showBubbleSize val="0"/>
        </c:dLbls>
        <c:gapWidth val="75"/>
        <c:overlap val="100"/>
        <c:axId val="812756544"/>
        <c:axId val="812749880"/>
      </c:barChart>
      <c:lineChart>
        <c:grouping val="standard"/>
        <c:varyColors val="0"/>
        <c:ser>
          <c:idx val="2"/>
          <c:order val="1"/>
          <c:tx>
            <c:strRef>
              <c:f>MyHRT1!$BZ$44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MyHRT1!$BX$45:$BX$57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MyHRT1!$BZ$45:$BZ$57</c:f>
              <c:numCache>
                <c:formatCode>h:mm:ss;@</c:formatCode>
                <c:ptCount val="13"/>
                <c:pt idx="0">
                  <c:v>6.9444444444444447E-4</c:v>
                </c:pt>
                <c:pt idx="1">
                  <c:v>6.9444444444444447E-4</c:v>
                </c:pt>
                <c:pt idx="2">
                  <c:v>6.9444444444444447E-4</c:v>
                </c:pt>
                <c:pt idx="3">
                  <c:v>6.9444444444444447E-4</c:v>
                </c:pt>
                <c:pt idx="4">
                  <c:v>6.9444444444444447E-4</c:v>
                </c:pt>
                <c:pt idx="5">
                  <c:v>6.9444444444444447E-4</c:v>
                </c:pt>
                <c:pt idx="6">
                  <c:v>6.9444444444444447E-4</c:v>
                </c:pt>
                <c:pt idx="7">
                  <c:v>6.9444444444444447E-4</c:v>
                </c:pt>
                <c:pt idx="8">
                  <c:v>6.9444444444444447E-4</c:v>
                </c:pt>
                <c:pt idx="9">
                  <c:v>6.9444444444444447E-4</c:v>
                </c:pt>
                <c:pt idx="10">
                  <c:v>6.9444444444444447E-4</c:v>
                </c:pt>
                <c:pt idx="11">
                  <c:v>6.9444444444444447E-4</c:v>
                </c:pt>
                <c:pt idx="12">
                  <c:v>6.9444444444444447E-4</c:v>
                </c:pt>
              </c:numCache>
            </c:numRef>
          </c:val>
          <c:smooth val="0"/>
          <c:extLst>
            <c:ext xmlns:c16="http://schemas.microsoft.com/office/drawing/2014/chart" uri="{C3380CC4-5D6E-409C-BE32-E72D297353CC}">
              <c16:uniqueId val="{00000001-6F94-40B6-BA62-9446316B324A}"/>
            </c:ext>
          </c:extLst>
        </c:ser>
        <c:ser>
          <c:idx val="1"/>
          <c:order val="2"/>
          <c:tx>
            <c:strRef>
              <c:f>MyHRT1!$CA$44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MyHRT1!$BX$45:$BX$57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MyHRT1!$CA$45:$CA$57</c:f>
              <c:numCache>
                <c:formatCode>h:mm:ss;@</c:formatCode>
                <c:ptCount val="13"/>
                <c:pt idx="0">
                  <c:v>#N/A</c:v>
                </c:pt>
                <c:pt idx="1">
                  <c:v>#N/A</c:v>
                </c:pt>
                <c:pt idx="2">
                  <c:v>#N/A</c:v>
                </c:pt>
                <c:pt idx="3">
                  <c:v>#N/A</c:v>
                </c:pt>
                <c:pt idx="4">
                  <c:v>#N/A</c:v>
                </c:pt>
                <c:pt idx="5">
                  <c:v>#N/A</c:v>
                </c:pt>
                <c:pt idx="6">
                  <c:v>2.199074074074074E-4</c:v>
                </c:pt>
                <c:pt idx="7">
                  <c:v>2.0833333333333335E-4</c:v>
                </c:pt>
                <c:pt idx="8">
                  <c:v>2.199074074074074E-4</c:v>
                </c:pt>
                <c:pt idx="9">
                  <c:v>2.4305555555555552E-4</c:v>
                </c:pt>
                <c:pt idx="10">
                  <c:v>1.8518518518518518E-4</c:v>
                </c:pt>
                <c:pt idx="11">
                  <c:v>1.8518518518518518E-4</c:v>
                </c:pt>
                <c:pt idx="12">
                  <c:v>1.273148148148148E-4</c:v>
                </c:pt>
              </c:numCache>
            </c:numRef>
          </c:val>
          <c:smooth val="0"/>
          <c:extLst>
            <c:ext xmlns:c16="http://schemas.microsoft.com/office/drawing/2014/chart" uri="{C3380CC4-5D6E-409C-BE32-E72D297353CC}">
              <c16:uniqueId val="{00000002-6F94-40B6-BA62-9446316B324A}"/>
            </c:ext>
          </c:extLst>
        </c:ser>
        <c:dLbls>
          <c:showLegendKey val="0"/>
          <c:showVal val="0"/>
          <c:showCatName val="0"/>
          <c:showSerName val="0"/>
          <c:showPercent val="0"/>
          <c:showBubbleSize val="0"/>
        </c:dLbls>
        <c:marker val="1"/>
        <c:smooth val="0"/>
        <c:axId val="812750272"/>
        <c:axId val="812750664"/>
      </c:lineChart>
      <c:valAx>
        <c:axId val="81274988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Calls Handled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56544"/>
        <c:crosses val="max"/>
        <c:crossBetween val="between"/>
      </c:valAx>
      <c:catAx>
        <c:axId val="812756544"/>
        <c:scaling>
          <c:orientation val="minMax"/>
        </c:scaling>
        <c:delete val="1"/>
        <c:axPos val="b"/>
        <c:numFmt formatCode="General" sourceLinked="1"/>
        <c:majorTickMark val="out"/>
        <c:minorTickMark val="none"/>
        <c:tickLblPos val="nextTo"/>
        <c:crossAx val="812749880"/>
        <c:crosses val="autoZero"/>
        <c:auto val="1"/>
        <c:lblAlgn val="ctr"/>
        <c:lblOffset val="100"/>
        <c:noMultiLvlLbl val="0"/>
      </c:catAx>
      <c:valAx>
        <c:axId val="812750664"/>
        <c:scaling>
          <c:orientation val="minMax"/>
          <c:max val="4.000000000000001E-3"/>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H:MM:SS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h:mm:ss;@"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50272"/>
        <c:crosses val="autoZero"/>
        <c:crossBetween val="between"/>
        <c:majorUnit val="3.4720000000000009E-4"/>
      </c:valAx>
      <c:catAx>
        <c:axId val="812750272"/>
        <c:scaling>
          <c:orientation val="minMax"/>
        </c:scaling>
        <c:delete val="1"/>
        <c:axPos val="b"/>
        <c:numFmt formatCode="General" sourceLinked="1"/>
        <c:majorTickMark val="out"/>
        <c:minorTickMark val="none"/>
        <c:tickLblPos val="nextTo"/>
        <c:crossAx val="812750664"/>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Abandonment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MyHRT1!$BY$63</c:f>
              <c:strCache>
                <c:ptCount val="1"/>
                <c:pt idx="0">
                  <c:v>Quantity</c:v>
                </c:pt>
              </c:strCache>
            </c:strRef>
          </c:tx>
          <c:spPr>
            <a:solidFill>
              <a:schemeClr val="bg1">
                <a:lumMod val="65000"/>
              </a:schemeClr>
            </a:solidFill>
            <a:ln>
              <a:noFill/>
            </a:ln>
            <a:effectLst/>
          </c:spPr>
          <c:invertIfNegative val="0"/>
          <c:cat>
            <c:strRef>
              <c:f>MyHRT1!$BX$64:$BX$76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MyHRT1!$BY$64:$BY$76</c:f>
              <c:numCache>
                <c:formatCode>0.0</c:formatCode>
                <c:ptCount val="13"/>
                <c:pt idx="0">
                  <c:v>0</c:v>
                </c:pt>
                <c:pt idx="1">
                  <c:v>0</c:v>
                </c:pt>
                <c:pt idx="2">
                  <c:v>0</c:v>
                </c:pt>
                <c:pt idx="3">
                  <c:v>0</c:v>
                </c:pt>
                <c:pt idx="4">
                  <c:v>0</c:v>
                </c:pt>
                <c:pt idx="5">
                  <c:v>0</c:v>
                </c:pt>
                <c:pt idx="6">
                  <c:v>3.3929999999999998</c:v>
                </c:pt>
                <c:pt idx="7">
                  <c:v>2.63</c:v>
                </c:pt>
                <c:pt idx="8">
                  <c:v>2.96</c:v>
                </c:pt>
                <c:pt idx="9">
                  <c:v>2.9540000000000002</c:v>
                </c:pt>
                <c:pt idx="10">
                  <c:v>3.65</c:v>
                </c:pt>
                <c:pt idx="11">
                  <c:v>5.6130000000000004</c:v>
                </c:pt>
                <c:pt idx="12">
                  <c:v>7.5190000000000001</c:v>
                </c:pt>
              </c:numCache>
            </c:numRef>
          </c:val>
          <c:extLst>
            <c:ext xmlns:c16="http://schemas.microsoft.com/office/drawing/2014/chart" uri="{C3380CC4-5D6E-409C-BE32-E72D297353CC}">
              <c16:uniqueId val="{00000000-73D1-4A1C-81A8-A17C55C3BD85}"/>
            </c:ext>
          </c:extLst>
        </c:ser>
        <c:dLbls>
          <c:showLegendKey val="0"/>
          <c:showVal val="0"/>
          <c:showCatName val="0"/>
          <c:showSerName val="0"/>
          <c:showPercent val="0"/>
          <c:showBubbleSize val="0"/>
        </c:dLbls>
        <c:gapWidth val="75"/>
        <c:overlap val="100"/>
        <c:axId val="812748704"/>
        <c:axId val="812751056"/>
      </c:barChart>
      <c:lineChart>
        <c:grouping val="standard"/>
        <c:varyColors val="0"/>
        <c:ser>
          <c:idx val="2"/>
          <c:order val="1"/>
          <c:tx>
            <c:strRef>
              <c:f>MyHRT1!$BZ$63</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MyHRT1!$BX$64:$BX$76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MyHRT1!$BZ$64:$BZ$76</c:f>
              <c:numCache>
                <c:formatCode>0.0%</c:formatCode>
                <c:ptCount val="13"/>
                <c:pt idx="0">
                  <c:v>0.05</c:v>
                </c:pt>
                <c:pt idx="1">
                  <c:v>0.05</c:v>
                </c:pt>
                <c:pt idx="2">
                  <c:v>0.05</c:v>
                </c:pt>
                <c:pt idx="3">
                  <c:v>0.05</c:v>
                </c:pt>
                <c:pt idx="4">
                  <c:v>0.05</c:v>
                </c:pt>
                <c:pt idx="5">
                  <c:v>0.05</c:v>
                </c:pt>
                <c:pt idx="6">
                  <c:v>0.05</c:v>
                </c:pt>
                <c:pt idx="7">
                  <c:v>0.05</c:v>
                </c:pt>
                <c:pt idx="8">
                  <c:v>0.05</c:v>
                </c:pt>
                <c:pt idx="9">
                  <c:v>0.05</c:v>
                </c:pt>
                <c:pt idx="10">
                  <c:v>0.05</c:v>
                </c:pt>
                <c:pt idx="11">
                  <c:v>0.05</c:v>
                </c:pt>
                <c:pt idx="12">
                  <c:v>0.05</c:v>
                </c:pt>
              </c:numCache>
            </c:numRef>
          </c:val>
          <c:smooth val="0"/>
          <c:extLst>
            <c:ext xmlns:c16="http://schemas.microsoft.com/office/drawing/2014/chart" uri="{C3380CC4-5D6E-409C-BE32-E72D297353CC}">
              <c16:uniqueId val="{00000001-73D1-4A1C-81A8-A17C55C3BD85}"/>
            </c:ext>
          </c:extLst>
        </c:ser>
        <c:ser>
          <c:idx val="1"/>
          <c:order val="2"/>
          <c:tx>
            <c:strRef>
              <c:f>MyHRT1!$CA$63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MyHRT1!$BX$64:$BX$76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MyHRT1!$CA$64:$CA$76</c:f>
              <c:numCache>
                <c:formatCode>0.0%</c:formatCode>
                <c:ptCount val="13"/>
                <c:pt idx="0">
                  <c:v>#N/A</c:v>
                </c:pt>
                <c:pt idx="1">
                  <c:v>#N/A</c:v>
                </c:pt>
                <c:pt idx="2">
                  <c:v>#N/A</c:v>
                </c:pt>
                <c:pt idx="3">
                  <c:v>#N/A</c:v>
                </c:pt>
                <c:pt idx="4">
                  <c:v>#N/A</c:v>
                </c:pt>
                <c:pt idx="5">
                  <c:v>#N/A</c:v>
                </c:pt>
                <c:pt idx="6">
                  <c:v>1.1494252873563218E-2</c:v>
                </c:pt>
                <c:pt idx="7">
                  <c:v>1.5209125475285173E-2</c:v>
                </c:pt>
                <c:pt idx="8">
                  <c:v>1.4527027027027026E-2</c:v>
                </c:pt>
                <c:pt idx="9">
                  <c:v>0.01</c:v>
                </c:pt>
                <c:pt idx="10">
                  <c:v>7.9452054794520548E-3</c:v>
                </c:pt>
                <c:pt idx="11">
                  <c:v>9.976839479779084E-3</c:v>
                </c:pt>
                <c:pt idx="12">
                  <c:v>7.4477989094294452E-3</c:v>
                </c:pt>
              </c:numCache>
            </c:numRef>
          </c:val>
          <c:smooth val="0"/>
          <c:extLst>
            <c:ext xmlns:c16="http://schemas.microsoft.com/office/drawing/2014/chart" uri="{C3380CC4-5D6E-409C-BE32-E72D297353CC}">
              <c16:uniqueId val="{00000002-73D1-4A1C-81A8-A17C55C3BD85}"/>
            </c:ext>
          </c:extLst>
        </c:ser>
        <c:dLbls>
          <c:showLegendKey val="0"/>
          <c:showVal val="0"/>
          <c:showCatName val="0"/>
          <c:showSerName val="0"/>
          <c:showPercent val="0"/>
          <c:showBubbleSize val="0"/>
        </c:dLbls>
        <c:marker val="1"/>
        <c:smooth val="0"/>
        <c:axId val="812751448"/>
        <c:axId val="812753408"/>
      </c:lineChart>
      <c:valAx>
        <c:axId val="81275105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Calls Offered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48704"/>
        <c:crosses val="max"/>
        <c:crossBetween val="between"/>
      </c:valAx>
      <c:catAx>
        <c:axId val="812748704"/>
        <c:scaling>
          <c:orientation val="minMax"/>
        </c:scaling>
        <c:delete val="1"/>
        <c:axPos val="b"/>
        <c:numFmt formatCode="General" sourceLinked="1"/>
        <c:majorTickMark val="out"/>
        <c:minorTickMark val="none"/>
        <c:tickLblPos val="nextTo"/>
        <c:crossAx val="812751056"/>
        <c:crosses val="autoZero"/>
        <c:auto val="1"/>
        <c:lblAlgn val="ctr"/>
        <c:lblOffset val="100"/>
        <c:noMultiLvlLbl val="0"/>
      </c:catAx>
      <c:valAx>
        <c:axId val="812753408"/>
        <c:scaling>
          <c:orientation val="minMax"/>
          <c:max val="0.30000000000000004"/>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Calls Abandoned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51448"/>
        <c:crosses val="autoZero"/>
        <c:crossBetween val="between"/>
      </c:valAx>
      <c:catAx>
        <c:axId val="812751448"/>
        <c:scaling>
          <c:orientation val="minMax"/>
        </c:scaling>
        <c:delete val="1"/>
        <c:axPos val="b"/>
        <c:numFmt formatCode="General" sourceLinked="1"/>
        <c:majorTickMark val="out"/>
        <c:minorTickMark val="none"/>
        <c:tickLblPos val="nextTo"/>
        <c:crossAx val="81275340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Handle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MyHRT1!$BY$82</c:f>
              <c:strCache>
                <c:ptCount val="1"/>
                <c:pt idx="0">
                  <c:v>Quantity</c:v>
                </c:pt>
              </c:strCache>
            </c:strRef>
          </c:tx>
          <c:spPr>
            <a:solidFill>
              <a:schemeClr val="bg1">
                <a:lumMod val="65000"/>
              </a:schemeClr>
            </a:solidFill>
            <a:ln>
              <a:noFill/>
            </a:ln>
            <a:effectLst/>
          </c:spPr>
          <c:invertIfNegative val="0"/>
          <c:cat>
            <c:strRef>
              <c:f>MyHRT1!$BX$83:$BX$95</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MyHRT1!$BY$83:$BY$95</c:f>
              <c:numCache>
                <c:formatCode>0.0</c:formatCode>
                <c:ptCount val="13"/>
                <c:pt idx="0">
                  <c:v>0</c:v>
                </c:pt>
                <c:pt idx="1">
                  <c:v>0</c:v>
                </c:pt>
                <c:pt idx="2">
                  <c:v>0</c:v>
                </c:pt>
                <c:pt idx="3">
                  <c:v>0</c:v>
                </c:pt>
                <c:pt idx="4">
                  <c:v>0</c:v>
                </c:pt>
                <c:pt idx="5">
                  <c:v>0</c:v>
                </c:pt>
                <c:pt idx="6">
                  <c:v>3.3539999999999996</c:v>
                </c:pt>
                <c:pt idx="7">
                  <c:v>2.59</c:v>
                </c:pt>
                <c:pt idx="8">
                  <c:v>2.9179999999999997</c:v>
                </c:pt>
                <c:pt idx="9">
                  <c:v>2.9180000000000001</c:v>
                </c:pt>
                <c:pt idx="10">
                  <c:v>3.65</c:v>
                </c:pt>
                <c:pt idx="11">
                  <c:v>5.6130000000000004</c:v>
                </c:pt>
                <c:pt idx="12">
                  <c:v>7.5190000000000001</c:v>
                </c:pt>
              </c:numCache>
            </c:numRef>
          </c:val>
          <c:extLst>
            <c:ext xmlns:c16="http://schemas.microsoft.com/office/drawing/2014/chart" uri="{C3380CC4-5D6E-409C-BE32-E72D297353CC}">
              <c16:uniqueId val="{00000000-1444-41BF-AF2B-70CE7777703E}"/>
            </c:ext>
          </c:extLst>
        </c:ser>
        <c:dLbls>
          <c:showLegendKey val="0"/>
          <c:showVal val="0"/>
          <c:showCatName val="0"/>
          <c:showSerName val="0"/>
          <c:showPercent val="0"/>
          <c:showBubbleSize val="0"/>
        </c:dLbls>
        <c:gapWidth val="75"/>
        <c:overlap val="100"/>
        <c:axId val="812751840"/>
        <c:axId val="812745960"/>
      </c:barChart>
      <c:lineChart>
        <c:grouping val="standard"/>
        <c:varyColors val="0"/>
        <c:ser>
          <c:idx val="2"/>
          <c:order val="1"/>
          <c:tx>
            <c:strRef>
              <c:f>MyHRT1!$BZ$82</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MyHRT1!$BX$83:$BX$95</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MyHRT1!$BZ$83:$BZ$95</c:f>
              <c:numCache>
                <c:formatCode>h:mm:ss;@</c:formatCode>
                <c:ptCount val="13"/>
                <c:pt idx="0">
                  <c:v>3.472222222222222E-3</c:v>
                </c:pt>
                <c:pt idx="1">
                  <c:v>3.472222222222222E-3</c:v>
                </c:pt>
                <c:pt idx="2">
                  <c:v>3.472222222222222E-3</c:v>
                </c:pt>
                <c:pt idx="3">
                  <c:v>3.472222222222222E-3</c:v>
                </c:pt>
                <c:pt idx="4">
                  <c:v>3.472222222222222E-3</c:v>
                </c:pt>
                <c:pt idx="5">
                  <c:v>3.472222222222222E-3</c:v>
                </c:pt>
                <c:pt idx="6">
                  <c:v>3.472222222222222E-3</c:v>
                </c:pt>
                <c:pt idx="7">
                  <c:v>3.472222222222222E-3</c:v>
                </c:pt>
                <c:pt idx="8">
                  <c:v>3.472222222222222E-3</c:v>
                </c:pt>
                <c:pt idx="9">
                  <c:v>3.472222222222222E-3</c:v>
                </c:pt>
                <c:pt idx="10">
                  <c:v>3.472222222222222E-3</c:v>
                </c:pt>
                <c:pt idx="11">
                  <c:v>3.472222222222222E-3</c:v>
                </c:pt>
                <c:pt idx="12">
                  <c:v>3.472222222222222E-3</c:v>
                </c:pt>
              </c:numCache>
            </c:numRef>
          </c:val>
          <c:smooth val="0"/>
          <c:extLst>
            <c:ext xmlns:c16="http://schemas.microsoft.com/office/drawing/2014/chart" uri="{C3380CC4-5D6E-409C-BE32-E72D297353CC}">
              <c16:uniqueId val="{00000001-1444-41BF-AF2B-70CE7777703E}"/>
            </c:ext>
          </c:extLst>
        </c:ser>
        <c:ser>
          <c:idx val="1"/>
          <c:order val="2"/>
          <c:tx>
            <c:strRef>
              <c:f>MyHRT1!$CA$82</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MyHRT1!$BX$83:$BX$95</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MyHRT1!$CA$83:$CA$95</c:f>
              <c:numCache>
                <c:formatCode>h:mm:ss;@</c:formatCode>
                <c:ptCount val="13"/>
                <c:pt idx="0">
                  <c:v>#N/A</c:v>
                </c:pt>
                <c:pt idx="1">
                  <c:v>#N/A</c:v>
                </c:pt>
                <c:pt idx="2">
                  <c:v>#N/A</c:v>
                </c:pt>
                <c:pt idx="3">
                  <c:v>#N/A</c:v>
                </c:pt>
                <c:pt idx="4">
                  <c:v>#N/A</c:v>
                </c:pt>
                <c:pt idx="5">
                  <c:v>#N/A</c:v>
                </c:pt>
                <c:pt idx="6">
                  <c:v>3.2060185185185191E-3</c:v>
                </c:pt>
                <c:pt idx="7">
                  <c:v>3.2986111111111111E-3</c:v>
                </c:pt>
                <c:pt idx="8">
                  <c:v>3.2754629629629631E-3</c:v>
                </c:pt>
                <c:pt idx="9">
                  <c:v>3.2870370370370367E-3</c:v>
                </c:pt>
                <c:pt idx="10">
                  <c:v>3.0902777777777782E-3</c:v>
                </c:pt>
                <c:pt idx="11">
                  <c:v>2.9282407407407412E-3</c:v>
                </c:pt>
                <c:pt idx="12">
                  <c:v>2.8472222222222219E-3</c:v>
                </c:pt>
              </c:numCache>
            </c:numRef>
          </c:val>
          <c:smooth val="0"/>
          <c:extLst>
            <c:ext xmlns:c16="http://schemas.microsoft.com/office/drawing/2014/chart" uri="{C3380CC4-5D6E-409C-BE32-E72D297353CC}">
              <c16:uniqueId val="{00000002-1444-41BF-AF2B-70CE7777703E}"/>
            </c:ext>
          </c:extLst>
        </c:ser>
        <c:dLbls>
          <c:showLegendKey val="0"/>
          <c:showVal val="0"/>
          <c:showCatName val="0"/>
          <c:showSerName val="0"/>
          <c:showPercent val="0"/>
          <c:showBubbleSize val="0"/>
        </c:dLbls>
        <c:marker val="1"/>
        <c:smooth val="0"/>
        <c:axId val="812746352"/>
        <c:axId val="812752232"/>
      </c:lineChart>
      <c:valAx>
        <c:axId val="81274596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Calls Handled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51840"/>
        <c:crosses val="max"/>
        <c:crossBetween val="between"/>
      </c:valAx>
      <c:catAx>
        <c:axId val="812751840"/>
        <c:scaling>
          <c:orientation val="minMax"/>
        </c:scaling>
        <c:delete val="1"/>
        <c:axPos val="b"/>
        <c:numFmt formatCode="General" sourceLinked="1"/>
        <c:majorTickMark val="out"/>
        <c:minorTickMark val="none"/>
        <c:tickLblPos val="nextTo"/>
        <c:crossAx val="812745960"/>
        <c:crosses val="autoZero"/>
        <c:auto val="1"/>
        <c:lblAlgn val="ctr"/>
        <c:lblOffset val="100"/>
        <c:noMultiLvlLbl val="0"/>
      </c:catAx>
      <c:valAx>
        <c:axId val="812752232"/>
        <c:scaling>
          <c:orientation val="minMax"/>
          <c:max val="5.2083000000000008E-3"/>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H:MM:SS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h:mm:ss;@"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46352"/>
        <c:crosses val="autoZero"/>
        <c:crossBetween val="between"/>
        <c:majorUnit val="1.7361000000000006E-3"/>
      </c:valAx>
      <c:catAx>
        <c:axId val="812746352"/>
        <c:scaling>
          <c:orientation val="minMax"/>
        </c:scaling>
        <c:delete val="1"/>
        <c:axPos val="b"/>
        <c:numFmt formatCode="General" sourceLinked="1"/>
        <c:majorTickMark val="out"/>
        <c:minorTickMark val="none"/>
        <c:tickLblPos val="nextTo"/>
        <c:crossAx val="81275223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Survey Participation</a:t>
            </a:r>
            <a:r>
              <a:rPr lang="en-US" baseline="0"/>
              <a:t>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MyHRT1!$BY$101</c:f>
              <c:strCache>
                <c:ptCount val="1"/>
                <c:pt idx="0">
                  <c:v>Quantity</c:v>
                </c:pt>
              </c:strCache>
            </c:strRef>
          </c:tx>
          <c:spPr>
            <a:solidFill>
              <a:sysClr val="window" lastClr="FFFFFF">
                <a:lumMod val="65000"/>
              </a:sysClr>
            </a:solidFill>
            <a:ln>
              <a:noFill/>
            </a:ln>
            <a:effectLst/>
          </c:spPr>
          <c:invertIfNegative val="0"/>
          <c:cat>
            <c:strRef>
              <c:f>MyHRT1!$BX$102:$BX$114</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MyHRT1!$BY$102:$BY$114</c:f>
              <c:numCache>
                <c:formatCode>0.0</c:formatCode>
                <c:ptCount val="13"/>
                <c:pt idx="0">
                  <c:v>0</c:v>
                </c:pt>
                <c:pt idx="1">
                  <c:v>0</c:v>
                </c:pt>
                <c:pt idx="2">
                  <c:v>0</c:v>
                </c:pt>
                <c:pt idx="3">
                  <c:v>0</c:v>
                </c:pt>
                <c:pt idx="4">
                  <c:v>0</c:v>
                </c:pt>
                <c:pt idx="5">
                  <c:v>0</c:v>
                </c:pt>
                <c:pt idx="6">
                  <c:v>3.3929999999999998</c:v>
                </c:pt>
                <c:pt idx="7">
                  <c:v>2.63</c:v>
                </c:pt>
                <c:pt idx="8">
                  <c:v>2.96</c:v>
                </c:pt>
                <c:pt idx="9">
                  <c:v>2.9540000000000002</c:v>
                </c:pt>
                <c:pt idx="10">
                  <c:v>3.65</c:v>
                </c:pt>
                <c:pt idx="11">
                  <c:v>5.6130000000000004</c:v>
                </c:pt>
                <c:pt idx="12">
                  <c:v>7.5190000000000001</c:v>
                </c:pt>
              </c:numCache>
            </c:numRef>
          </c:val>
          <c:extLst>
            <c:ext xmlns:c16="http://schemas.microsoft.com/office/drawing/2014/chart" uri="{C3380CC4-5D6E-409C-BE32-E72D297353CC}">
              <c16:uniqueId val="{00000000-AC48-4C86-8896-D1EF33A93C09}"/>
            </c:ext>
          </c:extLst>
        </c:ser>
        <c:dLbls>
          <c:showLegendKey val="0"/>
          <c:showVal val="0"/>
          <c:showCatName val="0"/>
          <c:showSerName val="0"/>
          <c:showPercent val="0"/>
          <c:showBubbleSize val="0"/>
        </c:dLbls>
        <c:gapWidth val="75"/>
        <c:overlap val="100"/>
        <c:axId val="812748704"/>
        <c:axId val="812751056"/>
      </c:barChart>
      <c:lineChart>
        <c:grouping val="standard"/>
        <c:varyColors val="0"/>
        <c:ser>
          <c:idx val="2"/>
          <c:order val="1"/>
          <c:tx>
            <c:strRef>
              <c:f>MyHRT1!$BZ$101</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MyHRT1!$BX$102:$BX$114</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MyHRT1!$BZ$102:$BZ$114</c:f>
              <c:numCache>
                <c:formatCode>0%</c:formatCode>
                <c:ptCount val="13"/>
                <c:pt idx="0">
                  <c:v>0.3</c:v>
                </c:pt>
                <c:pt idx="1">
                  <c:v>0.3</c:v>
                </c:pt>
                <c:pt idx="2">
                  <c:v>0.3</c:v>
                </c:pt>
                <c:pt idx="3">
                  <c:v>0.3</c:v>
                </c:pt>
                <c:pt idx="4">
                  <c:v>0.3</c:v>
                </c:pt>
                <c:pt idx="5">
                  <c:v>0.3</c:v>
                </c:pt>
                <c:pt idx="6">
                  <c:v>0.3</c:v>
                </c:pt>
                <c:pt idx="7">
                  <c:v>0.3</c:v>
                </c:pt>
                <c:pt idx="8">
                  <c:v>0.3</c:v>
                </c:pt>
                <c:pt idx="9">
                  <c:v>0.3</c:v>
                </c:pt>
                <c:pt idx="10">
                  <c:v>0.3</c:v>
                </c:pt>
                <c:pt idx="11">
                  <c:v>0.3</c:v>
                </c:pt>
                <c:pt idx="12">
                  <c:v>0.3</c:v>
                </c:pt>
              </c:numCache>
            </c:numRef>
          </c:val>
          <c:smooth val="0"/>
          <c:extLst>
            <c:ext xmlns:c16="http://schemas.microsoft.com/office/drawing/2014/chart" uri="{C3380CC4-5D6E-409C-BE32-E72D297353CC}">
              <c16:uniqueId val="{00000001-AC48-4C86-8896-D1EF33A93C09}"/>
            </c:ext>
          </c:extLst>
        </c:ser>
        <c:ser>
          <c:idx val="1"/>
          <c:order val="2"/>
          <c:tx>
            <c:strRef>
              <c:f>MyHRT1!$CA$101</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MyHRT1!$BX$102:$BX$114</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MyHRT1!$CA$102:$CA$114</c:f>
              <c:numCache>
                <c:formatCode>0.0%</c:formatCode>
                <c:ptCount val="13"/>
                <c:pt idx="0">
                  <c:v>#N/A</c:v>
                </c:pt>
                <c:pt idx="1">
                  <c:v>#N/A</c:v>
                </c:pt>
                <c:pt idx="2">
                  <c:v>#N/A</c:v>
                </c:pt>
                <c:pt idx="3">
                  <c:v>#N/A</c:v>
                </c:pt>
                <c:pt idx="4">
                  <c:v>#N/A</c:v>
                </c:pt>
                <c:pt idx="5">
                  <c:v>#N/A</c:v>
                </c:pt>
                <c:pt idx="6">
                  <c:v>9.6000000000000002E-2</c:v>
                </c:pt>
                <c:pt idx="7">
                  <c:v>0.114</c:v>
                </c:pt>
                <c:pt idx="8">
                  <c:v>7.8E-2</c:v>
                </c:pt>
                <c:pt idx="9">
                  <c:v>7.8E-2</c:v>
                </c:pt>
                <c:pt idx="10">
                  <c:v>8.6999999999999994E-2</c:v>
                </c:pt>
                <c:pt idx="11">
                  <c:v>9.6000000000000002E-2</c:v>
                </c:pt>
                <c:pt idx="12">
                  <c:v>0.23</c:v>
                </c:pt>
              </c:numCache>
            </c:numRef>
          </c:val>
          <c:smooth val="0"/>
          <c:extLst>
            <c:ext xmlns:c16="http://schemas.microsoft.com/office/drawing/2014/chart" uri="{C3380CC4-5D6E-409C-BE32-E72D297353CC}">
              <c16:uniqueId val="{00000002-AC48-4C86-8896-D1EF33A93C09}"/>
            </c:ext>
          </c:extLst>
        </c:ser>
        <c:dLbls>
          <c:showLegendKey val="0"/>
          <c:showVal val="0"/>
          <c:showCatName val="0"/>
          <c:showSerName val="0"/>
          <c:showPercent val="0"/>
          <c:showBubbleSize val="0"/>
        </c:dLbls>
        <c:marker val="1"/>
        <c:smooth val="0"/>
        <c:axId val="812751448"/>
        <c:axId val="812753408"/>
      </c:lineChart>
      <c:valAx>
        <c:axId val="81275105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Calls Offered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48704"/>
        <c:crosses val="max"/>
        <c:crossBetween val="between"/>
      </c:valAx>
      <c:catAx>
        <c:axId val="812748704"/>
        <c:scaling>
          <c:orientation val="minMax"/>
        </c:scaling>
        <c:delete val="1"/>
        <c:axPos val="b"/>
        <c:numFmt formatCode="General" sourceLinked="1"/>
        <c:majorTickMark val="out"/>
        <c:minorTickMark val="none"/>
        <c:tickLblPos val="nextTo"/>
        <c:crossAx val="812751056"/>
        <c:crosses val="autoZero"/>
        <c:auto val="1"/>
        <c:lblAlgn val="ctr"/>
        <c:lblOffset val="100"/>
        <c:noMultiLvlLbl val="0"/>
      </c:catAx>
      <c:valAx>
        <c:axId val="812753408"/>
        <c:scaling>
          <c:orientation val="minMax"/>
          <c:max val="0.30000000000000004"/>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Surveys</a:t>
                </a:r>
                <a:r>
                  <a:rPr lang="en-US" baseline="0"/>
                  <a:t> Taken</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51448"/>
        <c:crosses val="autoZero"/>
        <c:crossBetween val="between"/>
      </c:valAx>
      <c:catAx>
        <c:axId val="812751448"/>
        <c:scaling>
          <c:orientation val="minMax"/>
        </c:scaling>
        <c:delete val="1"/>
        <c:axPos val="b"/>
        <c:numFmt formatCode="General" sourceLinked="1"/>
        <c:majorTickMark val="out"/>
        <c:minorTickMark val="none"/>
        <c:tickLblPos val="nextTo"/>
        <c:crossAx val="81275340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Interaction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MyHRT1!$BY$120</c:f>
              <c:strCache>
                <c:ptCount val="1"/>
                <c:pt idx="0">
                  <c:v>Quantity</c:v>
                </c:pt>
              </c:strCache>
            </c:strRef>
          </c:tx>
          <c:spPr>
            <a:solidFill>
              <a:sysClr val="window" lastClr="FFFFFF">
                <a:lumMod val="65000"/>
              </a:sysClr>
            </a:solidFill>
            <a:ln>
              <a:noFill/>
            </a:ln>
            <a:effectLst/>
          </c:spPr>
          <c:invertIfNegative val="0"/>
          <c:cat>
            <c:strRef>
              <c:f>MyHRT1!$BX$121:$BX$133</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MyHRT1!$BY$121:$BY$133</c:f>
              <c:numCache>
                <c:formatCode>0.0</c:formatCode>
                <c:ptCount val="13"/>
                <c:pt idx="0">
                  <c:v>0</c:v>
                </c:pt>
                <c:pt idx="1">
                  <c:v>0</c:v>
                </c:pt>
                <c:pt idx="2">
                  <c:v>0</c:v>
                </c:pt>
                <c:pt idx="3">
                  <c:v>0</c:v>
                </c:pt>
                <c:pt idx="4">
                  <c:v>0</c:v>
                </c:pt>
                <c:pt idx="5">
                  <c:v>0</c:v>
                </c:pt>
                <c:pt idx="6">
                  <c:v>6.0739999999999998</c:v>
                </c:pt>
                <c:pt idx="7">
                  <c:v>4.5110000000000001</c:v>
                </c:pt>
                <c:pt idx="8">
                  <c:v>5.423</c:v>
                </c:pt>
                <c:pt idx="9">
                  <c:v>5.4960000000000004</c:v>
                </c:pt>
                <c:pt idx="10">
                  <c:v>7.1109999999999998</c:v>
                </c:pt>
                <c:pt idx="11">
                  <c:v>10.786</c:v>
                </c:pt>
                <c:pt idx="12">
                  <c:v>7.8609999999999998</c:v>
                </c:pt>
              </c:numCache>
            </c:numRef>
          </c:val>
          <c:extLst>
            <c:ext xmlns:c16="http://schemas.microsoft.com/office/drawing/2014/chart" uri="{C3380CC4-5D6E-409C-BE32-E72D297353CC}">
              <c16:uniqueId val="{00000000-3688-412A-883E-F9DE9DC30758}"/>
            </c:ext>
          </c:extLst>
        </c:ser>
        <c:dLbls>
          <c:showLegendKey val="0"/>
          <c:showVal val="0"/>
          <c:showCatName val="0"/>
          <c:showSerName val="0"/>
          <c:showPercent val="0"/>
          <c:showBubbleSize val="0"/>
        </c:dLbls>
        <c:gapWidth val="75"/>
        <c:overlap val="100"/>
        <c:axId val="812748704"/>
        <c:axId val="812751056"/>
      </c:barChart>
      <c:lineChart>
        <c:grouping val="standard"/>
        <c:varyColors val="0"/>
        <c:ser>
          <c:idx val="2"/>
          <c:order val="1"/>
          <c:tx>
            <c:strRef>
              <c:f>MyHRT1!$BZ$120</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MyHRT1!$BX$121:$BX$133</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MyHRT1!$BZ$121:$BZ$133</c:f>
              <c:numCache>
                <c:formatCode>_("$"* #,##0.00_);_("$"* \(#,##0.00\);_("$"* "-"??_);_(@_)</c:formatCode>
                <c:ptCount val="13"/>
                <c:pt idx="0">
                  <c:v>5.63</c:v>
                </c:pt>
                <c:pt idx="1">
                  <c:v>5.63</c:v>
                </c:pt>
                <c:pt idx="2">
                  <c:v>5.63</c:v>
                </c:pt>
                <c:pt idx="3">
                  <c:v>5.63</c:v>
                </c:pt>
                <c:pt idx="4">
                  <c:v>5.63</c:v>
                </c:pt>
                <c:pt idx="5">
                  <c:v>5.63</c:v>
                </c:pt>
                <c:pt idx="6">
                  <c:v>5.63</c:v>
                </c:pt>
                <c:pt idx="7">
                  <c:v>5.63</c:v>
                </c:pt>
                <c:pt idx="8">
                  <c:v>5.63</c:v>
                </c:pt>
                <c:pt idx="9">
                  <c:v>5.63</c:v>
                </c:pt>
                <c:pt idx="10">
                  <c:v>5.63</c:v>
                </c:pt>
                <c:pt idx="11">
                  <c:v>5.63</c:v>
                </c:pt>
                <c:pt idx="12">
                  <c:v>5.63</c:v>
                </c:pt>
              </c:numCache>
            </c:numRef>
          </c:val>
          <c:smooth val="0"/>
          <c:extLst>
            <c:ext xmlns:c16="http://schemas.microsoft.com/office/drawing/2014/chart" uri="{C3380CC4-5D6E-409C-BE32-E72D297353CC}">
              <c16:uniqueId val="{00000001-3688-412A-883E-F9DE9DC30758}"/>
            </c:ext>
          </c:extLst>
        </c:ser>
        <c:ser>
          <c:idx val="1"/>
          <c:order val="2"/>
          <c:tx>
            <c:strRef>
              <c:f>MyHRT1!$CA$120</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MyHRT1!$BX$121:$BX$133</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MyHRT1!$CA$121:$CA$133</c:f>
              <c:numCache>
                <c:formatCode>_("$"* #,##0.00_);_("$"* \(#,##0.00\);_("$"* "-"??_);_(@_)</c:formatCode>
                <c:ptCount val="13"/>
                <c:pt idx="0">
                  <c:v>#N/A</c:v>
                </c:pt>
                <c:pt idx="1">
                  <c:v>#N/A</c:v>
                </c:pt>
                <c:pt idx="2">
                  <c:v>#N/A</c:v>
                </c:pt>
                <c:pt idx="3">
                  <c:v>#N/A</c:v>
                </c:pt>
                <c:pt idx="4">
                  <c:v>#N/A</c:v>
                </c:pt>
                <c:pt idx="5">
                  <c:v>#N/A</c:v>
                </c:pt>
                <c:pt idx="6">
                  <c:v>8.17352650642081</c:v>
                </c:pt>
                <c:pt idx="7">
                  <c:v>10.109731766792285</c:v>
                </c:pt>
                <c:pt idx="8">
                  <c:v>8.8067490319011625</c:v>
                </c:pt>
                <c:pt idx="9">
                  <c:v>8.2019650655021827</c:v>
                </c:pt>
                <c:pt idx="10">
                  <c:v>6.5431022359724373</c:v>
                </c:pt>
                <c:pt idx="11">
                  <c:v>5.8336732801780089</c:v>
                </c:pt>
                <c:pt idx="12">
                  <c:v>5.5756265106220582</c:v>
                </c:pt>
              </c:numCache>
            </c:numRef>
          </c:val>
          <c:smooth val="0"/>
          <c:extLst>
            <c:ext xmlns:c16="http://schemas.microsoft.com/office/drawing/2014/chart" uri="{C3380CC4-5D6E-409C-BE32-E72D297353CC}">
              <c16:uniqueId val="{00000002-3688-412A-883E-F9DE9DC30758}"/>
            </c:ext>
          </c:extLst>
        </c:ser>
        <c:dLbls>
          <c:showLegendKey val="0"/>
          <c:showVal val="0"/>
          <c:showCatName val="0"/>
          <c:showSerName val="0"/>
          <c:showPercent val="0"/>
          <c:showBubbleSize val="0"/>
        </c:dLbls>
        <c:marker val="1"/>
        <c:smooth val="0"/>
        <c:axId val="812751448"/>
        <c:axId val="812753408"/>
      </c:lineChart>
      <c:valAx>
        <c:axId val="81275105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Calls Offered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48704"/>
        <c:crosses val="max"/>
        <c:crossBetween val="between"/>
      </c:valAx>
      <c:catAx>
        <c:axId val="812748704"/>
        <c:scaling>
          <c:orientation val="minMax"/>
        </c:scaling>
        <c:delete val="1"/>
        <c:axPos val="b"/>
        <c:numFmt formatCode="General" sourceLinked="1"/>
        <c:majorTickMark val="out"/>
        <c:minorTickMark val="none"/>
        <c:tickLblPos val="nextTo"/>
        <c:crossAx val="812751056"/>
        <c:crosses val="autoZero"/>
        <c:auto val="1"/>
        <c:lblAlgn val="ctr"/>
        <c:lblOffset val="100"/>
        <c:noMultiLvlLbl val="0"/>
      </c:catAx>
      <c:valAx>
        <c:axId val="812753408"/>
        <c:scaling>
          <c:orientation val="minMax"/>
          <c:max val="2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Calls Abandoned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51448"/>
        <c:crosses val="autoZero"/>
        <c:crossBetween val="between"/>
      </c:valAx>
      <c:catAx>
        <c:axId val="812751448"/>
        <c:scaling>
          <c:orientation val="minMax"/>
        </c:scaling>
        <c:delete val="1"/>
        <c:axPos val="b"/>
        <c:numFmt formatCode="General" sourceLinked="1"/>
        <c:majorTickMark val="out"/>
        <c:minorTickMark val="none"/>
        <c:tickLblPos val="nextTo"/>
        <c:crossAx val="81275340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Offer Letters Issued Timely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SC!$BY$25</c:f>
              <c:strCache>
                <c:ptCount val="1"/>
                <c:pt idx="0">
                  <c:v>Quantity</c:v>
                </c:pt>
              </c:strCache>
            </c:strRef>
          </c:tx>
          <c:spPr>
            <a:solidFill>
              <a:schemeClr val="bg1">
                <a:lumMod val="65000"/>
              </a:schemeClr>
            </a:solidFill>
            <a:ln>
              <a:noFill/>
            </a:ln>
            <a:effectLst/>
          </c:spPr>
          <c:invertIfNegative val="0"/>
          <c:cat>
            <c:strRef>
              <c:f>SC!$BX$26:$BX$38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SC!$BY$26:$BY$38</c:f>
              <c:numCache>
                <c:formatCode>0.0</c:formatCode>
                <c:ptCount val="13"/>
                <c:pt idx="0">
                  <c:v>0.69299999999999995</c:v>
                </c:pt>
                <c:pt idx="1">
                  <c:v>0.628</c:v>
                </c:pt>
                <c:pt idx="2">
                  <c:v>0.59799999999999998</c:v>
                </c:pt>
                <c:pt idx="3">
                  <c:v>0.77600000000000002</c:v>
                </c:pt>
                <c:pt idx="4">
                  <c:v>0.70299999999999996</c:v>
                </c:pt>
                <c:pt idx="5">
                  <c:v>0.64800000000000002</c:v>
                </c:pt>
                <c:pt idx="6">
                  <c:v>0.17699999999999999</c:v>
                </c:pt>
                <c:pt idx="7">
                  <c:v>0.152</c:v>
                </c:pt>
                <c:pt idx="8">
                  <c:v>0.27800000000000002</c:v>
                </c:pt>
                <c:pt idx="9">
                  <c:v>0.34799999999999998</c:v>
                </c:pt>
                <c:pt idx="10">
                  <c:v>0.32200000000000001</c:v>
                </c:pt>
                <c:pt idx="11">
                  <c:v>0.33800000000000002</c:v>
                </c:pt>
                <c:pt idx="12">
                  <c:v>0.33700000000000002</c:v>
                </c:pt>
              </c:numCache>
            </c:numRef>
          </c:val>
          <c:extLst>
            <c:ext xmlns:c16="http://schemas.microsoft.com/office/drawing/2014/chart" uri="{C3380CC4-5D6E-409C-BE32-E72D297353CC}">
              <c16:uniqueId val="{00000000-07BC-44BD-A557-BE1231A4C7B2}"/>
            </c:ext>
          </c:extLst>
        </c:ser>
        <c:dLbls>
          <c:showLegendKey val="0"/>
          <c:showVal val="0"/>
          <c:showCatName val="0"/>
          <c:showSerName val="0"/>
          <c:showPercent val="0"/>
          <c:showBubbleSize val="0"/>
        </c:dLbls>
        <c:gapWidth val="75"/>
        <c:overlap val="100"/>
        <c:axId val="812766344"/>
        <c:axId val="812762032"/>
      </c:barChart>
      <c:lineChart>
        <c:grouping val="standard"/>
        <c:varyColors val="0"/>
        <c:ser>
          <c:idx val="2"/>
          <c:order val="1"/>
          <c:tx>
            <c:strRef>
              <c:f>SC!$BZ$25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SC!$BX$26:$BX$38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SC!$BZ$26:$BZ$38</c:f>
              <c:numCache>
                <c:formatCode>0.0</c:formatCode>
                <c:ptCount val="13"/>
                <c:pt idx="0">
                  <c:v>1.5</c:v>
                </c:pt>
                <c:pt idx="1">
                  <c:v>1.5</c:v>
                </c:pt>
                <c:pt idx="2">
                  <c:v>1.5</c:v>
                </c:pt>
                <c:pt idx="3">
                  <c:v>1.5</c:v>
                </c:pt>
                <c:pt idx="4">
                  <c:v>1.5</c:v>
                </c:pt>
                <c:pt idx="5">
                  <c:v>1.5</c:v>
                </c:pt>
                <c:pt idx="6">
                  <c:v>1.5</c:v>
                </c:pt>
                <c:pt idx="7">
                  <c:v>1.5</c:v>
                </c:pt>
                <c:pt idx="8">
                  <c:v>1.5</c:v>
                </c:pt>
                <c:pt idx="9">
                  <c:v>1.5</c:v>
                </c:pt>
                <c:pt idx="10">
                  <c:v>1.5</c:v>
                </c:pt>
                <c:pt idx="11">
                  <c:v>1.5</c:v>
                </c:pt>
                <c:pt idx="12">
                  <c:v>1.5</c:v>
                </c:pt>
              </c:numCache>
            </c:numRef>
          </c:val>
          <c:smooth val="0"/>
          <c:extLst>
            <c:ext xmlns:c16="http://schemas.microsoft.com/office/drawing/2014/chart" uri="{C3380CC4-5D6E-409C-BE32-E72D297353CC}">
              <c16:uniqueId val="{00000001-07BC-44BD-A557-BE1231A4C7B2}"/>
            </c:ext>
          </c:extLst>
        </c:ser>
        <c:ser>
          <c:idx val="1"/>
          <c:order val="2"/>
          <c:tx>
            <c:strRef>
              <c:f>SC!$CA$25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SC!$BX$26:$BX$38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SC!$CA$26:$CA$38</c:f>
              <c:numCache>
                <c:formatCode>0.0</c:formatCode>
                <c:ptCount val="13"/>
                <c:pt idx="0">
                  <c:v>0.73399999999999999</c:v>
                </c:pt>
                <c:pt idx="1">
                  <c:v>0.63600000000000001</c:v>
                </c:pt>
                <c:pt idx="2">
                  <c:v>0.70899999999999996</c:v>
                </c:pt>
                <c:pt idx="3">
                  <c:v>0.83</c:v>
                </c:pt>
                <c:pt idx="4">
                  <c:v>0.89300000000000002</c:v>
                </c:pt>
                <c:pt idx="5">
                  <c:v>0.79900000000000004</c:v>
                </c:pt>
                <c:pt idx="6">
                  <c:v>0.45700000000000002</c:v>
                </c:pt>
                <c:pt idx="7">
                  <c:v>0.45300000000000001</c:v>
                </c:pt>
                <c:pt idx="8">
                  <c:v>0.79</c:v>
                </c:pt>
                <c:pt idx="9">
                  <c:v>0.218</c:v>
                </c:pt>
                <c:pt idx="10">
                  <c:v>0.20499999999999999</c:v>
                </c:pt>
                <c:pt idx="11">
                  <c:v>0.20699999999999999</c:v>
                </c:pt>
                <c:pt idx="12">
                  <c:v>0.16</c:v>
                </c:pt>
              </c:numCache>
            </c:numRef>
          </c:val>
          <c:smooth val="0"/>
          <c:extLst>
            <c:ext xmlns:c16="http://schemas.microsoft.com/office/drawing/2014/chart" uri="{C3380CC4-5D6E-409C-BE32-E72D297353CC}">
              <c16:uniqueId val="{00000002-07BC-44BD-A557-BE1231A4C7B2}"/>
            </c:ext>
          </c:extLst>
        </c:ser>
        <c:dLbls>
          <c:showLegendKey val="0"/>
          <c:showVal val="0"/>
          <c:showCatName val="0"/>
          <c:showSerName val="0"/>
          <c:showPercent val="0"/>
          <c:showBubbleSize val="0"/>
        </c:dLbls>
        <c:marker val="1"/>
        <c:smooth val="0"/>
        <c:axId val="812761640"/>
        <c:axId val="812759680"/>
      </c:lineChart>
      <c:valAx>
        <c:axId val="81276203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Offer Letters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66344"/>
        <c:crosses val="max"/>
        <c:crossBetween val="between"/>
      </c:valAx>
      <c:catAx>
        <c:axId val="812766344"/>
        <c:scaling>
          <c:orientation val="minMax"/>
        </c:scaling>
        <c:delete val="1"/>
        <c:axPos val="b"/>
        <c:numFmt formatCode="General" sourceLinked="1"/>
        <c:majorTickMark val="out"/>
        <c:minorTickMark val="none"/>
        <c:tickLblPos val="nextTo"/>
        <c:crossAx val="812762032"/>
        <c:crosses val="autoZero"/>
        <c:auto val="1"/>
        <c:lblAlgn val="ctr"/>
        <c:lblOffset val="100"/>
        <c:noMultiLvlLbl val="0"/>
      </c:catAx>
      <c:valAx>
        <c:axId val="812759680"/>
        <c:scaling>
          <c:orientation val="minMax"/>
          <c:max val="6"/>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61640"/>
        <c:crosses val="autoZero"/>
        <c:crossBetween val="between"/>
      </c:valAx>
      <c:catAx>
        <c:axId val="812761640"/>
        <c:scaling>
          <c:orientation val="minMax"/>
        </c:scaling>
        <c:delete val="1"/>
        <c:axPos val="b"/>
        <c:numFmt formatCode="General" sourceLinked="1"/>
        <c:majorTickMark val="out"/>
        <c:minorTickMark val="none"/>
        <c:tickLblPos val="nextTo"/>
        <c:crossAx val="81275968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Pre-Boarding Activities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SC!$BY$44</c:f>
              <c:strCache>
                <c:ptCount val="1"/>
                <c:pt idx="0">
                  <c:v>Quantity</c:v>
                </c:pt>
              </c:strCache>
            </c:strRef>
          </c:tx>
          <c:spPr>
            <a:solidFill>
              <a:schemeClr val="bg1">
                <a:lumMod val="65000"/>
              </a:schemeClr>
            </a:solidFill>
            <a:ln>
              <a:noFill/>
            </a:ln>
            <a:effectLst/>
          </c:spPr>
          <c:invertIfNegative val="0"/>
          <c:cat>
            <c:strRef>
              <c:f>SC!$BX$45:$BX$57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SC!$BY$45:$BY$57</c:f>
              <c:numCache>
                <c:formatCode>0.00</c:formatCode>
                <c:ptCount val="13"/>
                <c:pt idx="0">
                  <c:v>0.63200000000000001</c:v>
                </c:pt>
                <c:pt idx="1">
                  <c:v>0.57199999999999995</c:v>
                </c:pt>
                <c:pt idx="2">
                  <c:v>0.55100000000000005</c:v>
                </c:pt>
                <c:pt idx="3">
                  <c:v>0.71799999999999997</c:v>
                </c:pt>
                <c:pt idx="4">
                  <c:v>0.65700000000000003</c:v>
                </c:pt>
                <c:pt idx="5">
                  <c:v>0.58799999999999997</c:v>
                </c:pt>
                <c:pt idx="6">
                  <c:v>0.17699999999999999</c:v>
                </c:pt>
                <c:pt idx="7">
                  <c:v>0.14899999999999999</c:v>
                </c:pt>
                <c:pt idx="8">
                  <c:v>0.153</c:v>
                </c:pt>
                <c:pt idx="9">
                  <c:v>0.32600000000000001</c:v>
                </c:pt>
                <c:pt idx="10">
                  <c:v>0.27800000000000002</c:v>
                </c:pt>
                <c:pt idx="11">
                  <c:v>0.312</c:v>
                </c:pt>
                <c:pt idx="12">
                  <c:v>0.32100000000000001</c:v>
                </c:pt>
              </c:numCache>
            </c:numRef>
          </c:val>
          <c:extLst>
            <c:ext xmlns:c16="http://schemas.microsoft.com/office/drawing/2014/chart" uri="{C3380CC4-5D6E-409C-BE32-E72D297353CC}">
              <c16:uniqueId val="{00000000-B2F5-40A8-AD72-258359D67F03}"/>
            </c:ext>
          </c:extLst>
        </c:ser>
        <c:dLbls>
          <c:showLegendKey val="0"/>
          <c:showVal val="0"/>
          <c:showCatName val="0"/>
          <c:showSerName val="0"/>
          <c:showPercent val="0"/>
          <c:showBubbleSize val="0"/>
        </c:dLbls>
        <c:gapWidth val="75"/>
        <c:overlap val="100"/>
        <c:axId val="812766736"/>
        <c:axId val="812763600"/>
      </c:barChart>
      <c:lineChart>
        <c:grouping val="standard"/>
        <c:varyColors val="0"/>
        <c:ser>
          <c:idx val="2"/>
          <c:order val="1"/>
          <c:tx>
            <c:strRef>
              <c:f>SC!$BZ$44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SC!$BX$45:$BX$57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SC!$BZ$45:$BZ$57</c:f>
              <c:numCache>
                <c:formatCode>0.0</c:formatCode>
                <c:ptCount val="13"/>
                <c:pt idx="0">
                  <c:v>5</c:v>
                </c:pt>
                <c:pt idx="1">
                  <c:v>5</c:v>
                </c:pt>
                <c:pt idx="2">
                  <c:v>5</c:v>
                </c:pt>
                <c:pt idx="3">
                  <c:v>5</c:v>
                </c:pt>
                <c:pt idx="4">
                  <c:v>5</c:v>
                </c:pt>
                <c:pt idx="5">
                  <c:v>5</c:v>
                </c:pt>
                <c:pt idx="6">
                  <c:v>5</c:v>
                </c:pt>
                <c:pt idx="7">
                  <c:v>5</c:v>
                </c:pt>
                <c:pt idx="8">
                  <c:v>5</c:v>
                </c:pt>
                <c:pt idx="9">
                  <c:v>5</c:v>
                </c:pt>
                <c:pt idx="10">
                  <c:v>5</c:v>
                </c:pt>
                <c:pt idx="11">
                  <c:v>5</c:v>
                </c:pt>
                <c:pt idx="12">
                  <c:v>5</c:v>
                </c:pt>
              </c:numCache>
            </c:numRef>
          </c:val>
          <c:smooth val="0"/>
          <c:extLst>
            <c:ext xmlns:c16="http://schemas.microsoft.com/office/drawing/2014/chart" uri="{C3380CC4-5D6E-409C-BE32-E72D297353CC}">
              <c16:uniqueId val="{00000001-B2F5-40A8-AD72-258359D67F03}"/>
            </c:ext>
          </c:extLst>
        </c:ser>
        <c:ser>
          <c:idx val="1"/>
          <c:order val="2"/>
          <c:tx>
            <c:strRef>
              <c:f>SC!$CA$44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SC!$BX$45:$BX$57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SC!$CA$45:$CA$57</c:f>
              <c:numCache>
                <c:formatCode>0.0</c:formatCode>
                <c:ptCount val="13"/>
                <c:pt idx="0">
                  <c:v>1.9079999999999999</c:v>
                </c:pt>
                <c:pt idx="1">
                  <c:v>2</c:v>
                </c:pt>
                <c:pt idx="2">
                  <c:v>2.33</c:v>
                </c:pt>
                <c:pt idx="3">
                  <c:v>2.13</c:v>
                </c:pt>
                <c:pt idx="4">
                  <c:v>2.11</c:v>
                </c:pt>
                <c:pt idx="5">
                  <c:v>2.0230000000000001</c:v>
                </c:pt>
                <c:pt idx="6">
                  <c:v>1.6619999999999999</c:v>
                </c:pt>
                <c:pt idx="7">
                  <c:v>0.73599999999999999</c:v>
                </c:pt>
                <c:pt idx="8">
                  <c:v>0.41</c:v>
                </c:pt>
                <c:pt idx="9">
                  <c:v>1.61</c:v>
                </c:pt>
                <c:pt idx="10">
                  <c:v>1.97</c:v>
                </c:pt>
                <c:pt idx="11">
                  <c:v>1.756</c:v>
                </c:pt>
                <c:pt idx="12">
                  <c:v>1.4079999999999999</c:v>
                </c:pt>
              </c:numCache>
            </c:numRef>
          </c:val>
          <c:smooth val="0"/>
          <c:extLst>
            <c:ext xmlns:c16="http://schemas.microsoft.com/office/drawing/2014/chart" uri="{C3380CC4-5D6E-409C-BE32-E72D297353CC}">
              <c16:uniqueId val="{00000002-B2F5-40A8-AD72-258359D67F03}"/>
            </c:ext>
          </c:extLst>
        </c:ser>
        <c:dLbls>
          <c:showLegendKey val="0"/>
          <c:showVal val="0"/>
          <c:showCatName val="0"/>
          <c:showSerName val="0"/>
          <c:showPercent val="0"/>
          <c:showBubbleSize val="0"/>
        </c:dLbls>
        <c:marker val="1"/>
        <c:smooth val="0"/>
        <c:axId val="812760464"/>
        <c:axId val="812767520"/>
      </c:lineChart>
      <c:valAx>
        <c:axId val="81276360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Background Check Requests in 1000s</a:t>
                </a:r>
              </a:p>
            </c:rich>
          </c:tx>
          <c:layout>
            <c:manualLayout>
              <c:xMode val="edge"/>
              <c:yMode val="edge"/>
              <c:x val="0.95158360044169532"/>
              <c:y val="8.8537674221695534E-2"/>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66736"/>
        <c:crosses val="max"/>
        <c:crossBetween val="between"/>
      </c:valAx>
      <c:catAx>
        <c:axId val="812766736"/>
        <c:scaling>
          <c:orientation val="minMax"/>
        </c:scaling>
        <c:delete val="1"/>
        <c:axPos val="b"/>
        <c:numFmt formatCode="General" sourceLinked="1"/>
        <c:majorTickMark val="out"/>
        <c:minorTickMark val="none"/>
        <c:tickLblPos val="nextTo"/>
        <c:crossAx val="812763600"/>
        <c:crosses val="autoZero"/>
        <c:auto val="1"/>
        <c:lblAlgn val="ctr"/>
        <c:lblOffset val="100"/>
        <c:noMultiLvlLbl val="0"/>
      </c:catAx>
      <c:valAx>
        <c:axId val="812767520"/>
        <c:scaling>
          <c:orientation val="minMax"/>
          <c:max val="8"/>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60464"/>
        <c:crosses val="autoZero"/>
        <c:crossBetween val="between"/>
      </c:valAx>
      <c:catAx>
        <c:axId val="812760464"/>
        <c:scaling>
          <c:orientation val="minMax"/>
        </c:scaling>
        <c:delete val="1"/>
        <c:axPos val="b"/>
        <c:numFmt formatCode="General" sourceLinked="1"/>
        <c:majorTickMark val="out"/>
        <c:minorTickMark val="none"/>
        <c:tickLblPos val="nextTo"/>
        <c:crossAx val="81276752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Satisfaction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PS!$BY$25</c:f>
              <c:strCache>
                <c:ptCount val="1"/>
                <c:pt idx="0">
                  <c:v>Quantity</c:v>
                </c:pt>
              </c:strCache>
            </c:strRef>
          </c:tx>
          <c:spPr>
            <a:solidFill>
              <a:schemeClr val="bg1">
                <a:lumMod val="65000"/>
              </a:schemeClr>
            </a:solidFill>
            <a:ln>
              <a:noFill/>
            </a:ln>
            <a:effectLst/>
          </c:spPr>
          <c:invertIfNegative val="0"/>
          <c:cat>
            <c:strRef>
              <c:f>PS!$BX$26:$BX$38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PS!$BY$26:$BY$38</c:f>
              <c:numCache>
                <c:formatCode>0.0</c:formatCode>
                <c:ptCount val="13"/>
                <c:pt idx="0">
                  <c:v>1.8</c:v>
                </c:pt>
                <c:pt idx="1">
                  <c:v>0.67900000000000005</c:v>
                </c:pt>
                <c:pt idx="2">
                  <c:v>1.714</c:v>
                </c:pt>
                <c:pt idx="3">
                  <c:v>1.8819999999999999</c:v>
                </c:pt>
                <c:pt idx="4">
                  <c:v>2.0710000000000002</c:v>
                </c:pt>
                <c:pt idx="5">
                  <c:v>2.5110000000000001</c:v>
                </c:pt>
                <c:pt idx="6">
                  <c:v>2.0110000000000001</c:v>
                </c:pt>
                <c:pt idx="7">
                  <c:v>1.794</c:v>
                </c:pt>
                <c:pt idx="8">
                  <c:v>2.2690000000000001</c:v>
                </c:pt>
                <c:pt idx="9">
                  <c:v>1.9139999999999999</c:v>
                </c:pt>
                <c:pt idx="10">
                  <c:v>2.1259999999999999</c:v>
                </c:pt>
                <c:pt idx="11">
                  <c:v>3.2269999999999999</c:v>
                </c:pt>
                <c:pt idx="12">
                  <c:v>1.863</c:v>
                </c:pt>
              </c:numCache>
            </c:numRef>
          </c:val>
          <c:extLst>
            <c:ext xmlns:c16="http://schemas.microsoft.com/office/drawing/2014/chart" uri="{C3380CC4-5D6E-409C-BE32-E72D297353CC}">
              <c16:uniqueId val="{00000000-D7A2-43BA-8B8A-535FDC7F7055}"/>
            </c:ext>
          </c:extLst>
        </c:ser>
        <c:dLbls>
          <c:showLegendKey val="0"/>
          <c:showVal val="0"/>
          <c:showCatName val="0"/>
          <c:showSerName val="0"/>
          <c:showPercent val="0"/>
          <c:showBubbleSize val="0"/>
        </c:dLbls>
        <c:gapWidth val="75"/>
        <c:overlap val="100"/>
        <c:axId val="744969344"/>
        <c:axId val="744974832"/>
      </c:barChart>
      <c:lineChart>
        <c:grouping val="standard"/>
        <c:varyColors val="0"/>
        <c:ser>
          <c:idx val="2"/>
          <c:order val="1"/>
          <c:tx>
            <c:strRef>
              <c:f>PS!$BZ$25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PS!$BX$26:$BX$38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PS!$BZ$26:$BZ$38</c:f>
              <c:numCache>
                <c:formatCode>0%</c:formatCode>
                <c:ptCount val="13"/>
                <c:pt idx="0">
                  <c:v>0.9</c:v>
                </c:pt>
                <c:pt idx="1">
                  <c:v>0.9</c:v>
                </c:pt>
                <c:pt idx="2">
                  <c:v>0.9</c:v>
                </c:pt>
                <c:pt idx="3">
                  <c:v>0.9</c:v>
                </c:pt>
                <c:pt idx="4">
                  <c:v>0.9</c:v>
                </c:pt>
                <c:pt idx="5">
                  <c:v>0.9</c:v>
                </c:pt>
                <c:pt idx="6">
                  <c:v>0.9</c:v>
                </c:pt>
                <c:pt idx="7">
                  <c:v>0.9</c:v>
                </c:pt>
                <c:pt idx="8">
                  <c:v>0.9</c:v>
                </c:pt>
                <c:pt idx="9">
                  <c:v>0.9</c:v>
                </c:pt>
                <c:pt idx="10">
                  <c:v>0.9</c:v>
                </c:pt>
                <c:pt idx="11">
                  <c:v>0.9</c:v>
                </c:pt>
                <c:pt idx="12">
                  <c:v>0.9</c:v>
                </c:pt>
              </c:numCache>
            </c:numRef>
          </c:val>
          <c:smooth val="0"/>
          <c:extLst>
            <c:ext xmlns:c16="http://schemas.microsoft.com/office/drawing/2014/chart" uri="{C3380CC4-5D6E-409C-BE32-E72D297353CC}">
              <c16:uniqueId val="{00000001-D7A2-43BA-8B8A-535FDC7F7055}"/>
            </c:ext>
          </c:extLst>
        </c:ser>
        <c:ser>
          <c:idx val="1"/>
          <c:order val="2"/>
          <c:tx>
            <c:strRef>
              <c:f>PS!$CA$25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PS!$BX$26:$BX$38</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PS!$CA$26:$CA$38</c:f>
              <c:numCache>
                <c:formatCode>0.0%</c:formatCode>
                <c:ptCount val="13"/>
                <c:pt idx="0">
                  <c:v>0.92155555555555557</c:v>
                </c:pt>
                <c:pt idx="1">
                  <c:v>0.93490427098674522</c:v>
                </c:pt>
                <c:pt idx="2">
                  <c:v>0.94014002333722291</c:v>
                </c:pt>
                <c:pt idx="3">
                  <c:v>0.96099893730074393</c:v>
                </c:pt>
                <c:pt idx="4">
                  <c:v>0.94292612264606468</c:v>
                </c:pt>
                <c:pt idx="5">
                  <c:v>0.94934289127837512</c:v>
                </c:pt>
                <c:pt idx="6">
                  <c:v>0.94311287916459474</c:v>
                </c:pt>
                <c:pt idx="7">
                  <c:v>0.94760312151616499</c:v>
                </c:pt>
                <c:pt idx="8">
                  <c:v>0.95504627589246349</c:v>
                </c:pt>
                <c:pt idx="9">
                  <c:v>0.96081504702194365</c:v>
                </c:pt>
                <c:pt idx="10">
                  <c:v>0.95249294449670741</c:v>
                </c:pt>
                <c:pt idx="11">
                  <c:v>0.94112178493957233</c:v>
                </c:pt>
                <c:pt idx="12">
                  <c:v>0.93988191089640361</c:v>
                </c:pt>
              </c:numCache>
            </c:numRef>
          </c:val>
          <c:smooth val="0"/>
          <c:extLst>
            <c:ext xmlns:c16="http://schemas.microsoft.com/office/drawing/2014/chart" uri="{C3380CC4-5D6E-409C-BE32-E72D297353CC}">
              <c16:uniqueId val="{00000002-D7A2-43BA-8B8A-535FDC7F7055}"/>
            </c:ext>
          </c:extLst>
        </c:ser>
        <c:dLbls>
          <c:showLegendKey val="0"/>
          <c:showVal val="0"/>
          <c:showCatName val="0"/>
          <c:showSerName val="0"/>
          <c:showPercent val="0"/>
          <c:showBubbleSize val="0"/>
        </c:dLbls>
        <c:marker val="1"/>
        <c:smooth val="0"/>
        <c:axId val="744976008"/>
        <c:axId val="744978752"/>
      </c:lineChart>
      <c:valAx>
        <c:axId val="74497483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Surveys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69344"/>
        <c:crosses val="max"/>
        <c:crossBetween val="between"/>
      </c:valAx>
      <c:catAx>
        <c:axId val="744969344"/>
        <c:scaling>
          <c:orientation val="minMax"/>
        </c:scaling>
        <c:delete val="1"/>
        <c:axPos val="b"/>
        <c:numFmt formatCode="General" sourceLinked="1"/>
        <c:majorTickMark val="out"/>
        <c:minorTickMark val="none"/>
        <c:tickLblPos val="nextTo"/>
        <c:crossAx val="744974832"/>
        <c:crosses val="autoZero"/>
        <c:auto val="1"/>
        <c:lblAlgn val="ctr"/>
        <c:lblOffset val="100"/>
        <c:noMultiLvlLbl val="0"/>
      </c:catAx>
      <c:valAx>
        <c:axId val="744978752"/>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Favorable Surveys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76008"/>
        <c:crosses val="autoZero"/>
        <c:crossBetween val="between"/>
      </c:valAx>
      <c:catAx>
        <c:axId val="744976008"/>
        <c:scaling>
          <c:orientation val="minMax"/>
        </c:scaling>
        <c:delete val="1"/>
        <c:axPos val="b"/>
        <c:numFmt formatCode="General" sourceLinked="1"/>
        <c:majorTickMark val="out"/>
        <c:minorTickMark val="none"/>
        <c:tickLblPos val="nextTo"/>
        <c:crossAx val="74497875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Answer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PS!$BY$44</c:f>
              <c:strCache>
                <c:ptCount val="1"/>
                <c:pt idx="0">
                  <c:v>Quantity</c:v>
                </c:pt>
              </c:strCache>
            </c:strRef>
          </c:tx>
          <c:spPr>
            <a:solidFill>
              <a:schemeClr val="bg1">
                <a:lumMod val="65000"/>
              </a:schemeClr>
            </a:solidFill>
            <a:ln>
              <a:noFill/>
            </a:ln>
            <a:effectLst/>
          </c:spPr>
          <c:invertIfNegative val="0"/>
          <c:cat>
            <c:strRef>
              <c:f>PS!$BX$45:$BX$57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PS!$BY$45:$BY$57</c:f>
              <c:numCache>
                <c:formatCode>0.0</c:formatCode>
                <c:ptCount val="13"/>
                <c:pt idx="0">
                  <c:v>7.3310000000000004</c:v>
                </c:pt>
                <c:pt idx="1">
                  <c:v>6.5229999999999997</c:v>
                </c:pt>
                <c:pt idx="2">
                  <c:v>8.4710000000000001</c:v>
                </c:pt>
                <c:pt idx="3">
                  <c:v>8.4949999999999992</c:v>
                </c:pt>
                <c:pt idx="4">
                  <c:v>9.9410000000000007</c:v>
                </c:pt>
                <c:pt idx="5">
                  <c:v>10.686999999999999</c:v>
                </c:pt>
                <c:pt idx="6">
                  <c:v>8.1739999999999995</c:v>
                </c:pt>
                <c:pt idx="7">
                  <c:v>6.1879999999999997</c:v>
                </c:pt>
                <c:pt idx="8">
                  <c:v>7.47</c:v>
                </c:pt>
                <c:pt idx="9">
                  <c:v>6.36</c:v>
                </c:pt>
                <c:pt idx="10">
                  <c:v>7.5730000000000004</c:v>
                </c:pt>
                <c:pt idx="11">
                  <c:v>11.82</c:v>
                </c:pt>
                <c:pt idx="12">
                  <c:v>8.4879999999999995</c:v>
                </c:pt>
              </c:numCache>
            </c:numRef>
          </c:val>
          <c:extLst>
            <c:ext xmlns:c16="http://schemas.microsoft.com/office/drawing/2014/chart" uri="{C3380CC4-5D6E-409C-BE32-E72D297353CC}">
              <c16:uniqueId val="{00000000-662E-4678-B601-CD965163A6B2}"/>
            </c:ext>
          </c:extLst>
        </c:ser>
        <c:dLbls>
          <c:showLegendKey val="0"/>
          <c:showVal val="0"/>
          <c:showCatName val="0"/>
          <c:showSerName val="0"/>
          <c:showPercent val="0"/>
          <c:showBubbleSize val="0"/>
        </c:dLbls>
        <c:gapWidth val="75"/>
        <c:overlap val="100"/>
        <c:axId val="744979144"/>
        <c:axId val="744974048"/>
      </c:barChart>
      <c:lineChart>
        <c:grouping val="standard"/>
        <c:varyColors val="0"/>
        <c:ser>
          <c:idx val="2"/>
          <c:order val="1"/>
          <c:tx>
            <c:strRef>
              <c:f>PS!$BZ$44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PS!$BX$45:$BX$57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PS!$BZ$45:$BZ$57</c:f>
              <c:numCache>
                <c:formatCode>mm:ss</c:formatCode>
                <c:ptCount val="13"/>
                <c:pt idx="0">
                  <c:v>2.4305555555555556E-3</c:v>
                </c:pt>
                <c:pt idx="1">
                  <c:v>2.4305555555555556E-3</c:v>
                </c:pt>
                <c:pt idx="2">
                  <c:v>2.4305555555555556E-3</c:v>
                </c:pt>
                <c:pt idx="3">
                  <c:v>2.4305555555555556E-3</c:v>
                </c:pt>
                <c:pt idx="4">
                  <c:v>2.4305555555555556E-3</c:v>
                </c:pt>
                <c:pt idx="5">
                  <c:v>2.4305555555555556E-3</c:v>
                </c:pt>
                <c:pt idx="6">
                  <c:v>2.4305555555555556E-3</c:v>
                </c:pt>
                <c:pt idx="7">
                  <c:v>2.4305555555555556E-3</c:v>
                </c:pt>
                <c:pt idx="8">
                  <c:v>2.4305555555555556E-3</c:v>
                </c:pt>
                <c:pt idx="9">
                  <c:v>2.4305555555555556E-3</c:v>
                </c:pt>
                <c:pt idx="10">
                  <c:v>2.4305555555555556E-3</c:v>
                </c:pt>
                <c:pt idx="11">
                  <c:v>2.4305555555555556E-3</c:v>
                </c:pt>
                <c:pt idx="12">
                  <c:v>2.4305555555555556E-3</c:v>
                </c:pt>
              </c:numCache>
            </c:numRef>
          </c:val>
          <c:smooth val="0"/>
          <c:extLst>
            <c:ext xmlns:c16="http://schemas.microsoft.com/office/drawing/2014/chart" uri="{C3380CC4-5D6E-409C-BE32-E72D297353CC}">
              <c16:uniqueId val="{00000001-662E-4678-B601-CD965163A6B2}"/>
            </c:ext>
          </c:extLst>
        </c:ser>
        <c:ser>
          <c:idx val="1"/>
          <c:order val="2"/>
          <c:tx>
            <c:strRef>
              <c:f>PS!$CA$44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PS!$BX$45:$BX$57</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PS!$CA$45:$CA$57</c:f>
              <c:numCache>
                <c:formatCode>mm:ss</c:formatCode>
                <c:ptCount val="13"/>
                <c:pt idx="0">
                  <c:v>7.5231481481481471E-4</c:v>
                </c:pt>
                <c:pt idx="1">
                  <c:v>7.5231481481481471E-4</c:v>
                </c:pt>
                <c:pt idx="2">
                  <c:v>6.3657407407407402E-4</c:v>
                </c:pt>
                <c:pt idx="3">
                  <c:v>1.9675925925925926E-4</c:v>
                </c:pt>
                <c:pt idx="4">
                  <c:v>1.6203703703703703E-4</c:v>
                </c:pt>
                <c:pt idx="5">
                  <c:v>1.3888888888888889E-4</c:v>
                </c:pt>
                <c:pt idx="6">
                  <c:v>2.6620370370370372E-4</c:v>
                </c:pt>
                <c:pt idx="7">
                  <c:v>1.9675925925925926E-4</c:v>
                </c:pt>
                <c:pt idx="8">
                  <c:v>2.3148148148148146E-4</c:v>
                </c:pt>
                <c:pt idx="9">
                  <c:v>3.3564814814814812E-4</c:v>
                </c:pt>
                <c:pt idx="10">
                  <c:v>2.3148148148148146E-4</c:v>
                </c:pt>
                <c:pt idx="11">
                  <c:v>4.1666666666666669E-4</c:v>
                </c:pt>
                <c:pt idx="12">
                  <c:v>3.9351851851851852E-4</c:v>
                </c:pt>
              </c:numCache>
            </c:numRef>
          </c:val>
          <c:smooth val="0"/>
          <c:extLst>
            <c:ext xmlns:c16="http://schemas.microsoft.com/office/drawing/2014/chart" uri="{C3380CC4-5D6E-409C-BE32-E72D297353CC}">
              <c16:uniqueId val="{00000002-662E-4678-B601-CD965163A6B2}"/>
            </c:ext>
          </c:extLst>
        </c:ser>
        <c:dLbls>
          <c:showLegendKey val="0"/>
          <c:showVal val="0"/>
          <c:showCatName val="0"/>
          <c:showSerName val="0"/>
          <c:showPercent val="0"/>
          <c:showBubbleSize val="0"/>
        </c:dLbls>
        <c:marker val="1"/>
        <c:smooth val="0"/>
        <c:axId val="744979928"/>
        <c:axId val="744979536"/>
      </c:lineChart>
      <c:valAx>
        <c:axId val="744974048"/>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Calls Handled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79144"/>
        <c:crosses val="max"/>
        <c:crossBetween val="between"/>
      </c:valAx>
      <c:catAx>
        <c:axId val="744979144"/>
        <c:scaling>
          <c:orientation val="minMax"/>
        </c:scaling>
        <c:delete val="1"/>
        <c:axPos val="b"/>
        <c:numFmt formatCode="General" sourceLinked="1"/>
        <c:majorTickMark val="out"/>
        <c:minorTickMark val="none"/>
        <c:tickLblPos val="nextTo"/>
        <c:crossAx val="744974048"/>
        <c:crosses val="autoZero"/>
        <c:auto val="1"/>
        <c:lblAlgn val="ctr"/>
        <c:lblOffset val="100"/>
        <c:noMultiLvlLbl val="0"/>
      </c:catAx>
      <c:valAx>
        <c:axId val="744979536"/>
        <c:scaling>
          <c:orientation val="minMax"/>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H:MM:SS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mm:ss"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79928"/>
        <c:crosses val="autoZero"/>
        <c:crossBetween val="between"/>
        <c:majorUnit val="1.38888888888889E-3"/>
      </c:valAx>
      <c:catAx>
        <c:axId val="744979928"/>
        <c:scaling>
          <c:orientation val="minMax"/>
        </c:scaling>
        <c:delete val="1"/>
        <c:axPos val="b"/>
        <c:numFmt formatCode="General" sourceLinked="1"/>
        <c:majorTickMark val="out"/>
        <c:minorTickMark val="none"/>
        <c:tickLblPos val="nextTo"/>
        <c:crossAx val="74497953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Abandonment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PS!$BY$63</c:f>
              <c:strCache>
                <c:ptCount val="1"/>
                <c:pt idx="0">
                  <c:v>Quantity</c:v>
                </c:pt>
              </c:strCache>
            </c:strRef>
          </c:tx>
          <c:spPr>
            <a:solidFill>
              <a:schemeClr val="bg1">
                <a:lumMod val="65000"/>
              </a:schemeClr>
            </a:solidFill>
            <a:ln>
              <a:noFill/>
            </a:ln>
            <a:effectLst/>
          </c:spPr>
          <c:invertIfNegative val="0"/>
          <c:cat>
            <c:strRef>
              <c:f>PS!$BX$64:$BX$76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PS!$BY$64:$BY$76</c:f>
              <c:numCache>
                <c:formatCode>0.0</c:formatCode>
                <c:ptCount val="13"/>
                <c:pt idx="0">
                  <c:v>8.3930000000000007</c:v>
                </c:pt>
                <c:pt idx="1">
                  <c:v>7.3289999999999997</c:v>
                </c:pt>
                <c:pt idx="2">
                  <c:v>9.4090000000000007</c:v>
                </c:pt>
                <c:pt idx="3">
                  <c:v>8.7720000000000002</c:v>
                </c:pt>
                <c:pt idx="4">
                  <c:v>10.183</c:v>
                </c:pt>
                <c:pt idx="5">
                  <c:v>10.929</c:v>
                </c:pt>
                <c:pt idx="6">
                  <c:v>8.5489999999999995</c:v>
                </c:pt>
                <c:pt idx="7">
                  <c:v>6.3730000000000002</c:v>
                </c:pt>
                <c:pt idx="8">
                  <c:v>7.7679999999999998</c:v>
                </c:pt>
                <c:pt idx="9">
                  <c:v>6.7519999999999998</c:v>
                </c:pt>
                <c:pt idx="10">
                  <c:v>7.8979999999999997</c:v>
                </c:pt>
                <c:pt idx="11">
                  <c:v>12.683999999999999</c:v>
                </c:pt>
                <c:pt idx="12">
                  <c:v>9.5399999999999991</c:v>
                </c:pt>
              </c:numCache>
            </c:numRef>
          </c:val>
          <c:extLst>
            <c:ext xmlns:c16="http://schemas.microsoft.com/office/drawing/2014/chart" uri="{C3380CC4-5D6E-409C-BE32-E72D297353CC}">
              <c16:uniqueId val="{00000000-2161-467C-A31F-AF15C81D315C}"/>
            </c:ext>
          </c:extLst>
        </c:ser>
        <c:dLbls>
          <c:showLegendKey val="0"/>
          <c:showVal val="0"/>
          <c:showCatName val="0"/>
          <c:showSerName val="0"/>
          <c:showPercent val="0"/>
          <c:showBubbleSize val="0"/>
        </c:dLbls>
        <c:gapWidth val="75"/>
        <c:overlap val="100"/>
        <c:axId val="744975224"/>
        <c:axId val="744969736"/>
      </c:barChart>
      <c:lineChart>
        <c:grouping val="standard"/>
        <c:varyColors val="0"/>
        <c:ser>
          <c:idx val="2"/>
          <c:order val="1"/>
          <c:tx>
            <c:strRef>
              <c:f>PS!$BZ$63</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PS!$BX$64:$BX$76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PS!$BZ$64:$BZ$76</c:f>
              <c:numCache>
                <c:formatCode>0%</c:formatCode>
                <c:ptCount val="13"/>
                <c:pt idx="0">
                  <c:v>0.1</c:v>
                </c:pt>
                <c:pt idx="1">
                  <c:v>0.1</c:v>
                </c:pt>
                <c:pt idx="2">
                  <c:v>0.1</c:v>
                </c:pt>
                <c:pt idx="3">
                  <c:v>0.1</c:v>
                </c:pt>
                <c:pt idx="4">
                  <c:v>0.1</c:v>
                </c:pt>
                <c:pt idx="5">
                  <c:v>0.1</c:v>
                </c:pt>
                <c:pt idx="6">
                  <c:v>0.1</c:v>
                </c:pt>
                <c:pt idx="7">
                  <c:v>0.1</c:v>
                </c:pt>
                <c:pt idx="8">
                  <c:v>0.1</c:v>
                </c:pt>
                <c:pt idx="9">
                  <c:v>0.1</c:v>
                </c:pt>
                <c:pt idx="10">
                  <c:v>0.1</c:v>
                </c:pt>
                <c:pt idx="11">
                  <c:v>0.1</c:v>
                </c:pt>
                <c:pt idx="12">
                  <c:v>0.1</c:v>
                </c:pt>
              </c:numCache>
            </c:numRef>
          </c:val>
          <c:smooth val="0"/>
          <c:extLst>
            <c:ext xmlns:c16="http://schemas.microsoft.com/office/drawing/2014/chart" uri="{C3380CC4-5D6E-409C-BE32-E72D297353CC}">
              <c16:uniqueId val="{00000001-2161-467C-A31F-AF15C81D315C}"/>
            </c:ext>
          </c:extLst>
        </c:ser>
        <c:ser>
          <c:idx val="1"/>
          <c:order val="2"/>
          <c:tx>
            <c:strRef>
              <c:f>PS!$CA$63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PS!$BX$64:$BX$76</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PS!$CA$64:$CA$76</c:f>
              <c:numCache>
                <c:formatCode>0.0%</c:formatCode>
                <c:ptCount val="13"/>
                <c:pt idx="0">
                  <c:v>5.9454307160729171E-2</c:v>
                </c:pt>
                <c:pt idx="1">
                  <c:v>4.4344385318597357E-2</c:v>
                </c:pt>
                <c:pt idx="2">
                  <c:v>4.6551174407482195E-2</c:v>
                </c:pt>
                <c:pt idx="3">
                  <c:v>1.459188326493388E-2</c:v>
                </c:pt>
                <c:pt idx="4">
                  <c:v>1.148973779829127E-2</c:v>
                </c:pt>
                <c:pt idx="5">
                  <c:v>1.0064964772623296E-2</c:v>
                </c:pt>
                <c:pt idx="6">
                  <c:v>2.117206690841034E-2</c:v>
                </c:pt>
                <c:pt idx="7">
                  <c:v>1.3965165542130863E-2</c:v>
                </c:pt>
                <c:pt idx="8">
                  <c:v>2.0468589083419156E-2</c:v>
                </c:pt>
                <c:pt idx="9">
                  <c:v>2.754739336492891E-2</c:v>
                </c:pt>
                <c:pt idx="10">
                  <c:v>2.0258293238794634E-2</c:v>
                </c:pt>
                <c:pt idx="11">
                  <c:v>3.0195521917376223E-2</c:v>
                </c:pt>
                <c:pt idx="12">
                  <c:v>3.1236897274633125E-2</c:v>
                </c:pt>
              </c:numCache>
            </c:numRef>
          </c:val>
          <c:smooth val="0"/>
          <c:extLst>
            <c:ext xmlns:c16="http://schemas.microsoft.com/office/drawing/2014/chart" uri="{C3380CC4-5D6E-409C-BE32-E72D297353CC}">
              <c16:uniqueId val="{00000002-2161-467C-A31F-AF15C81D315C}"/>
            </c:ext>
          </c:extLst>
        </c:ser>
        <c:dLbls>
          <c:showLegendKey val="0"/>
          <c:showVal val="0"/>
          <c:showCatName val="0"/>
          <c:showSerName val="0"/>
          <c:showPercent val="0"/>
          <c:showBubbleSize val="0"/>
        </c:dLbls>
        <c:marker val="1"/>
        <c:smooth val="0"/>
        <c:axId val="744970912"/>
        <c:axId val="744970128"/>
      </c:lineChart>
      <c:valAx>
        <c:axId val="74496973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Calls Offered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75224"/>
        <c:crosses val="max"/>
        <c:crossBetween val="between"/>
      </c:valAx>
      <c:catAx>
        <c:axId val="744975224"/>
        <c:scaling>
          <c:orientation val="minMax"/>
        </c:scaling>
        <c:delete val="1"/>
        <c:axPos val="b"/>
        <c:numFmt formatCode="General" sourceLinked="1"/>
        <c:majorTickMark val="out"/>
        <c:minorTickMark val="none"/>
        <c:tickLblPos val="nextTo"/>
        <c:crossAx val="744969736"/>
        <c:crosses val="autoZero"/>
        <c:auto val="1"/>
        <c:lblAlgn val="ctr"/>
        <c:lblOffset val="100"/>
        <c:noMultiLvlLbl val="0"/>
      </c:catAx>
      <c:valAx>
        <c:axId val="744970128"/>
        <c:scaling>
          <c:orientation val="minMax"/>
          <c:max val="0.4"/>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Calls Abandoned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70912"/>
        <c:crosses val="autoZero"/>
        <c:crossBetween val="between"/>
        <c:majorUnit val="5.000000000000001E-2"/>
      </c:valAx>
      <c:catAx>
        <c:axId val="744970912"/>
        <c:scaling>
          <c:orientation val="minMax"/>
        </c:scaling>
        <c:delete val="1"/>
        <c:axPos val="b"/>
        <c:numFmt formatCode="General" sourceLinked="1"/>
        <c:majorTickMark val="out"/>
        <c:minorTickMark val="none"/>
        <c:tickLblPos val="nextTo"/>
        <c:crossAx val="74497012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Inbound Email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PS!$BY$82</c:f>
              <c:strCache>
                <c:ptCount val="1"/>
                <c:pt idx="0">
                  <c:v>Quantity</c:v>
                </c:pt>
              </c:strCache>
            </c:strRef>
          </c:tx>
          <c:spPr>
            <a:solidFill>
              <a:schemeClr val="bg1">
                <a:lumMod val="65000"/>
              </a:schemeClr>
            </a:solidFill>
            <a:ln>
              <a:noFill/>
            </a:ln>
            <a:effectLst/>
          </c:spPr>
          <c:invertIfNegative val="0"/>
          <c:cat>
            <c:strRef>
              <c:f>PS!$BX$83:$BX$95</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PS!$BY$83:$BY$95</c:f>
              <c:numCache>
                <c:formatCode>0.0</c:formatCode>
                <c:ptCount val="13"/>
                <c:pt idx="0">
                  <c:v>2.9079999999999999</c:v>
                </c:pt>
                <c:pt idx="1">
                  <c:v>2.8069999999999999</c:v>
                </c:pt>
                <c:pt idx="2">
                  <c:v>3.4990000000000001</c:v>
                </c:pt>
                <c:pt idx="3">
                  <c:v>3.7949999999999999</c:v>
                </c:pt>
                <c:pt idx="4">
                  <c:v>3.407</c:v>
                </c:pt>
                <c:pt idx="5">
                  <c:v>4.1310000000000002</c:v>
                </c:pt>
                <c:pt idx="6">
                  <c:v>3.0270000000000001</c:v>
                </c:pt>
                <c:pt idx="7">
                  <c:v>2.5379999999999998</c:v>
                </c:pt>
                <c:pt idx="8">
                  <c:v>3.3370000000000002</c:v>
                </c:pt>
                <c:pt idx="9">
                  <c:v>3.0329999999999999</c:v>
                </c:pt>
                <c:pt idx="10">
                  <c:v>3.4550000000000001</c:v>
                </c:pt>
                <c:pt idx="11">
                  <c:v>4.4260000000000002</c:v>
                </c:pt>
                <c:pt idx="12">
                  <c:v>3.8250000000000002</c:v>
                </c:pt>
              </c:numCache>
            </c:numRef>
          </c:val>
          <c:extLst>
            <c:ext xmlns:c16="http://schemas.microsoft.com/office/drawing/2014/chart" uri="{C3380CC4-5D6E-409C-BE32-E72D297353CC}">
              <c16:uniqueId val="{00000000-3D65-48E2-B483-C6EECCE1525D}"/>
            </c:ext>
          </c:extLst>
        </c:ser>
        <c:dLbls>
          <c:showLegendKey val="0"/>
          <c:showVal val="0"/>
          <c:showCatName val="0"/>
          <c:showSerName val="0"/>
          <c:showPercent val="0"/>
          <c:showBubbleSize val="0"/>
        </c:dLbls>
        <c:gapWidth val="75"/>
        <c:overlap val="100"/>
        <c:axId val="744985024"/>
        <c:axId val="744984632"/>
      </c:barChart>
      <c:lineChart>
        <c:grouping val="standard"/>
        <c:varyColors val="0"/>
        <c:ser>
          <c:idx val="2"/>
          <c:order val="1"/>
          <c:tx>
            <c:strRef>
              <c:f>PS!$BZ$82</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PS!$BX$83:$BX$95</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PS!$BZ$83:$BZ$95</c:f>
              <c:numCache>
                <c:formatCode>0%</c:formatCode>
                <c:ptCount val="13"/>
                <c:pt idx="0">
                  <c:v>0.85</c:v>
                </c:pt>
                <c:pt idx="1">
                  <c:v>0.85</c:v>
                </c:pt>
                <c:pt idx="2">
                  <c:v>0.85</c:v>
                </c:pt>
                <c:pt idx="3">
                  <c:v>0.85</c:v>
                </c:pt>
                <c:pt idx="4">
                  <c:v>0.85</c:v>
                </c:pt>
                <c:pt idx="5">
                  <c:v>0.85</c:v>
                </c:pt>
                <c:pt idx="6">
                  <c:v>0.85</c:v>
                </c:pt>
                <c:pt idx="7">
                  <c:v>0.85</c:v>
                </c:pt>
                <c:pt idx="8">
                  <c:v>0.85</c:v>
                </c:pt>
                <c:pt idx="9">
                  <c:v>0.85</c:v>
                </c:pt>
                <c:pt idx="10">
                  <c:v>0.85</c:v>
                </c:pt>
                <c:pt idx="11">
                  <c:v>0.85</c:v>
                </c:pt>
                <c:pt idx="12">
                  <c:v>0.85</c:v>
                </c:pt>
              </c:numCache>
            </c:numRef>
          </c:val>
          <c:smooth val="0"/>
          <c:extLst>
            <c:ext xmlns:c16="http://schemas.microsoft.com/office/drawing/2014/chart" uri="{C3380CC4-5D6E-409C-BE32-E72D297353CC}">
              <c16:uniqueId val="{00000001-3D65-48E2-B483-C6EECCE1525D}"/>
            </c:ext>
          </c:extLst>
        </c:ser>
        <c:ser>
          <c:idx val="1"/>
          <c:order val="2"/>
          <c:tx>
            <c:strRef>
              <c:f>PS!$CA$82</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PS!$BX$83:$BX$95</c:f>
              <c:strCache>
                <c:ptCount val="13"/>
                <c:pt idx="0">
                  <c:v>Oct</c:v>
                </c:pt>
                <c:pt idx="1">
                  <c:v>Nov</c:v>
                </c:pt>
                <c:pt idx="2">
                  <c:v>Dec</c:v>
                </c:pt>
                <c:pt idx="3">
                  <c:v>Jan</c:v>
                </c:pt>
                <c:pt idx="4">
                  <c:v>Feb</c:v>
                </c:pt>
                <c:pt idx="5">
                  <c:v>Mar</c:v>
                </c:pt>
                <c:pt idx="6">
                  <c:v>Apr</c:v>
                </c:pt>
                <c:pt idx="7">
                  <c:v>May</c:v>
                </c:pt>
                <c:pt idx="8">
                  <c:v>Jun</c:v>
                </c:pt>
                <c:pt idx="9">
                  <c:v>Jul</c:v>
                </c:pt>
                <c:pt idx="10">
                  <c:v>Aug</c:v>
                </c:pt>
                <c:pt idx="11">
                  <c:v>Sep</c:v>
                </c:pt>
                <c:pt idx="12">
                  <c:v>Oct</c:v>
                </c:pt>
              </c:strCache>
            </c:strRef>
          </c:cat>
          <c:val>
            <c:numRef>
              <c:f>PS!$CA$83:$CA$95</c:f>
              <c:numCache>
                <c:formatCode>0.0%</c:formatCode>
                <c:ptCount val="13"/>
                <c:pt idx="0">
                  <c:v>0.99965612104539203</c:v>
                </c:pt>
                <c:pt idx="1">
                  <c:v>1</c:v>
                </c:pt>
                <c:pt idx="2">
                  <c:v>0.99914261217490707</c:v>
                </c:pt>
                <c:pt idx="3">
                  <c:v>1</c:v>
                </c:pt>
                <c:pt idx="4">
                  <c:v>0.99970648664514239</c:v>
                </c:pt>
                <c:pt idx="5">
                  <c:v>0.9995158557250059</c:v>
                </c:pt>
                <c:pt idx="6">
                  <c:v>1</c:v>
                </c:pt>
                <c:pt idx="7">
                  <c:v>1</c:v>
                </c:pt>
                <c:pt idx="8">
                  <c:v>1</c:v>
                </c:pt>
                <c:pt idx="9">
                  <c:v>0.9993405868776789</c:v>
                </c:pt>
                <c:pt idx="10">
                  <c:v>1</c:v>
                </c:pt>
                <c:pt idx="11">
                  <c:v>0.99977406235878885</c:v>
                </c:pt>
                <c:pt idx="12">
                  <c:v>0.99973856209150314</c:v>
                </c:pt>
              </c:numCache>
            </c:numRef>
          </c:val>
          <c:smooth val="0"/>
          <c:extLst>
            <c:ext xmlns:c16="http://schemas.microsoft.com/office/drawing/2014/chart" uri="{C3380CC4-5D6E-409C-BE32-E72D297353CC}">
              <c16:uniqueId val="{00000002-3D65-48E2-B483-C6EECCE1525D}"/>
            </c:ext>
          </c:extLst>
        </c:ser>
        <c:dLbls>
          <c:showLegendKey val="0"/>
          <c:showVal val="0"/>
          <c:showCatName val="0"/>
          <c:showSerName val="0"/>
          <c:showPercent val="0"/>
          <c:showBubbleSize val="0"/>
        </c:dLbls>
        <c:marker val="1"/>
        <c:smooth val="0"/>
        <c:axId val="744984240"/>
        <c:axId val="744985416"/>
      </c:lineChart>
      <c:valAx>
        <c:axId val="74498463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Emails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85024"/>
        <c:crosses val="max"/>
        <c:crossBetween val="between"/>
      </c:valAx>
      <c:catAx>
        <c:axId val="744985024"/>
        <c:scaling>
          <c:orientation val="minMax"/>
        </c:scaling>
        <c:delete val="1"/>
        <c:axPos val="b"/>
        <c:numFmt formatCode="General" sourceLinked="1"/>
        <c:majorTickMark val="out"/>
        <c:minorTickMark val="none"/>
        <c:tickLblPos val="nextTo"/>
        <c:crossAx val="744984632"/>
        <c:crosses val="autoZero"/>
        <c:auto val="1"/>
        <c:lblAlgn val="ctr"/>
        <c:lblOffset val="100"/>
        <c:noMultiLvlLbl val="0"/>
      </c:catAx>
      <c:valAx>
        <c:axId val="74498541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in 1 Business Day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84240"/>
        <c:crosses val="autoZero"/>
        <c:crossBetween val="between"/>
      </c:valAx>
      <c:catAx>
        <c:axId val="744984240"/>
        <c:scaling>
          <c:orientation val="minMax"/>
        </c:scaling>
        <c:delete val="1"/>
        <c:axPos val="b"/>
        <c:numFmt formatCode="General" sourceLinked="1"/>
        <c:majorTickMark val="out"/>
        <c:minorTickMark val="none"/>
        <c:tickLblPos val="nextTo"/>
        <c:crossAx val="74498541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Title</a:t>
            </a:r>
            <a:endParaRPr lang="en-US"/>
          </a:p>
        </c:rich>
      </c:tx>
      <c:layout>
        <c:manualLayout>
          <c:xMode val="edge"/>
          <c:yMode val="edge"/>
          <c:x val="0.39237292405358254"/>
          <c:y val="3.19887101938143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HRT!$BY$25</c:f>
              <c:strCache>
                <c:ptCount val="1"/>
                <c:pt idx="0">
                  <c:v>Quantity</c:v>
                </c:pt>
              </c:strCache>
            </c:strRef>
          </c:tx>
          <c:spPr>
            <a:solidFill>
              <a:schemeClr val="bg1">
                <a:lumMod val="65000"/>
              </a:schemeClr>
            </a:solidFill>
            <a:ln>
              <a:noFill/>
            </a:ln>
            <a:effectLst/>
          </c:spPr>
          <c:invertIfNegative val="0"/>
          <c:cat>
            <c:strRef>
              <c:f>HRT!$BX$26:$BX$38</c:f>
              <c:strCache>
                <c:ptCount val="7"/>
                <c:pt idx="0">
                  <c:v>Oct</c:v>
                </c:pt>
                <c:pt idx="1">
                  <c:v>Nov</c:v>
                </c:pt>
                <c:pt idx="2">
                  <c:v>Dec</c:v>
                </c:pt>
                <c:pt idx="3">
                  <c:v>Jan</c:v>
                </c:pt>
                <c:pt idx="4">
                  <c:v>Feb</c:v>
                </c:pt>
                <c:pt idx="5">
                  <c:v>Mar</c:v>
                </c:pt>
                <c:pt idx="6">
                  <c:v>Apr</c:v>
                </c:pt>
              </c:strCache>
            </c:strRef>
          </c:cat>
          <c:val>
            <c:numRef>
              <c:f>HRT!$BY$26:$BY$38</c:f>
              <c:numCache>
                <c:formatCode>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74C9-48CD-A536-DCD80B047B8A}"/>
            </c:ext>
          </c:extLst>
        </c:ser>
        <c:dLbls>
          <c:showLegendKey val="0"/>
          <c:showVal val="0"/>
          <c:showCatName val="0"/>
          <c:showSerName val="0"/>
          <c:showPercent val="0"/>
          <c:showBubbleSize val="0"/>
        </c:dLbls>
        <c:gapWidth val="75"/>
        <c:overlap val="100"/>
        <c:axId val="812765560"/>
        <c:axId val="812763992"/>
      </c:barChart>
      <c:lineChart>
        <c:grouping val="standard"/>
        <c:varyColors val="0"/>
        <c:ser>
          <c:idx val="2"/>
          <c:order val="1"/>
          <c:tx>
            <c:strRef>
              <c:f>HRT!$BZ$25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HRT!$BX$26:$BX$38</c:f>
              <c:strCache>
                <c:ptCount val="7"/>
                <c:pt idx="0">
                  <c:v>Oct</c:v>
                </c:pt>
                <c:pt idx="1">
                  <c:v>Nov</c:v>
                </c:pt>
                <c:pt idx="2">
                  <c:v>Dec</c:v>
                </c:pt>
                <c:pt idx="3">
                  <c:v>Jan</c:v>
                </c:pt>
                <c:pt idx="4">
                  <c:v>Feb</c:v>
                </c:pt>
                <c:pt idx="5">
                  <c:v>Mar</c:v>
                </c:pt>
                <c:pt idx="6">
                  <c:v>Apr</c:v>
                </c:pt>
              </c:strCache>
            </c:strRef>
          </c:cat>
          <c:val>
            <c:numRef>
              <c:f>HRT!$BZ$26:$BZ$38</c:f>
              <c:numCache>
                <c:formatCode>0.0%</c:formatCode>
                <c:ptCount val="7"/>
                <c:pt idx="0">
                  <c:v>#N/A</c:v>
                </c:pt>
                <c:pt idx="1">
                  <c:v>#N/A</c:v>
                </c:pt>
                <c:pt idx="2">
                  <c:v>#N/A</c:v>
                </c:pt>
                <c:pt idx="3">
                  <c:v>#N/A</c:v>
                </c:pt>
                <c:pt idx="4">
                  <c:v>#N/A</c:v>
                </c:pt>
                <c:pt idx="5">
                  <c:v>#N/A</c:v>
                </c:pt>
                <c:pt idx="6">
                  <c:v>#N/A</c:v>
                </c:pt>
              </c:numCache>
            </c:numRef>
          </c:val>
          <c:smooth val="0"/>
          <c:extLst>
            <c:ext xmlns:c16="http://schemas.microsoft.com/office/drawing/2014/chart" uri="{C3380CC4-5D6E-409C-BE32-E72D297353CC}">
              <c16:uniqueId val="{00000001-74C9-48CD-A536-DCD80B047B8A}"/>
            </c:ext>
          </c:extLst>
        </c:ser>
        <c:ser>
          <c:idx val="1"/>
          <c:order val="2"/>
          <c:tx>
            <c:strRef>
              <c:f>HRT!$CA$25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HRT!$BX$26:$BX$38</c:f>
              <c:strCache>
                <c:ptCount val="7"/>
                <c:pt idx="0">
                  <c:v>Oct</c:v>
                </c:pt>
                <c:pt idx="1">
                  <c:v>Nov</c:v>
                </c:pt>
                <c:pt idx="2">
                  <c:v>Dec</c:v>
                </c:pt>
                <c:pt idx="3">
                  <c:v>Jan</c:v>
                </c:pt>
                <c:pt idx="4">
                  <c:v>Feb</c:v>
                </c:pt>
                <c:pt idx="5">
                  <c:v>Mar</c:v>
                </c:pt>
                <c:pt idx="6">
                  <c:v>Apr</c:v>
                </c:pt>
              </c:strCache>
            </c:strRef>
          </c:cat>
          <c:val>
            <c:numRef>
              <c:f>HRT!$CA$26:$CA$38</c:f>
              <c:numCache>
                <c:formatCode>0.0%</c:formatCode>
                <c:ptCount val="7"/>
                <c:pt idx="0">
                  <c:v>#N/A</c:v>
                </c:pt>
                <c:pt idx="1">
                  <c:v>#N/A</c:v>
                </c:pt>
                <c:pt idx="2">
                  <c:v>#N/A</c:v>
                </c:pt>
                <c:pt idx="3">
                  <c:v>#N/A</c:v>
                </c:pt>
                <c:pt idx="4">
                  <c:v>#N/A</c:v>
                </c:pt>
                <c:pt idx="5">
                  <c:v>#N/A</c:v>
                </c:pt>
                <c:pt idx="6">
                  <c:v>#N/A</c:v>
                </c:pt>
              </c:numCache>
            </c:numRef>
          </c:val>
          <c:smooth val="0"/>
          <c:extLst>
            <c:ext xmlns:c16="http://schemas.microsoft.com/office/drawing/2014/chart" uri="{C3380CC4-5D6E-409C-BE32-E72D297353CC}">
              <c16:uniqueId val="{00000002-74C9-48CD-A536-DCD80B047B8A}"/>
            </c:ext>
          </c:extLst>
        </c:ser>
        <c:dLbls>
          <c:showLegendKey val="0"/>
          <c:showVal val="0"/>
          <c:showCatName val="0"/>
          <c:showSerName val="0"/>
          <c:showPercent val="0"/>
          <c:showBubbleSize val="0"/>
        </c:dLbls>
        <c:marker val="1"/>
        <c:smooth val="0"/>
        <c:axId val="812767912"/>
        <c:axId val="812765952"/>
      </c:lineChart>
      <c:valAx>
        <c:axId val="81276399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65560"/>
        <c:crosses val="max"/>
        <c:crossBetween val="between"/>
      </c:valAx>
      <c:catAx>
        <c:axId val="812765560"/>
        <c:scaling>
          <c:orientation val="minMax"/>
        </c:scaling>
        <c:delete val="1"/>
        <c:axPos val="b"/>
        <c:numFmt formatCode="General" sourceLinked="1"/>
        <c:majorTickMark val="out"/>
        <c:minorTickMark val="none"/>
        <c:tickLblPos val="nextTo"/>
        <c:crossAx val="812763992"/>
        <c:crosses val="autoZero"/>
        <c:auto val="1"/>
        <c:lblAlgn val="ctr"/>
        <c:lblOffset val="100"/>
        <c:noMultiLvlLbl val="0"/>
      </c:catAx>
      <c:valAx>
        <c:axId val="812765952"/>
        <c:scaling>
          <c:orientation val="minMax"/>
          <c:max val="1"/>
          <c:min val="0.84000000000000008"/>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67912"/>
        <c:crosses val="autoZero"/>
        <c:crossBetween val="between"/>
      </c:valAx>
      <c:catAx>
        <c:axId val="812767912"/>
        <c:scaling>
          <c:orientation val="minMax"/>
        </c:scaling>
        <c:delete val="1"/>
        <c:axPos val="b"/>
        <c:numFmt formatCode="General" sourceLinked="1"/>
        <c:majorTickMark val="out"/>
        <c:minorTickMark val="none"/>
        <c:tickLblPos val="nextTo"/>
        <c:crossAx val="81276595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Title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HRT!$BY$44</c:f>
              <c:strCache>
                <c:ptCount val="1"/>
                <c:pt idx="0">
                  <c:v>Quantity</c:v>
                </c:pt>
              </c:strCache>
            </c:strRef>
          </c:tx>
          <c:spPr>
            <a:solidFill>
              <a:schemeClr val="accent1"/>
            </a:solidFill>
            <a:ln>
              <a:noFill/>
            </a:ln>
            <a:effectLst/>
          </c:spPr>
          <c:invertIfNegative val="0"/>
          <c:cat>
            <c:multiLvlStrRef>
              <c:f>HRT!$BX$45:$BX$57</c:f>
            </c:multiLvlStrRef>
          </c:cat>
          <c:val>
            <c:numRef>
              <c:f>HRT!$BY$45:$BY$57</c:f>
            </c:numRef>
          </c:val>
          <c:extLst>
            <c:ext xmlns:c16="http://schemas.microsoft.com/office/drawing/2014/chart" uri="{C3380CC4-5D6E-409C-BE32-E72D297353CC}">
              <c16:uniqueId val="{00000000-9DF3-4A94-A13B-E0E2AE9A5BC6}"/>
            </c:ext>
          </c:extLst>
        </c:ser>
        <c:dLbls>
          <c:showLegendKey val="0"/>
          <c:showVal val="0"/>
          <c:showCatName val="0"/>
          <c:showSerName val="0"/>
          <c:showPercent val="0"/>
          <c:showBubbleSize val="0"/>
        </c:dLbls>
        <c:gapWidth val="75"/>
        <c:overlap val="100"/>
        <c:axId val="812763208"/>
        <c:axId val="812769480"/>
      </c:barChart>
      <c:lineChart>
        <c:grouping val="standard"/>
        <c:varyColors val="0"/>
        <c:ser>
          <c:idx val="2"/>
          <c:order val="1"/>
          <c:tx>
            <c:strRef>
              <c:f>HRT!$BZ$44</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cat>
            <c:multiLvlStrRef>
              <c:f>HRT!$BX$45:$BX$57</c:f>
            </c:multiLvlStrRef>
          </c:cat>
          <c:val>
            <c:numRef>
              <c:f>HRT!$BZ$45:$BZ$57</c:f>
            </c:numRef>
          </c:val>
          <c:smooth val="0"/>
          <c:extLst>
            <c:ext xmlns:c16="http://schemas.microsoft.com/office/drawing/2014/chart" uri="{C3380CC4-5D6E-409C-BE32-E72D297353CC}">
              <c16:uniqueId val="{00000001-9DF3-4A94-A13B-E0E2AE9A5BC6}"/>
            </c:ext>
          </c:extLst>
        </c:ser>
        <c:ser>
          <c:idx val="1"/>
          <c:order val="2"/>
          <c:tx>
            <c:strRef>
              <c:f>HRT!$CA$44</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cat>
            <c:multiLvlStrRef>
              <c:f>HRT!$BX$45:$BX$57</c:f>
            </c:multiLvlStrRef>
          </c:cat>
          <c:val>
            <c:numRef>
              <c:f>HRT!$CA$45:$CA$57</c:f>
            </c:numRef>
          </c:val>
          <c:smooth val="0"/>
          <c:extLst>
            <c:ext xmlns:c16="http://schemas.microsoft.com/office/drawing/2014/chart" uri="{C3380CC4-5D6E-409C-BE32-E72D297353CC}">
              <c16:uniqueId val="{00000002-9DF3-4A94-A13B-E0E2AE9A5BC6}"/>
            </c:ext>
          </c:extLst>
        </c:ser>
        <c:dLbls>
          <c:showLegendKey val="0"/>
          <c:showVal val="0"/>
          <c:showCatName val="0"/>
          <c:showSerName val="0"/>
          <c:showPercent val="0"/>
          <c:showBubbleSize val="0"/>
        </c:dLbls>
        <c:marker val="1"/>
        <c:smooth val="0"/>
        <c:axId val="812764384"/>
        <c:axId val="812758112"/>
      </c:lineChart>
      <c:valAx>
        <c:axId val="81276948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63208"/>
        <c:crosses val="max"/>
        <c:crossBetween val="between"/>
      </c:valAx>
      <c:catAx>
        <c:axId val="812763208"/>
        <c:scaling>
          <c:orientation val="minMax"/>
        </c:scaling>
        <c:delete val="1"/>
        <c:axPos val="b"/>
        <c:numFmt formatCode="General" sourceLinked="1"/>
        <c:majorTickMark val="out"/>
        <c:minorTickMark val="none"/>
        <c:tickLblPos val="nextTo"/>
        <c:crossAx val="812769480"/>
        <c:crosses val="autoZero"/>
        <c:auto val="1"/>
        <c:lblAlgn val="ctr"/>
        <c:lblOffset val="100"/>
        <c:noMultiLvlLbl val="0"/>
      </c:catAx>
      <c:valAx>
        <c:axId val="812758112"/>
        <c:scaling>
          <c:orientation val="minMax"/>
          <c:max val="3.5000000000000003E-2"/>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64384"/>
        <c:crosses val="autoZero"/>
        <c:crossBetween val="between"/>
      </c:valAx>
      <c:catAx>
        <c:axId val="812764384"/>
        <c:scaling>
          <c:orientation val="minMax"/>
        </c:scaling>
        <c:delete val="1"/>
        <c:axPos val="b"/>
        <c:numFmt formatCode="General" sourceLinked="1"/>
        <c:majorTickMark val="out"/>
        <c:minorTickMark val="none"/>
        <c:tickLblPos val="nextTo"/>
        <c:crossAx val="81275811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Title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HRT!$BY$63</c:f>
              <c:strCache>
                <c:ptCount val="1"/>
                <c:pt idx="0">
                  <c:v>Quantity</c:v>
                </c:pt>
              </c:strCache>
            </c:strRef>
          </c:tx>
          <c:spPr>
            <a:solidFill>
              <a:schemeClr val="accent1"/>
            </a:solidFill>
            <a:ln>
              <a:noFill/>
            </a:ln>
            <a:effectLst/>
          </c:spPr>
          <c:invertIfNegative val="0"/>
          <c:cat>
            <c:multiLvlStrRef>
              <c:f>HRT!$BX$64:$BX$76</c:f>
            </c:multiLvlStrRef>
          </c:cat>
          <c:val>
            <c:numRef>
              <c:f>HRT!$BY$64:$BY$76</c:f>
            </c:numRef>
          </c:val>
          <c:extLst>
            <c:ext xmlns:c16="http://schemas.microsoft.com/office/drawing/2014/chart" uri="{C3380CC4-5D6E-409C-BE32-E72D297353CC}">
              <c16:uniqueId val="{00000000-5D27-4600-9499-B33E05149369}"/>
            </c:ext>
          </c:extLst>
        </c:ser>
        <c:dLbls>
          <c:showLegendKey val="0"/>
          <c:showVal val="0"/>
          <c:showCatName val="0"/>
          <c:showSerName val="0"/>
          <c:showPercent val="0"/>
          <c:showBubbleSize val="0"/>
        </c:dLbls>
        <c:gapWidth val="75"/>
        <c:overlap val="100"/>
        <c:axId val="812768696"/>
        <c:axId val="812765168"/>
      </c:barChart>
      <c:lineChart>
        <c:grouping val="standard"/>
        <c:varyColors val="0"/>
        <c:ser>
          <c:idx val="2"/>
          <c:order val="1"/>
          <c:tx>
            <c:strRef>
              <c:f>HRT!$BZ$63</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cat>
            <c:multiLvlStrRef>
              <c:f>HRT!$BX$64:$BX$76</c:f>
            </c:multiLvlStrRef>
          </c:cat>
          <c:val>
            <c:numRef>
              <c:f>HRT!$BZ$64:$BZ$76</c:f>
            </c:numRef>
          </c:val>
          <c:smooth val="0"/>
          <c:extLst>
            <c:ext xmlns:c16="http://schemas.microsoft.com/office/drawing/2014/chart" uri="{C3380CC4-5D6E-409C-BE32-E72D297353CC}">
              <c16:uniqueId val="{00000001-5D27-4600-9499-B33E05149369}"/>
            </c:ext>
          </c:extLst>
        </c:ser>
        <c:ser>
          <c:idx val="1"/>
          <c:order val="2"/>
          <c:tx>
            <c:strRef>
              <c:f>HRT!$CA$63</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cat>
            <c:multiLvlStrRef>
              <c:f>HRT!$BX$64:$BX$76</c:f>
            </c:multiLvlStrRef>
          </c:cat>
          <c:val>
            <c:numRef>
              <c:f>HRT!$CA$64:$CA$76</c:f>
            </c:numRef>
          </c:val>
          <c:smooth val="0"/>
          <c:extLst>
            <c:ext xmlns:c16="http://schemas.microsoft.com/office/drawing/2014/chart" uri="{C3380CC4-5D6E-409C-BE32-E72D297353CC}">
              <c16:uniqueId val="{00000002-5D27-4600-9499-B33E05149369}"/>
            </c:ext>
          </c:extLst>
        </c:ser>
        <c:dLbls>
          <c:showLegendKey val="0"/>
          <c:showVal val="0"/>
          <c:showCatName val="0"/>
          <c:showSerName val="0"/>
          <c:showPercent val="0"/>
          <c:showBubbleSize val="0"/>
        </c:dLbls>
        <c:marker val="1"/>
        <c:smooth val="0"/>
        <c:axId val="812758504"/>
        <c:axId val="812757328"/>
      </c:lineChart>
      <c:valAx>
        <c:axId val="812765168"/>
        <c:scaling>
          <c:orientation val="minMax"/>
          <c:max val="500"/>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68696"/>
        <c:crosses val="max"/>
        <c:crossBetween val="between"/>
      </c:valAx>
      <c:catAx>
        <c:axId val="812768696"/>
        <c:scaling>
          <c:orientation val="minMax"/>
        </c:scaling>
        <c:delete val="1"/>
        <c:axPos val="b"/>
        <c:numFmt formatCode="General" sourceLinked="1"/>
        <c:majorTickMark val="out"/>
        <c:minorTickMark val="none"/>
        <c:tickLblPos val="nextTo"/>
        <c:crossAx val="812765168"/>
        <c:crosses val="autoZero"/>
        <c:auto val="1"/>
        <c:lblAlgn val="ctr"/>
        <c:lblOffset val="100"/>
        <c:noMultiLvlLbl val="0"/>
      </c:catAx>
      <c:valAx>
        <c:axId val="812757328"/>
        <c:scaling>
          <c:orientation val="minMax"/>
          <c:max val="1"/>
          <c:min val="0.9"/>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58504"/>
        <c:crosses val="autoZero"/>
        <c:crossBetween val="between"/>
      </c:valAx>
      <c:catAx>
        <c:axId val="812758504"/>
        <c:scaling>
          <c:orientation val="minMax"/>
        </c:scaling>
        <c:delete val="1"/>
        <c:axPos val="b"/>
        <c:numFmt formatCode="General" sourceLinked="1"/>
        <c:majorTickMark val="out"/>
        <c:minorTickMark val="none"/>
        <c:tickLblPos val="nextTo"/>
        <c:crossAx val="81275732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Title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HRT!$BY$82</c:f>
              <c:strCache>
                <c:ptCount val="1"/>
                <c:pt idx="0">
                  <c:v>Quantity</c:v>
                </c:pt>
              </c:strCache>
            </c:strRef>
          </c:tx>
          <c:spPr>
            <a:solidFill>
              <a:schemeClr val="accent1"/>
            </a:solidFill>
            <a:ln>
              <a:noFill/>
            </a:ln>
            <a:effectLst/>
          </c:spPr>
          <c:invertIfNegative val="0"/>
          <c:cat>
            <c:multiLvlStrRef>
              <c:f>HRT!$BX$83:$BX$95</c:f>
            </c:multiLvlStrRef>
          </c:cat>
          <c:val>
            <c:numRef>
              <c:f>HRT!$BY$83:$BY$95</c:f>
            </c:numRef>
          </c:val>
          <c:extLst>
            <c:ext xmlns:c16="http://schemas.microsoft.com/office/drawing/2014/chart" uri="{C3380CC4-5D6E-409C-BE32-E72D297353CC}">
              <c16:uniqueId val="{00000000-5210-4E39-A7F6-50C119EF586A}"/>
            </c:ext>
          </c:extLst>
        </c:ser>
        <c:dLbls>
          <c:showLegendKey val="0"/>
          <c:showVal val="0"/>
          <c:showCatName val="0"/>
          <c:showSerName val="0"/>
          <c:showPercent val="0"/>
          <c:showBubbleSize val="0"/>
        </c:dLbls>
        <c:gapWidth val="75"/>
        <c:overlap val="100"/>
        <c:axId val="812776144"/>
        <c:axId val="812778496"/>
      </c:barChart>
      <c:lineChart>
        <c:grouping val="standard"/>
        <c:varyColors val="0"/>
        <c:ser>
          <c:idx val="2"/>
          <c:order val="1"/>
          <c:tx>
            <c:strRef>
              <c:f>HRT!$BZ$82</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cat>
            <c:multiLvlStrRef>
              <c:f>HRT!$BX$83:$BX$95</c:f>
            </c:multiLvlStrRef>
          </c:cat>
          <c:val>
            <c:numRef>
              <c:f>HRT!$BZ$83:$BZ$95</c:f>
            </c:numRef>
          </c:val>
          <c:smooth val="0"/>
          <c:extLst>
            <c:ext xmlns:c16="http://schemas.microsoft.com/office/drawing/2014/chart" uri="{C3380CC4-5D6E-409C-BE32-E72D297353CC}">
              <c16:uniqueId val="{00000001-5210-4E39-A7F6-50C119EF586A}"/>
            </c:ext>
          </c:extLst>
        </c:ser>
        <c:ser>
          <c:idx val="1"/>
          <c:order val="2"/>
          <c:tx>
            <c:strRef>
              <c:f>HRT!$CA$82</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cat>
            <c:multiLvlStrRef>
              <c:f>HRT!$BX$83:$BX$95</c:f>
            </c:multiLvlStrRef>
          </c:cat>
          <c:val>
            <c:numRef>
              <c:f>HRT!$CA$83:$CA$95</c:f>
            </c:numRef>
          </c:val>
          <c:smooth val="0"/>
          <c:extLst>
            <c:ext xmlns:c16="http://schemas.microsoft.com/office/drawing/2014/chart" uri="{C3380CC4-5D6E-409C-BE32-E72D297353CC}">
              <c16:uniqueId val="{00000002-5210-4E39-A7F6-50C119EF586A}"/>
            </c:ext>
          </c:extLst>
        </c:ser>
        <c:dLbls>
          <c:showLegendKey val="0"/>
          <c:showVal val="0"/>
          <c:showCatName val="0"/>
          <c:showSerName val="0"/>
          <c:showPercent val="0"/>
          <c:showBubbleSize val="0"/>
        </c:dLbls>
        <c:marker val="1"/>
        <c:smooth val="0"/>
        <c:axId val="812774968"/>
        <c:axId val="812769872"/>
      </c:lineChart>
      <c:valAx>
        <c:axId val="812778496"/>
        <c:scaling>
          <c:orientation val="minMax"/>
          <c:max val="500"/>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76144"/>
        <c:crosses val="max"/>
        <c:crossBetween val="between"/>
        <c:majorUnit val="50"/>
      </c:valAx>
      <c:catAx>
        <c:axId val="812776144"/>
        <c:scaling>
          <c:orientation val="minMax"/>
        </c:scaling>
        <c:delete val="1"/>
        <c:axPos val="b"/>
        <c:numFmt formatCode="General" sourceLinked="1"/>
        <c:majorTickMark val="out"/>
        <c:minorTickMark val="none"/>
        <c:tickLblPos val="nextTo"/>
        <c:crossAx val="812778496"/>
        <c:crosses val="autoZero"/>
        <c:auto val="1"/>
        <c:lblAlgn val="ctr"/>
        <c:lblOffset val="100"/>
        <c:noMultiLvlLbl val="0"/>
      </c:catAx>
      <c:valAx>
        <c:axId val="812769872"/>
        <c:scaling>
          <c:orientation val="minMax"/>
          <c:max val="1"/>
          <c:min val="0.30000000000000004"/>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74968"/>
        <c:crosses val="autoZero"/>
        <c:crossBetween val="between"/>
      </c:valAx>
      <c:catAx>
        <c:axId val="812774968"/>
        <c:scaling>
          <c:orientation val="minMax"/>
        </c:scaling>
        <c:delete val="1"/>
        <c:axPos val="b"/>
        <c:numFmt formatCode="General" sourceLinked="1"/>
        <c:majorTickMark val="out"/>
        <c:minorTickMark val="none"/>
        <c:tickLblPos val="nextTo"/>
        <c:crossAx val="81276987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Title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HRT!$BY$120</c:f>
              <c:strCache>
                <c:ptCount val="1"/>
                <c:pt idx="0">
                  <c:v>Quantity</c:v>
                </c:pt>
              </c:strCache>
            </c:strRef>
          </c:tx>
          <c:spPr>
            <a:solidFill>
              <a:schemeClr val="accent1"/>
            </a:solidFill>
            <a:ln>
              <a:noFill/>
            </a:ln>
            <a:effectLst/>
          </c:spPr>
          <c:invertIfNegative val="0"/>
          <c:cat>
            <c:multiLvlStrRef>
              <c:f>HRT!$BX$121:$BX$133</c:f>
            </c:multiLvlStrRef>
          </c:cat>
          <c:val>
            <c:numRef>
              <c:f>HRT!$BY$121:$BY$133</c:f>
            </c:numRef>
          </c:val>
          <c:extLst>
            <c:ext xmlns:c16="http://schemas.microsoft.com/office/drawing/2014/chart" uri="{C3380CC4-5D6E-409C-BE32-E72D297353CC}">
              <c16:uniqueId val="{00000000-20EF-4D38-AE3C-2A1A0A061A73}"/>
            </c:ext>
          </c:extLst>
        </c:ser>
        <c:dLbls>
          <c:showLegendKey val="0"/>
          <c:showVal val="0"/>
          <c:showCatName val="0"/>
          <c:showSerName val="0"/>
          <c:showPercent val="0"/>
          <c:showBubbleSize val="0"/>
        </c:dLbls>
        <c:gapWidth val="75"/>
        <c:overlap val="100"/>
        <c:axId val="812779280"/>
        <c:axId val="812771440"/>
      </c:barChart>
      <c:lineChart>
        <c:grouping val="standard"/>
        <c:varyColors val="0"/>
        <c:ser>
          <c:idx val="2"/>
          <c:order val="1"/>
          <c:tx>
            <c:strRef>
              <c:f>HRT!$BZ$120</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cat>
            <c:multiLvlStrRef>
              <c:f>HRT!$BX$121:$BX$133</c:f>
            </c:multiLvlStrRef>
          </c:cat>
          <c:val>
            <c:numRef>
              <c:f>HRT!$BZ$121:$BZ$133</c:f>
            </c:numRef>
          </c:val>
          <c:smooth val="0"/>
          <c:extLst>
            <c:ext xmlns:c16="http://schemas.microsoft.com/office/drawing/2014/chart" uri="{C3380CC4-5D6E-409C-BE32-E72D297353CC}">
              <c16:uniqueId val="{00000001-20EF-4D38-AE3C-2A1A0A061A73}"/>
            </c:ext>
          </c:extLst>
        </c:ser>
        <c:ser>
          <c:idx val="1"/>
          <c:order val="2"/>
          <c:tx>
            <c:strRef>
              <c:f>HRT!$CA$120</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cat>
            <c:multiLvlStrRef>
              <c:f>HRT!$BX$121:$BX$133</c:f>
            </c:multiLvlStrRef>
          </c:cat>
          <c:val>
            <c:numRef>
              <c:f>HRT!$CA$121:$CA$133</c:f>
            </c:numRef>
          </c:val>
          <c:smooth val="0"/>
          <c:extLst>
            <c:ext xmlns:c16="http://schemas.microsoft.com/office/drawing/2014/chart" uri="{C3380CC4-5D6E-409C-BE32-E72D297353CC}">
              <c16:uniqueId val="{00000002-20EF-4D38-AE3C-2A1A0A061A73}"/>
            </c:ext>
          </c:extLst>
        </c:ser>
        <c:dLbls>
          <c:showLegendKey val="0"/>
          <c:showVal val="0"/>
          <c:showCatName val="0"/>
          <c:showSerName val="0"/>
          <c:showPercent val="0"/>
          <c:showBubbleSize val="0"/>
        </c:dLbls>
        <c:marker val="1"/>
        <c:smooth val="0"/>
        <c:axId val="812774184"/>
        <c:axId val="812772224"/>
      </c:lineChart>
      <c:valAx>
        <c:axId val="812771440"/>
        <c:scaling>
          <c:orientation val="minMax"/>
          <c:max val="8"/>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79280"/>
        <c:crosses val="max"/>
        <c:crossBetween val="between"/>
      </c:valAx>
      <c:catAx>
        <c:axId val="812779280"/>
        <c:scaling>
          <c:orientation val="minMax"/>
        </c:scaling>
        <c:delete val="1"/>
        <c:axPos val="b"/>
        <c:numFmt formatCode="General" sourceLinked="1"/>
        <c:majorTickMark val="out"/>
        <c:minorTickMark val="none"/>
        <c:tickLblPos val="nextTo"/>
        <c:crossAx val="812771440"/>
        <c:crosses val="autoZero"/>
        <c:auto val="1"/>
        <c:lblAlgn val="ctr"/>
        <c:lblOffset val="100"/>
        <c:noMultiLvlLbl val="0"/>
      </c:catAx>
      <c:valAx>
        <c:axId val="812772224"/>
        <c:scaling>
          <c:orientation val="minMax"/>
          <c:max val="2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74184"/>
        <c:crosses val="autoZero"/>
        <c:crossBetween val="between"/>
      </c:valAx>
      <c:catAx>
        <c:axId val="812774184"/>
        <c:scaling>
          <c:orientation val="minMax"/>
        </c:scaling>
        <c:delete val="1"/>
        <c:axPos val="b"/>
        <c:numFmt formatCode="General" sourceLinked="1"/>
        <c:majorTickMark val="out"/>
        <c:minorTickMark val="none"/>
        <c:tickLblPos val="nextTo"/>
        <c:crossAx val="812772224"/>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HRT!$BY$101</c:f>
              <c:strCache>
                <c:ptCount val="1"/>
                <c:pt idx="0">
                  <c:v>Quantity</c:v>
                </c:pt>
              </c:strCache>
            </c:strRef>
          </c:tx>
          <c:spPr>
            <a:solidFill>
              <a:schemeClr val="accent1"/>
            </a:solidFill>
            <a:ln>
              <a:noFill/>
            </a:ln>
            <a:effectLst/>
          </c:spPr>
          <c:invertIfNegative val="0"/>
          <c:cat>
            <c:multiLvlStrRef>
              <c:f>HRT!$BX$102:$BX$114</c:f>
            </c:multiLvlStrRef>
          </c:cat>
          <c:val>
            <c:numRef>
              <c:f>HRT!$BY$102:$BY$114</c:f>
            </c:numRef>
          </c:val>
          <c:extLst>
            <c:ext xmlns:c16="http://schemas.microsoft.com/office/drawing/2014/chart" uri="{C3380CC4-5D6E-409C-BE32-E72D297353CC}">
              <c16:uniqueId val="{00000000-2EE1-4156-BD5E-649689F635BA}"/>
            </c:ext>
          </c:extLst>
        </c:ser>
        <c:dLbls>
          <c:showLegendKey val="0"/>
          <c:showVal val="0"/>
          <c:showCatName val="0"/>
          <c:showSerName val="0"/>
          <c:showPercent val="0"/>
          <c:showBubbleSize val="0"/>
        </c:dLbls>
        <c:gapWidth val="75"/>
        <c:overlap val="100"/>
        <c:axId val="812780848"/>
        <c:axId val="812771832"/>
      </c:barChart>
      <c:lineChart>
        <c:grouping val="standard"/>
        <c:varyColors val="0"/>
        <c:ser>
          <c:idx val="2"/>
          <c:order val="1"/>
          <c:tx>
            <c:strRef>
              <c:f>HRT!$BZ$101</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cat>
            <c:multiLvlStrRef>
              <c:f>HRT!$BX$102:$BX$114</c:f>
            </c:multiLvlStrRef>
          </c:cat>
          <c:val>
            <c:numRef>
              <c:f>HRT!$BZ$102:$BZ$114</c:f>
            </c:numRef>
          </c:val>
          <c:smooth val="0"/>
          <c:extLst>
            <c:ext xmlns:c16="http://schemas.microsoft.com/office/drawing/2014/chart" uri="{C3380CC4-5D6E-409C-BE32-E72D297353CC}">
              <c16:uniqueId val="{00000001-2EE1-4156-BD5E-649689F635BA}"/>
            </c:ext>
          </c:extLst>
        </c:ser>
        <c:ser>
          <c:idx val="1"/>
          <c:order val="2"/>
          <c:tx>
            <c:strRef>
              <c:f>HRT!$CA$101</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cat>
            <c:multiLvlStrRef>
              <c:f>HRT!$BX$102:$BX$114</c:f>
            </c:multiLvlStrRef>
          </c:cat>
          <c:val>
            <c:numRef>
              <c:f>HRT!$CA$102:$CA$114</c:f>
            </c:numRef>
          </c:val>
          <c:smooth val="0"/>
          <c:extLst>
            <c:ext xmlns:c16="http://schemas.microsoft.com/office/drawing/2014/chart" uri="{C3380CC4-5D6E-409C-BE32-E72D297353CC}">
              <c16:uniqueId val="{00000002-2EE1-4156-BD5E-649689F635BA}"/>
            </c:ext>
          </c:extLst>
        </c:ser>
        <c:dLbls>
          <c:showLegendKey val="0"/>
          <c:showVal val="0"/>
          <c:showCatName val="0"/>
          <c:showSerName val="0"/>
          <c:showPercent val="0"/>
          <c:showBubbleSize val="0"/>
        </c:dLbls>
        <c:marker val="1"/>
        <c:smooth val="0"/>
        <c:axId val="812773792"/>
        <c:axId val="812774576"/>
      </c:lineChart>
      <c:valAx>
        <c:axId val="81277183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Title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80848"/>
        <c:crosses val="max"/>
        <c:crossBetween val="between"/>
      </c:valAx>
      <c:catAx>
        <c:axId val="812780848"/>
        <c:scaling>
          <c:orientation val="minMax"/>
        </c:scaling>
        <c:delete val="1"/>
        <c:axPos val="b"/>
        <c:numFmt formatCode="General" sourceLinked="1"/>
        <c:majorTickMark val="out"/>
        <c:minorTickMark val="none"/>
        <c:tickLblPos val="nextTo"/>
        <c:crossAx val="812771832"/>
        <c:crosses val="autoZero"/>
        <c:auto val="1"/>
        <c:lblAlgn val="ctr"/>
        <c:lblOffset val="100"/>
        <c:noMultiLvlLbl val="0"/>
      </c:catAx>
      <c:valAx>
        <c:axId val="812774576"/>
        <c:scaling>
          <c:orientation val="minMax"/>
          <c:max val="2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73792"/>
        <c:crosses val="autoZero"/>
        <c:crossBetween val="between"/>
      </c:valAx>
      <c:catAx>
        <c:axId val="812773792"/>
        <c:scaling>
          <c:orientation val="minMax"/>
        </c:scaling>
        <c:delete val="1"/>
        <c:axPos val="b"/>
        <c:numFmt formatCode="General" sourceLinked="1"/>
        <c:majorTickMark val="out"/>
        <c:minorTickMark val="none"/>
        <c:tickLblPos val="nextTo"/>
        <c:crossAx val="81277457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Incident Resolution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MyTC!$BY$25</c:f>
              <c:strCache>
                <c:ptCount val="1"/>
                <c:pt idx="0">
                  <c:v>Quantity</c:v>
                </c:pt>
              </c:strCache>
            </c:strRef>
          </c:tx>
          <c:spPr>
            <a:solidFill>
              <a:schemeClr val="accent1"/>
            </a:solidFill>
            <a:ln>
              <a:noFill/>
            </a:ln>
            <a:effectLst/>
          </c:spPr>
          <c:invertIfNegative val="0"/>
          <c:val>
            <c:numRef>
              <c:f>MyTC!$BY$26:$BY$38</c:f>
              <c:numCache>
                <c:formatCode>0.0</c:formatCode>
                <c:ptCount val="8"/>
                <c:pt idx="0">
                  <c:v>0</c:v>
                </c:pt>
                <c:pt idx="1">
                  <c:v>0</c:v>
                </c:pt>
                <c:pt idx="2">
                  <c:v>0</c:v>
                </c:pt>
                <c:pt idx="3">
                  <c:v>0</c:v>
                </c:pt>
                <c:pt idx="4">
                  <c:v>0</c:v>
                </c:pt>
                <c:pt idx="5">
                  <c:v>0</c:v>
                </c:pt>
                <c:pt idx="6">
                  <c:v>0</c:v>
                </c:pt>
                <c:pt idx="7">
                  <c:v>0</c:v>
                </c:pt>
              </c:numCache>
            </c:numRef>
          </c:val>
          <c:extLst>
            <c:ext xmlns:c15="http://schemas.microsoft.com/office/drawing/2012/chart" uri="{02D57815-91ED-43cb-92C2-25804820EDAC}">
              <c15:filteredCategoryTitle>
                <c15:cat>
                  <c:strRef>
                    <c:extLst>
                      <c:ext uri="{02D57815-91ED-43cb-92C2-25804820EDAC}">
                        <c15:formulaRef>
                          <c15:sqref>MyTC!$BX$26:$BX$38</c15:sqref>
                        </c15:formulaRef>
                      </c:ext>
                    </c:extLst>
                    <c:strCache>
                      <c:ptCount val="8"/>
                      <c:pt idx="0">
                        <c:v>Oct</c:v>
                      </c:pt>
                      <c:pt idx="1">
                        <c:v>Nov</c:v>
                      </c:pt>
                      <c:pt idx="2">
                        <c:v>Dec</c:v>
                      </c:pt>
                      <c:pt idx="3">
                        <c:v>Jan</c:v>
                      </c:pt>
                      <c:pt idx="4">
                        <c:v>Feb</c:v>
                      </c:pt>
                      <c:pt idx="5">
                        <c:v>Mar</c:v>
                      </c:pt>
                      <c:pt idx="6">
                        <c:v>Apr</c:v>
                      </c:pt>
                      <c:pt idx="7">
                        <c:v>May</c:v>
                      </c:pt>
                    </c:strCache>
                  </c:strRef>
                </c15:cat>
              </c15:filteredCategoryTitle>
            </c:ext>
            <c:ext xmlns:c16="http://schemas.microsoft.com/office/drawing/2014/chart" uri="{C3380CC4-5D6E-409C-BE32-E72D297353CC}">
              <c16:uniqueId val="{00000000-8519-4CD9-8CE9-CBE2BA26807F}"/>
            </c:ext>
          </c:extLst>
        </c:ser>
        <c:dLbls>
          <c:showLegendKey val="0"/>
          <c:showVal val="0"/>
          <c:showCatName val="0"/>
          <c:showSerName val="0"/>
          <c:showPercent val="0"/>
          <c:showBubbleSize val="0"/>
        </c:dLbls>
        <c:gapWidth val="75"/>
        <c:overlap val="100"/>
        <c:axId val="812782416"/>
        <c:axId val="812783592"/>
      </c:barChart>
      <c:lineChart>
        <c:grouping val="standard"/>
        <c:varyColors val="0"/>
        <c:ser>
          <c:idx val="2"/>
          <c:order val="1"/>
          <c:tx>
            <c:strRef>
              <c:f>MyTC!$BZ$25</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val>
            <c:numRef>
              <c:f>MyTC!$BZ$26:$BZ$38</c:f>
              <c:numCache>
                <c:formatCode>0.0%</c:formatCode>
                <c:ptCount val="8"/>
                <c:pt idx="0">
                  <c:v>#N/A</c:v>
                </c:pt>
                <c:pt idx="1">
                  <c:v>#N/A</c:v>
                </c:pt>
                <c:pt idx="2">
                  <c:v>#N/A</c:v>
                </c:pt>
                <c:pt idx="3">
                  <c:v>#N/A</c:v>
                </c:pt>
                <c:pt idx="4">
                  <c:v>#N/A</c:v>
                </c:pt>
                <c:pt idx="5">
                  <c:v>#N/A</c:v>
                </c:pt>
                <c:pt idx="6">
                  <c:v>#N/A</c:v>
                </c:pt>
                <c:pt idx="7">
                  <c:v>#N/A</c:v>
                </c:pt>
              </c:numCache>
            </c:numRef>
          </c:val>
          <c:smooth val="0"/>
          <c:extLst>
            <c:ext xmlns:c15="http://schemas.microsoft.com/office/drawing/2012/chart" uri="{02D57815-91ED-43cb-92C2-25804820EDAC}">
              <c15:filteredCategoryTitle>
                <c15:cat>
                  <c:strRef>
                    <c:extLst>
                      <c:ext uri="{02D57815-91ED-43cb-92C2-25804820EDAC}">
                        <c15:formulaRef>
                          <c15:sqref>MyTC!$BX$26:$BX$38</c15:sqref>
                        </c15:formulaRef>
                      </c:ext>
                    </c:extLst>
                    <c:strCache>
                      <c:ptCount val="8"/>
                      <c:pt idx="0">
                        <c:v>Oct</c:v>
                      </c:pt>
                      <c:pt idx="1">
                        <c:v>Nov</c:v>
                      </c:pt>
                      <c:pt idx="2">
                        <c:v>Dec</c:v>
                      </c:pt>
                      <c:pt idx="3">
                        <c:v>Jan</c:v>
                      </c:pt>
                      <c:pt idx="4">
                        <c:v>Feb</c:v>
                      </c:pt>
                      <c:pt idx="5">
                        <c:v>Mar</c:v>
                      </c:pt>
                      <c:pt idx="6">
                        <c:v>Apr</c:v>
                      </c:pt>
                      <c:pt idx="7">
                        <c:v>May</c:v>
                      </c:pt>
                    </c:strCache>
                  </c:strRef>
                </c15:cat>
              </c15:filteredCategoryTitle>
            </c:ext>
            <c:ext xmlns:c16="http://schemas.microsoft.com/office/drawing/2014/chart" uri="{C3380CC4-5D6E-409C-BE32-E72D297353CC}">
              <c16:uniqueId val="{00000001-8519-4CD9-8CE9-CBE2BA26807F}"/>
            </c:ext>
          </c:extLst>
        </c:ser>
        <c:ser>
          <c:idx val="1"/>
          <c:order val="2"/>
          <c:tx>
            <c:strRef>
              <c:f>MyTC!$CA$25</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val>
            <c:numRef>
              <c:f>MyTC!$CA$26:$CA$38</c:f>
              <c:numCache>
                <c:formatCode>0.0%</c:formatCode>
                <c:ptCount val="8"/>
                <c:pt idx="0">
                  <c:v>#N/A</c:v>
                </c:pt>
                <c:pt idx="1">
                  <c:v>#N/A</c:v>
                </c:pt>
                <c:pt idx="2">
                  <c:v>#N/A</c:v>
                </c:pt>
                <c:pt idx="3">
                  <c:v>#N/A</c:v>
                </c:pt>
                <c:pt idx="4">
                  <c:v>#N/A</c:v>
                </c:pt>
                <c:pt idx="5">
                  <c:v>#N/A</c:v>
                </c:pt>
                <c:pt idx="6">
                  <c:v>#N/A</c:v>
                </c:pt>
                <c:pt idx="7">
                  <c:v>#N/A</c:v>
                </c:pt>
              </c:numCache>
            </c:numRef>
          </c:val>
          <c:smooth val="0"/>
          <c:extLst>
            <c:ext xmlns:c15="http://schemas.microsoft.com/office/drawing/2012/chart" uri="{02D57815-91ED-43cb-92C2-25804820EDAC}">
              <c15:filteredCategoryTitle>
                <c15:cat>
                  <c:strRef>
                    <c:extLst>
                      <c:ext uri="{02D57815-91ED-43cb-92C2-25804820EDAC}">
                        <c15:formulaRef>
                          <c15:sqref>MyTC!$BX$26:$BX$38</c15:sqref>
                        </c15:formulaRef>
                      </c:ext>
                    </c:extLst>
                    <c:strCache>
                      <c:ptCount val="8"/>
                      <c:pt idx="0">
                        <c:v>Oct</c:v>
                      </c:pt>
                      <c:pt idx="1">
                        <c:v>Nov</c:v>
                      </c:pt>
                      <c:pt idx="2">
                        <c:v>Dec</c:v>
                      </c:pt>
                      <c:pt idx="3">
                        <c:v>Jan</c:v>
                      </c:pt>
                      <c:pt idx="4">
                        <c:v>Feb</c:v>
                      </c:pt>
                      <c:pt idx="5">
                        <c:v>Mar</c:v>
                      </c:pt>
                      <c:pt idx="6">
                        <c:v>Apr</c:v>
                      </c:pt>
                      <c:pt idx="7">
                        <c:v>May</c:v>
                      </c:pt>
                    </c:strCache>
                  </c:strRef>
                </c15:cat>
              </c15:filteredCategoryTitle>
            </c:ext>
            <c:ext xmlns:c16="http://schemas.microsoft.com/office/drawing/2014/chart" uri="{C3380CC4-5D6E-409C-BE32-E72D297353CC}">
              <c16:uniqueId val="{00000002-8519-4CD9-8CE9-CBE2BA26807F}"/>
            </c:ext>
          </c:extLst>
        </c:ser>
        <c:dLbls>
          <c:showLegendKey val="0"/>
          <c:showVal val="0"/>
          <c:showCatName val="0"/>
          <c:showSerName val="0"/>
          <c:showPercent val="0"/>
          <c:showBubbleSize val="0"/>
        </c:dLbls>
        <c:marker val="1"/>
        <c:smooth val="0"/>
        <c:axId val="812793784"/>
        <c:axId val="812791040"/>
      </c:lineChart>
      <c:valAx>
        <c:axId val="81278359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Tickets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82416"/>
        <c:crosses val="max"/>
        <c:crossBetween val="between"/>
      </c:valAx>
      <c:catAx>
        <c:axId val="812782416"/>
        <c:scaling>
          <c:orientation val="minMax"/>
        </c:scaling>
        <c:delete val="1"/>
        <c:axPos val="b"/>
        <c:numFmt formatCode="General" sourceLinked="1"/>
        <c:majorTickMark val="out"/>
        <c:minorTickMark val="none"/>
        <c:tickLblPos val="nextTo"/>
        <c:crossAx val="812783592"/>
        <c:crosses val="autoZero"/>
        <c:auto val="1"/>
        <c:lblAlgn val="ctr"/>
        <c:lblOffset val="100"/>
        <c:noMultiLvlLbl val="0"/>
      </c:catAx>
      <c:valAx>
        <c:axId val="812791040"/>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93784"/>
        <c:crosses val="autoZero"/>
        <c:crossBetween val="between"/>
      </c:valAx>
      <c:catAx>
        <c:axId val="812793784"/>
        <c:scaling>
          <c:orientation val="minMax"/>
        </c:scaling>
        <c:delete val="1"/>
        <c:axPos val="b"/>
        <c:numFmt formatCode="General" sourceLinked="1"/>
        <c:majorTickMark val="out"/>
        <c:minorTickMark val="none"/>
        <c:tickLblPos val="nextTo"/>
        <c:crossAx val="81279104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Same Day Initial Review of Background Checks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MyTC!$BY$44</c:f>
              <c:strCache>
                <c:ptCount val="1"/>
                <c:pt idx="0">
                  <c:v>Quantity</c:v>
                </c:pt>
              </c:strCache>
            </c:strRef>
          </c:tx>
          <c:spPr>
            <a:solidFill>
              <a:schemeClr val="accent1"/>
            </a:solidFill>
            <a:ln>
              <a:noFill/>
            </a:ln>
            <a:effectLst/>
          </c:spPr>
          <c:invertIfNegative val="0"/>
          <c:val>
            <c:numRef>
              <c:f>MyTC!$BY$45:$BY$57</c:f>
            </c:numRef>
          </c:val>
          <c:extLst>
            <c:ext xmlns:c15="http://schemas.microsoft.com/office/drawing/2012/chart" uri="{02D57815-91ED-43cb-92C2-25804820EDAC}">
              <c15:filteredCategoryTitle>
                <c15:cat>
                  <c:multiLvlStrRef>
                    <c:extLst>
                      <c:ext uri="{02D57815-91ED-43cb-92C2-25804820EDAC}">
                        <c15:formulaRef>
                          <c15:sqref>MyTC!$BX$45:$BX$57</c15:sqref>
                        </c15:formulaRef>
                      </c:ext>
                    </c:extLst>
                  </c:multiLvlStrRef>
                </c15:cat>
              </c15:filteredCategoryTitle>
            </c:ext>
            <c:ext xmlns:c16="http://schemas.microsoft.com/office/drawing/2014/chart" uri="{C3380CC4-5D6E-409C-BE32-E72D297353CC}">
              <c16:uniqueId val="{00000000-20E3-4178-8906-292D9DBA49C9}"/>
            </c:ext>
          </c:extLst>
        </c:ser>
        <c:dLbls>
          <c:showLegendKey val="0"/>
          <c:showVal val="0"/>
          <c:showCatName val="0"/>
          <c:showSerName val="0"/>
          <c:showPercent val="0"/>
          <c:showBubbleSize val="0"/>
        </c:dLbls>
        <c:gapWidth val="75"/>
        <c:overlap val="100"/>
        <c:axId val="812782808"/>
        <c:axId val="812788688"/>
      </c:barChart>
      <c:lineChart>
        <c:grouping val="standard"/>
        <c:varyColors val="0"/>
        <c:ser>
          <c:idx val="2"/>
          <c:order val="1"/>
          <c:tx>
            <c:strRef>
              <c:f>MyTC!$BZ$44</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val>
            <c:numRef>
              <c:f>MyTC!$BZ$45:$BZ$57</c:f>
            </c:numRef>
          </c:val>
          <c:smooth val="0"/>
          <c:extLst>
            <c:ext xmlns:c15="http://schemas.microsoft.com/office/drawing/2012/chart" uri="{02D57815-91ED-43cb-92C2-25804820EDAC}">
              <c15:filteredCategoryTitle>
                <c15:cat>
                  <c:multiLvlStrRef>
                    <c:extLst>
                      <c:ext uri="{02D57815-91ED-43cb-92C2-25804820EDAC}">
                        <c15:formulaRef>
                          <c15:sqref>MyTC!$BX$45:$BX$57</c15:sqref>
                        </c15:formulaRef>
                      </c:ext>
                    </c:extLst>
                  </c:multiLvlStrRef>
                </c15:cat>
              </c15:filteredCategoryTitle>
            </c:ext>
            <c:ext xmlns:c16="http://schemas.microsoft.com/office/drawing/2014/chart" uri="{C3380CC4-5D6E-409C-BE32-E72D297353CC}">
              <c16:uniqueId val="{00000001-20E3-4178-8906-292D9DBA49C9}"/>
            </c:ext>
          </c:extLst>
        </c:ser>
        <c:ser>
          <c:idx val="1"/>
          <c:order val="2"/>
          <c:tx>
            <c:strRef>
              <c:f>MyTC!$CA$44</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val>
            <c:numRef>
              <c:f>MyTC!$CA$45:$CA$57</c:f>
            </c:numRef>
          </c:val>
          <c:smooth val="0"/>
          <c:extLst>
            <c:ext xmlns:c15="http://schemas.microsoft.com/office/drawing/2012/chart" uri="{02D57815-91ED-43cb-92C2-25804820EDAC}">
              <c15:filteredCategoryTitle>
                <c15:cat>
                  <c:multiLvlStrRef>
                    <c:extLst>
                      <c:ext uri="{02D57815-91ED-43cb-92C2-25804820EDAC}">
                        <c15:formulaRef>
                          <c15:sqref>MyTC!$BX$45:$BX$57</c15:sqref>
                        </c15:formulaRef>
                      </c:ext>
                    </c:extLst>
                  </c:multiLvlStrRef>
                </c15:cat>
              </c15:filteredCategoryTitle>
            </c:ext>
            <c:ext xmlns:c16="http://schemas.microsoft.com/office/drawing/2014/chart" uri="{C3380CC4-5D6E-409C-BE32-E72D297353CC}">
              <c16:uniqueId val="{00000002-20E3-4178-8906-292D9DBA49C9}"/>
            </c:ext>
          </c:extLst>
        </c:ser>
        <c:dLbls>
          <c:showLegendKey val="0"/>
          <c:showVal val="0"/>
          <c:showCatName val="0"/>
          <c:showSerName val="0"/>
          <c:showPercent val="0"/>
          <c:showBubbleSize val="0"/>
        </c:dLbls>
        <c:marker val="1"/>
        <c:smooth val="0"/>
        <c:axId val="812783984"/>
        <c:axId val="812787120"/>
      </c:lineChart>
      <c:valAx>
        <c:axId val="812788688"/>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Ordered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82808"/>
        <c:crosses val="max"/>
        <c:crossBetween val="between"/>
      </c:valAx>
      <c:catAx>
        <c:axId val="812782808"/>
        <c:scaling>
          <c:orientation val="minMax"/>
        </c:scaling>
        <c:delete val="1"/>
        <c:axPos val="b"/>
        <c:numFmt formatCode="General" sourceLinked="1"/>
        <c:majorTickMark val="out"/>
        <c:minorTickMark val="none"/>
        <c:tickLblPos val="nextTo"/>
        <c:crossAx val="812788688"/>
        <c:crosses val="autoZero"/>
        <c:auto val="1"/>
        <c:lblAlgn val="ctr"/>
        <c:lblOffset val="100"/>
        <c:noMultiLvlLbl val="0"/>
      </c:catAx>
      <c:valAx>
        <c:axId val="812787120"/>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Reviewed in 1 Day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83984"/>
        <c:crosses val="autoZero"/>
        <c:crossBetween val="between"/>
      </c:valAx>
      <c:catAx>
        <c:axId val="812783984"/>
        <c:scaling>
          <c:orientation val="minMax"/>
        </c:scaling>
        <c:delete val="1"/>
        <c:axPos val="b"/>
        <c:numFmt formatCode="General" sourceLinked="1"/>
        <c:majorTickMark val="out"/>
        <c:minorTickMark val="none"/>
        <c:tickLblPos val="nextTo"/>
        <c:crossAx val="81278712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Background Checks (Order to Complete)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MyTC!$BY$63</c:f>
              <c:strCache>
                <c:ptCount val="1"/>
                <c:pt idx="0">
                  <c:v>Quantity</c:v>
                </c:pt>
              </c:strCache>
            </c:strRef>
          </c:tx>
          <c:spPr>
            <a:solidFill>
              <a:schemeClr val="accent1"/>
            </a:solidFill>
            <a:ln>
              <a:noFill/>
            </a:ln>
            <a:effectLst/>
          </c:spPr>
          <c:invertIfNegative val="0"/>
          <c:val>
            <c:numRef>
              <c:f>MyTC!$BY$64:$BY$76</c:f>
            </c:numRef>
          </c:val>
          <c:extLst>
            <c:ext xmlns:c15="http://schemas.microsoft.com/office/drawing/2012/chart" uri="{02D57815-91ED-43cb-92C2-25804820EDAC}">
              <c15:filteredCategoryTitle>
                <c15:cat>
                  <c:multiLvlStrRef>
                    <c:extLst>
                      <c:ext uri="{02D57815-91ED-43cb-92C2-25804820EDAC}">
                        <c15:formulaRef>
                          <c15:sqref>MyTC!$BX$64:$BX$76</c15:sqref>
                        </c15:formulaRef>
                      </c:ext>
                    </c:extLst>
                  </c:multiLvlStrRef>
                </c15:cat>
              </c15:filteredCategoryTitle>
            </c:ext>
            <c:ext xmlns:c16="http://schemas.microsoft.com/office/drawing/2014/chart" uri="{C3380CC4-5D6E-409C-BE32-E72D297353CC}">
              <c16:uniqueId val="{00000000-46A0-43DD-80D1-5682D71435AC}"/>
            </c:ext>
          </c:extLst>
        </c:ser>
        <c:dLbls>
          <c:showLegendKey val="0"/>
          <c:showVal val="0"/>
          <c:showCatName val="0"/>
          <c:showSerName val="0"/>
          <c:showPercent val="0"/>
          <c:showBubbleSize val="0"/>
        </c:dLbls>
        <c:gapWidth val="75"/>
        <c:overlap val="100"/>
        <c:axId val="812789472"/>
        <c:axId val="812784376"/>
      </c:barChart>
      <c:lineChart>
        <c:grouping val="standard"/>
        <c:varyColors val="0"/>
        <c:ser>
          <c:idx val="2"/>
          <c:order val="1"/>
          <c:tx>
            <c:strRef>
              <c:f>MyTC!$BZ$63</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val>
            <c:numRef>
              <c:f>MyTC!$BZ$64:$BZ$76</c:f>
            </c:numRef>
          </c:val>
          <c:smooth val="0"/>
          <c:extLst>
            <c:ext xmlns:c15="http://schemas.microsoft.com/office/drawing/2012/chart" uri="{02D57815-91ED-43cb-92C2-25804820EDAC}">
              <c15:filteredCategoryTitle>
                <c15:cat>
                  <c:multiLvlStrRef>
                    <c:extLst>
                      <c:ext uri="{02D57815-91ED-43cb-92C2-25804820EDAC}">
                        <c15:formulaRef>
                          <c15:sqref>MyTC!$BX$64:$BX$76</c15:sqref>
                        </c15:formulaRef>
                      </c:ext>
                    </c:extLst>
                  </c:multiLvlStrRef>
                </c15:cat>
              </c15:filteredCategoryTitle>
            </c:ext>
            <c:ext xmlns:c16="http://schemas.microsoft.com/office/drawing/2014/chart" uri="{C3380CC4-5D6E-409C-BE32-E72D297353CC}">
              <c16:uniqueId val="{00000001-46A0-43DD-80D1-5682D71435AC}"/>
            </c:ext>
          </c:extLst>
        </c:ser>
        <c:ser>
          <c:idx val="1"/>
          <c:order val="2"/>
          <c:tx>
            <c:strRef>
              <c:f>MyTC!$CA$63</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val>
            <c:numRef>
              <c:f>MyTC!$CA$64:$CA$76</c:f>
            </c:numRef>
          </c:val>
          <c:smooth val="0"/>
          <c:extLst>
            <c:ext xmlns:c15="http://schemas.microsoft.com/office/drawing/2012/chart" uri="{02D57815-91ED-43cb-92C2-25804820EDAC}">
              <c15:filteredCategoryTitle>
                <c15:cat>
                  <c:multiLvlStrRef>
                    <c:extLst>
                      <c:ext uri="{02D57815-91ED-43cb-92C2-25804820EDAC}">
                        <c15:formulaRef>
                          <c15:sqref>MyTC!$BX$64:$BX$76</c15:sqref>
                        </c15:formulaRef>
                      </c:ext>
                    </c:extLst>
                  </c:multiLvlStrRef>
                </c15:cat>
              </c15:filteredCategoryTitle>
            </c:ext>
            <c:ext xmlns:c16="http://schemas.microsoft.com/office/drawing/2014/chart" uri="{C3380CC4-5D6E-409C-BE32-E72D297353CC}">
              <c16:uniqueId val="{00000002-46A0-43DD-80D1-5682D71435AC}"/>
            </c:ext>
          </c:extLst>
        </c:ser>
        <c:dLbls>
          <c:showLegendKey val="0"/>
          <c:showVal val="0"/>
          <c:showCatName val="0"/>
          <c:showSerName val="0"/>
          <c:showPercent val="0"/>
          <c:showBubbleSize val="0"/>
        </c:dLbls>
        <c:marker val="1"/>
        <c:smooth val="0"/>
        <c:axId val="812784768"/>
        <c:axId val="812786336"/>
      </c:lineChart>
      <c:valAx>
        <c:axId val="81278437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Ordered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89472"/>
        <c:crosses val="max"/>
        <c:crossBetween val="between"/>
      </c:valAx>
      <c:catAx>
        <c:axId val="812789472"/>
        <c:scaling>
          <c:orientation val="minMax"/>
        </c:scaling>
        <c:delete val="1"/>
        <c:axPos val="b"/>
        <c:numFmt formatCode="General" sourceLinked="1"/>
        <c:majorTickMark val="out"/>
        <c:minorTickMark val="none"/>
        <c:tickLblPos val="nextTo"/>
        <c:crossAx val="812784376"/>
        <c:crosses val="autoZero"/>
        <c:auto val="1"/>
        <c:lblAlgn val="ctr"/>
        <c:lblOffset val="100"/>
        <c:noMultiLvlLbl val="0"/>
      </c:catAx>
      <c:valAx>
        <c:axId val="812786336"/>
        <c:scaling>
          <c:orientation val="minMax"/>
          <c:max val="1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_);\(#,##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84768"/>
        <c:crosses val="autoZero"/>
        <c:crossBetween val="between"/>
      </c:valAx>
      <c:catAx>
        <c:axId val="812784768"/>
        <c:scaling>
          <c:orientation val="minMax"/>
        </c:scaling>
        <c:delete val="1"/>
        <c:axPos val="b"/>
        <c:numFmt formatCode="General" sourceLinked="1"/>
        <c:majorTickMark val="out"/>
        <c:minorTickMark val="none"/>
        <c:tickLblPos val="nextTo"/>
        <c:crossAx val="81278633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Incident Resolution</a:t>
            </a:r>
          </a:p>
        </c:rich>
      </c:tx>
      <c:layout>
        <c:manualLayout>
          <c:xMode val="edge"/>
          <c:yMode val="edge"/>
          <c:x val="0.38322222892695057"/>
          <c:y val="3.40926669559174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MyCC!$BY$25</c:f>
              <c:strCache>
                <c:ptCount val="1"/>
                <c:pt idx="0">
                  <c:v>Quantity</c:v>
                </c:pt>
              </c:strCache>
            </c:strRef>
          </c:tx>
          <c:spPr>
            <a:solidFill>
              <a:schemeClr val="accent1"/>
            </a:solidFill>
            <a:ln>
              <a:noFill/>
            </a:ln>
            <a:effectLst/>
          </c:spPr>
          <c:invertIfNegative val="0"/>
          <c:val>
            <c:numRef>
              <c:f>MyCC!$BY$26:$BY$38</c:f>
              <c:numCache>
                <c:formatCode>0.0</c:formatCode>
                <c:ptCount val="8"/>
                <c:pt idx="0">
                  <c:v>1.2070000000000001</c:v>
                </c:pt>
                <c:pt idx="1">
                  <c:v>0</c:v>
                </c:pt>
                <c:pt idx="2">
                  <c:v>0</c:v>
                </c:pt>
                <c:pt idx="3">
                  <c:v>0</c:v>
                </c:pt>
                <c:pt idx="4">
                  <c:v>0</c:v>
                </c:pt>
                <c:pt idx="5">
                  <c:v>0</c:v>
                </c:pt>
                <c:pt idx="6">
                  <c:v>0</c:v>
                </c:pt>
                <c:pt idx="7">
                  <c:v>0</c:v>
                </c:pt>
              </c:numCache>
            </c:numRef>
          </c:val>
          <c:extLst>
            <c:ext xmlns:c15="http://schemas.microsoft.com/office/drawing/2012/chart" uri="{02D57815-91ED-43cb-92C2-25804820EDAC}">
              <c15:filteredCategoryTitle>
                <c15:cat>
                  <c:strRef>
                    <c:extLst>
                      <c:ext uri="{02D57815-91ED-43cb-92C2-25804820EDAC}">
                        <c15:formulaRef>
                          <c15:sqref>MyCC!$BX$26:$BX$38</c15:sqref>
                        </c15:formulaRef>
                      </c:ext>
                    </c:extLst>
                    <c:strCache>
                      <c:ptCount val="8"/>
                      <c:pt idx="0">
                        <c:v>May</c:v>
                      </c:pt>
                      <c:pt idx="1">
                        <c:v>Jun</c:v>
                      </c:pt>
                      <c:pt idx="2">
                        <c:v>Jul</c:v>
                      </c:pt>
                      <c:pt idx="3">
                        <c:v>Aug</c:v>
                      </c:pt>
                      <c:pt idx="4">
                        <c:v>Sep</c:v>
                      </c:pt>
                      <c:pt idx="5">
                        <c:v>Oct</c:v>
                      </c:pt>
                      <c:pt idx="6">
                        <c:v>Nov</c:v>
                      </c:pt>
                      <c:pt idx="7">
                        <c:v>Dec</c:v>
                      </c:pt>
                    </c:strCache>
                  </c:strRef>
                </c15:cat>
              </c15:filteredCategoryTitle>
            </c:ext>
            <c:ext xmlns:c16="http://schemas.microsoft.com/office/drawing/2014/chart" uri="{C3380CC4-5D6E-409C-BE32-E72D297353CC}">
              <c16:uniqueId val="{00000000-28E6-4DA2-8AAA-9F5957C96380}"/>
            </c:ext>
          </c:extLst>
        </c:ser>
        <c:dLbls>
          <c:showLegendKey val="0"/>
          <c:showVal val="0"/>
          <c:showCatName val="0"/>
          <c:showSerName val="0"/>
          <c:showPercent val="0"/>
          <c:showBubbleSize val="0"/>
        </c:dLbls>
        <c:gapWidth val="75"/>
        <c:overlap val="100"/>
        <c:axId val="812786728"/>
        <c:axId val="812793392"/>
      </c:barChart>
      <c:lineChart>
        <c:grouping val="standard"/>
        <c:varyColors val="0"/>
        <c:ser>
          <c:idx val="2"/>
          <c:order val="1"/>
          <c:tx>
            <c:strRef>
              <c:f>MyCC!$BZ$25</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val>
            <c:numRef>
              <c:f>MyCC!$BZ$26:$BZ$38</c:f>
              <c:numCache>
                <c:formatCode>0.0%</c:formatCode>
                <c:ptCount val="8"/>
                <c:pt idx="0">
                  <c:v>#N/A</c:v>
                </c:pt>
                <c:pt idx="1">
                  <c:v>#N/A</c:v>
                </c:pt>
                <c:pt idx="2">
                  <c:v>#N/A</c:v>
                </c:pt>
                <c:pt idx="3">
                  <c:v>#N/A</c:v>
                </c:pt>
                <c:pt idx="4">
                  <c:v>#N/A</c:v>
                </c:pt>
                <c:pt idx="5">
                  <c:v>#N/A</c:v>
                </c:pt>
                <c:pt idx="6">
                  <c:v>#N/A</c:v>
                </c:pt>
                <c:pt idx="7">
                  <c:v>#N/A</c:v>
                </c:pt>
              </c:numCache>
            </c:numRef>
          </c:val>
          <c:smooth val="0"/>
          <c:extLst>
            <c:ext xmlns:c15="http://schemas.microsoft.com/office/drawing/2012/chart" uri="{02D57815-91ED-43cb-92C2-25804820EDAC}">
              <c15:filteredCategoryTitle>
                <c15:cat>
                  <c:strRef>
                    <c:extLst>
                      <c:ext uri="{02D57815-91ED-43cb-92C2-25804820EDAC}">
                        <c15:formulaRef>
                          <c15:sqref>MyCC!$BX$26:$BX$38</c15:sqref>
                        </c15:formulaRef>
                      </c:ext>
                    </c:extLst>
                    <c:strCache>
                      <c:ptCount val="8"/>
                      <c:pt idx="0">
                        <c:v>May</c:v>
                      </c:pt>
                      <c:pt idx="1">
                        <c:v>Jun</c:v>
                      </c:pt>
                      <c:pt idx="2">
                        <c:v>Jul</c:v>
                      </c:pt>
                      <c:pt idx="3">
                        <c:v>Aug</c:v>
                      </c:pt>
                      <c:pt idx="4">
                        <c:v>Sep</c:v>
                      </c:pt>
                      <c:pt idx="5">
                        <c:v>Oct</c:v>
                      </c:pt>
                      <c:pt idx="6">
                        <c:v>Nov</c:v>
                      </c:pt>
                      <c:pt idx="7">
                        <c:v>Dec</c:v>
                      </c:pt>
                    </c:strCache>
                  </c:strRef>
                </c15:cat>
              </c15:filteredCategoryTitle>
            </c:ext>
            <c:ext xmlns:c16="http://schemas.microsoft.com/office/drawing/2014/chart" uri="{C3380CC4-5D6E-409C-BE32-E72D297353CC}">
              <c16:uniqueId val="{00000001-28E6-4DA2-8AAA-9F5957C96380}"/>
            </c:ext>
          </c:extLst>
        </c:ser>
        <c:ser>
          <c:idx val="1"/>
          <c:order val="2"/>
          <c:tx>
            <c:strRef>
              <c:f>MyCC!$CA$25</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val>
            <c:numRef>
              <c:f>MyCC!$CA$26:$CA$38</c:f>
              <c:numCache>
                <c:formatCode>0.0%</c:formatCode>
                <c:ptCount val="8"/>
                <c:pt idx="0">
                  <c:v>2.5462962962962961E-4</c:v>
                </c:pt>
                <c:pt idx="1">
                  <c:v>#N/A</c:v>
                </c:pt>
                <c:pt idx="2">
                  <c:v>#N/A</c:v>
                </c:pt>
                <c:pt idx="3">
                  <c:v>#N/A</c:v>
                </c:pt>
                <c:pt idx="4">
                  <c:v>#N/A</c:v>
                </c:pt>
                <c:pt idx="5">
                  <c:v>#N/A</c:v>
                </c:pt>
                <c:pt idx="6">
                  <c:v>#N/A</c:v>
                </c:pt>
                <c:pt idx="7">
                  <c:v>#N/A</c:v>
                </c:pt>
              </c:numCache>
            </c:numRef>
          </c:val>
          <c:smooth val="0"/>
          <c:extLst>
            <c:ext xmlns:c15="http://schemas.microsoft.com/office/drawing/2012/chart" uri="{02D57815-91ED-43cb-92C2-25804820EDAC}">
              <c15:filteredCategoryTitle>
                <c15:cat>
                  <c:strRef>
                    <c:extLst>
                      <c:ext uri="{02D57815-91ED-43cb-92C2-25804820EDAC}">
                        <c15:formulaRef>
                          <c15:sqref>MyCC!$BX$26:$BX$38</c15:sqref>
                        </c15:formulaRef>
                      </c:ext>
                    </c:extLst>
                    <c:strCache>
                      <c:ptCount val="8"/>
                      <c:pt idx="0">
                        <c:v>May</c:v>
                      </c:pt>
                      <c:pt idx="1">
                        <c:v>Jun</c:v>
                      </c:pt>
                      <c:pt idx="2">
                        <c:v>Jul</c:v>
                      </c:pt>
                      <c:pt idx="3">
                        <c:v>Aug</c:v>
                      </c:pt>
                      <c:pt idx="4">
                        <c:v>Sep</c:v>
                      </c:pt>
                      <c:pt idx="5">
                        <c:v>Oct</c:v>
                      </c:pt>
                      <c:pt idx="6">
                        <c:v>Nov</c:v>
                      </c:pt>
                      <c:pt idx="7">
                        <c:v>Dec</c:v>
                      </c:pt>
                    </c:strCache>
                  </c:strRef>
                </c15:cat>
              </c15:filteredCategoryTitle>
            </c:ext>
            <c:ext xmlns:c16="http://schemas.microsoft.com/office/drawing/2014/chart" uri="{C3380CC4-5D6E-409C-BE32-E72D297353CC}">
              <c16:uniqueId val="{00000002-28E6-4DA2-8AAA-9F5957C96380}"/>
            </c:ext>
          </c:extLst>
        </c:ser>
        <c:dLbls>
          <c:showLegendKey val="0"/>
          <c:showVal val="0"/>
          <c:showCatName val="0"/>
          <c:showSerName val="0"/>
          <c:showPercent val="0"/>
          <c:showBubbleSize val="0"/>
        </c:dLbls>
        <c:marker val="1"/>
        <c:smooth val="0"/>
        <c:axId val="812787904"/>
        <c:axId val="812787512"/>
      </c:lineChart>
      <c:valAx>
        <c:axId val="81279339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Tickets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86728"/>
        <c:crosses val="max"/>
        <c:crossBetween val="between"/>
      </c:valAx>
      <c:catAx>
        <c:axId val="812786728"/>
        <c:scaling>
          <c:orientation val="minMax"/>
        </c:scaling>
        <c:delete val="1"/>
        <c:axPos val="b"/>
        <c:numFmt formatCode="General" sourceLinked="1"/>
        <c:majorTickMark val="out"/>
        <c:minorTickMark val="none"/>
        <c:tickLblPos val="nextTo"/>
        <c:crossAx val="812793392"/>
        <c:crosses val="autoZero"/>
        <c:auto val="1"/>
        <c:lblAlgn val="ctr"/>
        <c:lblOffset val="100"/>
        <c:noMultiLvlLbl val="0"/>
      </c:catAx>
      <c:valAx>
        <c:axId val="812787512"/>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87904"/>
        <c:crosses val="autoZero"/>
        <c:crossBetween val="between"/>
      </c:valAx>
      <c:catAx>
        <c:axId val="812787904"/>
        <c:scaling>
          <c:orientation val="minMax"/>
        </c:scaling>
        <c:delete val="1"/>
        <c:axPos val="b"/>
        <c:numFmt formatCode="General" sourceLinked="1"/>
        <c:majorTickMark val="out"/>
        <c:minorTickMark val="none"/>
        <c:tickLblPos val="nextTo"/>
        <c:crossAx val="81278751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Same Day Initial Review of Background Checks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MyCC!$BY$44</c:f>
              <c:strCache>
                <c:ptCount val="1"/>
                <c:pt idx="0">
                  <c:v>Quantity</c:v>
                </c:pt>
              </c:strCache>
            </c:strRef>
          </c:tx>
          <c:spPr>
            <a:solidFill>
              <a:schemeClr val="accent1"/>
            </a:solidFill>
            <a:ln>
              <a:noFill/>
            </a:ln>
            <a:effectLst/>
          </c:spPr>
          <c:invertIfNegative val="0"/>
          <c:val>
            <c:numRef>
              <c:f>MyCC!$BY$45:$BY$57</c:f>
            </c:numRef>
          </c:val>
          <c:extLst>
            <c:ext xmlns:c15="http://schemas.microsoft.com/office/drawing/2012/chart" uri="{02D57815-91ED-43cb-92C2-25804820EDAC}">
              <c15:filteredCategoryTitle>
                <c15:cat>
                  <c:multiLvlStrRef>
                    <c:extLst>
                      <c:ext uri="{02D57815-91ED-43cb-92C2-25804820EDAC}">
                        <c15:formulaRef>
                          <c15:sqref>MyCC!$BX$45:$BX$57</c15:sqref>
                        </c15:formulaRef>
                      </c:ext>
                    </c:extLst>
                  </c:multiLvlStrRef>
                </c15:cat>
              </c15:filteredCategoryTitle>
            </c:ext>
            <c:ext xmlns:c16="http://schemas.microsoft.com/office/drawing/2014/chart" uri="{C3380CC4-5D6E-409C-BE32-E72D297353CC}">
              <c16:uniqueId val="{00000000-CA22-46BD-B494-06A4099C3183}"/>
            </c:ext>
          </c:extLst>
        </c:ser>
        <c:dLbls>
          <c:showLegendKey val="0"/>
          <c:showVal val="0"/>
          <c:showCatName val="0"/>
          <c:showSerName val="0"/>
          <c:showPercent val="0"/>
          <c:showBubbleSize val="0"/>
        </c:dLbls>
        <c:gapWidth val="75"/>
        <c:overlap val="100"/>
        <c:axId val="812795744"/>
        <c:axId val="812801624"/>
      </c:barChart>
      <c:lineChart>
        <c:grouping val="standard"/>
        <c:varyColors val="0"/>
        <c:ser>
          <c:idx val="2"/>
          <c:order val="1"/>
          <c:tx>
            <c:strRef>
              <c:f>MyCC!$BZ$44</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val>
            <c:numRef>
              <c:f>MyCC!$BZ$45:$BZ$57</c:f>
            </c:numRef>
          </c:val>
          <c:smooth val="0"/>
          <c:extLst>
            <c:ext xmlns:c15="http://schemas.microsoft.com/office/drawing/2012/chart" uri="{02D57815-91ED-43cb-92C2-25804820EDAC}">
              <c15:filteredCategoryTitle>
                <c15:cat>
                  <c:multiLvlStrRef>
                    <c:extLst>
                      <c:ext uri="{02D57815-91ED-43cb-92C2-25804820EDAC}">
                        <c15:formulaRef>
                          <c15:sqref>MyCC!$BX$45:$BX$57</c15:sqref>
                        </c15:formulaRef>
                      </c:ext>
                    </c:extLst>
                  </c:multiLvlStrRef>
                </c15:cat>
              </c15:filteredCategoryTitle>
            </c:ext>
            <c:ext xmlns:c16="http://schemas.microsoft.com/office/drawing/2014/chart" uri="{C3380CC4-5D6E-409C-BE32-E72D297353CC}">
              <c16:uniqueId val="{00000001-CA22-46BD-B494-06A4099C3183}"/>
            </c:ext>
          </c:extLst>
        </c:ser>
        <c:ser>
          <c:idx val="1"/>
          <c:order val="2"/>
          <c:tx>
            <c:strRef>
              <c:f>MyCC!$CA$44</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val>
            <c:numRef>
              <c:f>MyCC!$CA$45:$CA$57</c:f>
            </c:numRef>
          </c:val>
          <c:smooth val="0"/>
          <c:extLst>
            <c:ext xmlns:c15="http://schemas.microsoft.com/office/drawing/2012/chart" uri="{02D57815-91ED-43cb-92C2-25804820EDAC}">
              <c15:filteredCategoryTitle>
                <c15:cat>
                  <c:multiLvlStrRef>
                    <c:extLst>
                      <c:ext uri="{02D57815-91ED-43cb-92C2-25804820EDAC}">
                        <c15:formulaRef>
                          <c15:sqref>MyCC!$BX$45:$BX$57</c15:sqref>
                        </c15:formulaRef>
                      </c:ext>
                    </c:extLst>
                  </c:multiLvlStrRef>
                </c15:cat>
              </c15:filteredCategoryTitle>
            </c:ext>
            <c:ext xmlns:c16="http://schemas.microsoft.com/office/drawing/2014/chart" uri="{C3380CC4-5D6E-409C-BE32-E72D297353CC}">
              <c16:uniqueId val="{00000002-CA22-46BD-B494-06A4099C3183}"/>
            </c:ext>
          </c:extLst>
        </c:ser>
        <c:dLbls>
          <c:showLegendKey val="0"/>
          <c:showVal val="0"/>
          <c:showCatName val="0"/>
          <c:showSerName val="0"/>
          <c:showPercent val="0"/>
          <c:showBubbleSize val="0"/>
        </c:dLbls>
        <c:marker val="1"/>
        <c:smooth val="0"/>
        <c:axId val="812801232"/>
        <c:axId val="812803976"/>
      </c:lineChart>
      <c:valAx>
        <c:axId val="812801624"/>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Ordered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95744"/>
        <c:crosses val="max"/>
        <c:crossBetween val="between"/>
      </c:valAx>
      <c:catAx>
        <c:axId val="812795744"/>
        <c:scaling>
          <c:orientation val="minMax"/>
        </c:scaling>
        <c:delete val="1"/>
        <c:axPos val="b"/>
        <c:numFmt formatCode="General" sourceLinked="1"/>
        <c:majorTickMark val="out"/>
        <c:minorTickMark val="none"/>
        <c:tickLblPos val="nextTo"/>
        <c:crossAx val="812801624"/>
        <c:crosses val="autoZero"/>
        <c:auto val="1"/>
        <c:lblAlgn val="ctr"/>
        <c:lblOffset val="100"/>
        <c:noMultiLvlLbl val="0"/>
      </c:catAx>
      <c:valAx>
        <c:axId val="81280397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Reviewed in 1 Day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801232"/>
        <c:crosses val="autoZero"/>
        <c:crossBetween val="between"/>
      </c:valAx>
      <c:catAx>
        <c:axId val="812801232"/>
        <c:scaling>
          <c:orientation val="minMax"/>
        </c:scaling>
        <c:delete val="1"/>
        <c:axPos val="b"/>
        <c:numFmt formatCode="General" sourceLinked="1"/>
        <c:majorTickMark val="out"/>
        <c:minorTickMark val="none"/>
        <c:tickLblPos val="nextTo"/>
        <c:crossAx val="81280397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Background Checks (Order to Complete)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MyCC!$BY$63</c:f>
              <c:strCache>
                <c:ptCount val="1"/>
                <c:pt idx="0">
                  <c:v>Quantity</c:v>
                </c:pt>
              </c:strCache>
            </c:strRef>
          </c:tx>
          <c:spPr>
            <a:solidFill>
              <a:schemeClr val="accent1"/>
            </a:solidFill>
            <a:ln>
              <a:noFill/>
            </a:ln>
            <a:effectLst/>
          </c:spPr>
          <c:invertIfNegative val="0"/>
          <c:val>
            <c:numRef>
              <c:f>MyCC!$BY$64:$BY$76</c:f>
            </c:numRef>
          </c:val>
          <c:extLst>
            <c:ext xmlns:c15="http://schemas.microsoft.com/office/drawing/2012/chart" uri="{02D57815-91ED-43cb-92C2-25804820EDAC}">
              <c15:filteredCategoryTitle>
                <c15:cat>
                  <c:multiLvlStrRef>
                    <c:extLst>
                      <c:ext uri="{02D57815-91ED-43cb-92C2-25804820EDAC}">
                        <c15:formulaRef>
                          <c15:sqref>MyCC!$BX$64:$BX$76</c15:sqref>
                        </c15:formulaRef>
                      </c:ext>
                    </c:extLst>
                  </c:multiLvlStrRef>
                </c15:cat>
              </c15:filteredCategoryTitle>
            </c:ext>
            <c:ext xmlns:c16="http://schemas.microsoft.com/office/drawing/2014/chart" uri="{C3380CC4-5D6E-409C-BE32-E72D297353CC}">
              <c16:uniqueId val="{00000000-7A17-48D0-BAED-01165D8A7559}"/>
            </c:ext>
          </c:extLst>
        </c:ser>
        <c:dLbls>
          <c:showLegendKey val="0"/>
          <c:showVal val="0"/>
          <c:showCatName val="0"/>
          <c:showSerName val="0"/>
          <c:showPercent val="0"/>
          <c:showBubbleSize val="0"/>
        </c:dLbls>
        <c:gapWidth val="75"/>
        <c:overlap val="100"/>
        <c:axId val="812796528"/>
        <c:axId val="812805936"/>
      </c:barChart>
      <c:lineChart>
        <c:grouping val="standard"/>
        <c:varyColors val="0"/>
        <c:ser>
          <c:idx val="2"/>
          <c:order val="1"/>
          <c:tx>
            <c:strRef>
              <c:f>MyCC!$BZ$63</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val>
            <c:numRef>
              <c:f>MyCC!$BZ$64:$BZ$76</c:f>
            </c:numRef>
          </c:val>
          <c:smooth val="0"/>
          <c:extLst>
            <c:ext xmlns:c15="http://schemas.microsoft.com/office/drawing/2012/chart" uri="{02D57815-91ED-43cb-92C2-25804820EDAC}">
              <c15:filteredCategoryTitle>
                <c15:cat>
                  <c:multiLvlStrRef>
                    <c:extLst>
                      <c:ext uri="{02D57815-91ED-43cb-92C2-25804820EDAC}">
                        <c15:formulaRef>
                          <c15:sqref>MyCC!$BX$64:$BX$76</c15:sqref>
                        </c15:formulaRef>
                      </c:ext>
                    </c:extLst>
                  </c:multiLvlStrRef>
                </c15:cat>
              </c15:filteredCategoryTitle>
            </c:ext>
            <c:ext xmlns:c16="http://schemas.microsoft.com/office/drawing/2014/chart" uri="{C3380CC4-5D6E-409C-BE32-E72D297353CC}">
              <c16:uniqueId val="{00000001-7A17-48D0-BAED-01165D8A7559}"/>
            </c:ext>
          </c:extLst>
        </c:ser>
        <c:ser>
          <c:idx val="1"/>
          <c:order val="2"/>
          <c:tx>
            <c:strRef>
              <c:f>MyCC!$CA$63</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val>
            <c:numRef>
              <c:f>MyCC!$CA$64:$CA$76</c:f>
            </c:numRef>
          </c:val>
          <c:smooth val="0"/>
          <c:extLst>
            <c:ext xmlns:c15="http://schemas.microsoft.com/office/drawing/2012/chart" uri="{02D57815-91ED-43cb-92C2-25804820EDAC}">
              <c15:filteredCategoryTitle>
                <c15:cat>
                  <c:multiLvlStrRef>
                    <c:extLst>
                      <c:ext uri="{02D57815-91ED-43cb-92C2-25804820EDAC}">
                        <c15:formulaRef>
                          <c15:sqref>MyCC!$BX$64:$BX$76</c15:sqref>
                        </c15:formulaRef>
                      </c:ext>
                    </c:extLst>
                  </c:multiLvlStrRef>
                </c15:cat>
              </c15:filteredCategoryTitle>
            </c:ext>
            <c:ext xmlns:c16="http://schemas.microsoft.com/office/drawing/2014/chart" uri="{C3380CC4-5D6E-409C-BE32-E72D297353CC}">
              <c16:uniqueId val="{00000002-7A17-48D0-BAED-01165D8A7559}"/>
            </c:ext>
          </c:extLst>
        </c:ser>
        <c:dLbls>
          <c:showLegendKey val="0"/>
          <c:showVal val="0"/>
          <c:showCatName val="0"/>
          <c:showSerName val="0"/>
          <c:showPercent val="0"/>
          <c:showBubbleSize val="0"/>
        </c:dLbls>
        <c:marker val="1"/>
        <c:smooth val="0"/>
        <c:axId val="812802016"/>
        <c:axId val="812806720"/>
      </c:lineChart>
      <c:valAx>
        <c:axId val="81280593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Ordered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96528"/>
        <c:crosses val="max"/>
        <c:crossBetween val="between"/>
      </c:valAx>
      <c:catAx>
        <c:axId val="812796528"/>
        <c:scaling>
          <c:orientation val="minMax"/>
        </c:scaling>
        <c:delete val="1"/>
        <c:axPos val="b"/>
        <c:numFmt formatCode="General" sourceLinked="1"/>
        <c:majorTickMark val="out"/>
        <c:minorTickMark val="none"/>
        <c:tickLblPos val="nextTo"/>
        <c:crossAx val="812805936"/>
        <c:crosses val="autoZero"/>
        <c:auto val="1"/>
        <c:lblAlgn val="ctr"/>
        <c:lblOffset val="100"/>
        <c:noMultiLvlLbl val="0"/>
      </c:catAx>
      <c:valAx>
        <c:axId val="812806720"/>
        <c:scaling>
          <c:orientation val="minMax"/>
          <c:max val="1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_);\(#,##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802016"/>
        <c:crosses val="autoZero"/>
        <c:crossBetween val="between"/>
      </c:valAx>
      <c:catAx>
        <c:axId val="812802016"/>
        <c:scaling>
          <c:orientation val="minMax"/>
        </c:scaling>
        <c:delete val="1"/>
        <c:axPos val="b"/>
        <c:numFmt formatCode="General" sourceLinked="1"/>
        <c:majorTickMark val="out"/>
        <c:minorTickMark val="none"/>
        <c:tickLblPos val="nextTo"/>
        <c:crossAx val="81280672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hyperlink" Target="https://www.aramark.net/"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4.png"/><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3.png"/><Relationship Id="rId5" Type="http://schemas.openxmlformats.org/officeDocument/2006/relationships/chart" Target="../charts/chart5.xml"/><Relationship Id="rId4"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image" Target="../media/image3.png"/><Relationship Id="rId2" Type="http://schemas.openxmlformats.org/officeDocument/2006/relationships/chart" Target="../charts/chart6.xml"/><Relationship Id="rId1" Type="http://schemas.openxmlformats.org/officeDocument/2006/relationships/image" Target="../media/image5.pn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1" Type="http://schemas.openxmlformats.org/officeDocument/2006/relationships/image" Target="../media/image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5.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chart" Target="../charts/chart15.xml"/><Relationship Id="rId2" Type="http://schemas.openxmlformats.org/officeDocument/2006/relationships/chart" Target="../charts/chart11.xml"/><Relationship Id="rId1" Type="http://schemas.openxmlformats.org/officeDocument/2006/relationships/image" Target="../media/image3.png"/><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16.xml.rels><?xml version="1.0" encoding="UTF-8" standalone="yes"?>
<Relationships xmlns="http://schemas.openxmlformats.org/package/2006/relationships"><Relationship Id="rId1" Type="http://schemas.openxmlformats.org/officeDocument/2006/relationships/image" Target="../media/image5.png"/></Relationships>
</file>

<file path=xl/drawings/_rels/drawing17.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image" Target="../media/image3.png"/><Relationship Id="rId4"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1" Type="http://schemas.openxmlformats.org/officeDocument/2006/relationships/image" Target="../media/image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png"/></Relationships>
</file>

<file path=xl/drawings/_rels/drawing20.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image" Target="../media/image5.png"/><Relationship Id="rId1" Type="http://schemas.openxmlformats.org/officeDocument/2006/relationships/image" Target="../media/image3.png"/><Relationship Id="rId6" Type="http://schemas.openxmlformats.org/officeDocument/2006/relationships/chart" Target="../charts/chart22.xml"/><Relationship Id="rId5" Type="http://schemas.openxmlformats.org/officeDocument/2006/relationships/chart" Target="../charts/chart21.xml"/><Relationship Id="rId10" Type="http://schemas.openxmlformats.org/officeDocument/2006/relationships/chart" Target="../charts/chart26.xml"/><Relationship Id="rId4" Type="http://schemas.openxmlformats.org/officeDocument/2006/relationships/chart" Target="../charts/chart20.xml"/><Relationship Id="rId9" Type="http://schemas.openxmlformats.org/officeDocument/2006/relationships/chart" Target="../charts/chart25.xml"/></Relationships>
</file>

<file path=xl/drawings/_rels/drawing21.xml.rels><?xml version="1.0" encoding="UTF-8" standalone="yes"?>
<Relationships xmlns="http://schemas.openxmlformats.org/package/2006/relationships"><Relationship Id="rId1" Type="http://schemas.openxmlformats.org/officeDocument/2006/relationships/image" Target="../media/image5.png"/></Relationships>
</file>

<file path=xl/drawings/_rels/drawing22.xml.rels><?xml version="1.0" encoding="UTF-8" standalone="yes"?>
<Relationships xmlns="http://schemas.openxmlformats.org/package/2006/relationships"><Relationship Id="rId1" Type="http://schemas.openxmlformats.org/officeDocument/2006/relationships/image" Target="../media/image5.png"/></Relationships>
</file>

<file path=xl/drawings/_rels/drawing23.xml.rels><?xml version="1.0" encoding="UTF-8" standalone="yes"?>
<Relationships xmlns="http://schemas.openxmlformats.org/package/2006/relationships"><Relationship Id="rId1" Type="http://schemas.openxmlformats.org/officeDocument/2006/relationships/image" Target="../media/image5.png"/></Relationships>
</file>

<file path=xl/drawings/_rels/drawing24.xml.rels><?xml version="1.0" encoding="UTF-8" standalone="yes"?>
<Relationships xmlns="http://schemas.openxmlformats.org/package/2006/relationships"><Relationship Id="rId1" Type="http://schemas.openxmlformats.org/officeDocument/2006/relationships/image" Target="../media/image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5.png"/></Relationships>
</file>

<file path=xl/drawings/_rels/drawing26.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image" Target="../media/image5.png"/><Relationship Id="rId1" Type="http://schemas.openxmlformats.org/officeDocument/2006/relationships/image" Target="../media/image3.png"/><Relationship Id="rId5" Type="http://schemas.openxmlformats.org/officeDocument/2006/relationships/chart" Target="../charts/chart29.xml"/><Relationship Id="rId4" Type="http://schemas.openxmlformats.org/officeDocument/2006/relationships/chart" Target="../charts/chart28.xml"/></Relationships>
</file>

<file path=xl/drawings/_rels/drawing27.xml.rels><?xml version="1.0" encoding="UTF-8" standalone="yes"?>
<Relationships xmlns="http://schemas.openxmlformats.org/package/2006/relationships"><Relationship Id="rId1" Type="http://schemas.openxmlformats.org/officeDocument/2006/relationships/image" Target="../media/image5.png"/></Relationships>
</file>

<file path=xl/drawings/_rels/drawing28.xml.rels><?xml version="1.0" encoding="UTF-8" standalone="yes"?>
<Relationships xmlns="http://schemas.openxmlformats.org/package/2006/relationships"><Relationship Id="rId1" Type="http://schemas.openxmlformats.org/officeDocument/2006/relationships/image" Target="../media/image5.png"/></Relationships>
</file>

<file path=xl/drawings/_rels/drawing29.xml.rels><?xml version="1.0" encoding="UTF-8" standalone="yes"?>
<Relationships xmlns="http://schemas.openxmlformats.org/package/2006/relationships"><Relationship Id="rId1" Type="http://schemas.openxmlformats.org/officeDocument/2006/relationships/image" Target="../media/image5.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png"/></Relationships>
</file>

<file path=xl/drawings/_rels/drawing32.xml.rels><?xml version="1.0" encoding="UTF-8" standalone="yes"?>
<Relationships xmlns="http://schemas.openxmlformats.org/package/2006/relationships"><Relationship Id="rId8" Type="http://schemas.openxmlformats.org/officeDocument/2006/relationships/chart" Target="../charts/chart36.xml"/><Relationship Id="rId3" Type="http://schemas.openxmlformats.org/officeDocument/2006/relationships/chart" Target="../charts/chart31.xml"/><Relationship Id="rId7" Type="http://schemas.openxmlformats.org/officeDocument/2006/relationships/chart" Target="../charts/chart35.xml"/><Relationship Id="rId2" Type="http://schemas.openxmlformats.org/officeDocument/2006/relationships/chart" Target="../charts/chart30.xml"/><Relationship Id="rId1" Type="http://schemas.openxmlformats.org/officeDocument/2006/relationships/image" Target="../media/image3.png"/><Relationship Id="rId6" Type="http://schemas.openxmlformats.org/officeDocument/2006/relationships/chart" Target="../charts/chart34.xml"/><Relationship Id="rId5" Type="http://schemas.openxmlformats.org/officeDocument/2006/relationships/chart" Target="../charts/chart33.xml"/><Relationship Id="rId4" Type="http://schemas.openxmlformats.org/officeDocument/2006/relationships/chart" Target="../charts/chart32.xml"/><Relationship Id="rId9" Type="http://schemas.openxmlformats.org/officeDocument/2006/relationships/image" Target="../media/image5.png"/></Relationships>
</file>

<file path=xl/drawings/_rels/drawing33.xml.rels><?xml version="1.0" encoding="UTF-8" standalone="yes"?>
<Relationships xmlns="http://schemas.openxmlformats.org/package/2006/relationships"><Relationship Id="rId1" Type="http://schemas.openxmlformats.org/officeDocument/2006/relationships/image" Target="../media/image5.png"/></Relationships>
</file>

<file path=xl/drawings/_rels/drawing34.xml.rels><?xml version="1.0" encoding="UTF-8" standalone="yes"?>
<Relationships xmlns="http://schemas.openxmlformats.org/package/2006/relationships"><Relationship Id="rId1" Type="http://schemas.openxmlformats.org/officeDocument/2006/relationships/image" Target="../media/image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5.png"/></Relationships>
</file>

<file path=xl/drawings/_rels/drawing37.xml.rels><?xml version="1.0" encoding="UTF-8" standalone="yes"?>
<Relationships xmlns="http://schemas.openxmlformats.org/package/2006/relationships"><Relationship Id="rId8" Type="http://schemas.openxmlformats.org/officeDocument/2006/relationships/chart" Target="../charts/chart43.xml"/><Relationship Id="rId3" Type="http://schemas.openxmlformats.org/officeDocument/2006/relationships/chart" Target="../charts/chart39.xml"/><Relationship Id="rId7" Type="http://schemas.openxmlformats.org/officeDocument/2006/relationships/chart" Target="../charts/chart42.xml"/><Relationship Id="rId2" Type="http://schemas.openxmlformats.org/officeDocument/2006/relationships/chart" Target="../charts/chart38.xml"/><Relationship Id="rId1" Type="http://schemas.openxmlformats.org/officeDocument/2006/relationships/chart" Target="../charts/chart37.xml"/><Relationship Id="rId6" Type="http://schemas.openxmlformats.org/officeDocument/2006/relationships/chart" Target="../charts/chart41.xml"/><Relationship Id="rId5" Type="http://schemas.openxmlformats.org/officeDocument/2006/relationships/image" Target="../media/image3.png"/><Relationship Id="rId4" Type="http://schemas.openxmlformats.org/officeDocument/2006/relationships/chart" Target="../charts/chart40.xml"/></Relationships>
</file>

<file path=xl/drawings/_rels/drawing38.xml.rels><?xml version="1.0" encoding="UTF-8" standalone="yes"?>
<Relationships xmlns="http://schemas.openxmlformats.org/package/2006/relationships"><Relationship Id="rId1" Type="http://schemas.openxmlformats.org/officeDocument/2006/relationships/image" Target="../media/image5.png"/></Relationships>
</file>

<file path=xl/drawings/_rels/drawing39.xml.rels><?xml version="1.0" encoding="UTF-8" standalone="yes"?>
<Relationships xmlns="http://schemas.openxmlformats.org/package/2006/relationships"><Relationship Id="rId1" Type="http://schemas.openxmlformats.org/officeDocument/2006/relationships/image" Target="../media/image5.png"/></Relationships>
</file>

<file path=xl/drawings/_rels/drawing40.xml.rels><?xml version="1.0" encoding="UTF-8" standalone="yes"?>
<Relationships xmlns="http://schemas.openxmlformats.org/package/2006/relationships"><Relationship Id="rId1" Type="http://schemas.openxmlformats.org/officeDocument/2006/relationships/image" Target="../media/image5.png"/></Relationships>
</file>

<file path=xl/drawings/_rels/drawing41.xml.rels><?xml version="1.0" encoding="UTF-8" standalone="yes"?>
<Relationships xmlns="http://schemas.openxmlformats.org/package/2006/relationships"><Relationship Id="rId1" Type="http://schemas.openxmlformats.org/officeDocument/2006/relationships/image" Target="../media/image5.png"/></Relationships>
</file>

<file path=xl/drawings/_rels/drawing42.xml.rels><?xml version="1.0" encoding="UTF-8" standalone="yes"?>
<Relationships xmlns="http://schemas.openxmlformats.org/package/2006/relationships"><Relationship Id="rId1" Type="http://schemas.openxmlformats.org/officeDocument/2006/relationships/image" Target="../media/image5.png"/></Relationships>
</file>

<file path=xl/drawings/_rels/drawing4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4.xml.rels><?xml version="1.0" encoding="UTF-8" standalone="yes"?>
<Relationships xmlns="http://schemas.openxmlformats.org/package/2006/relationships"><Relationship Id="rId3" Type="http://schemas.openxmlformats.org/officeDocument/2006/relationships/chart" Target="../charts/chart44.xml"/><Relationship Id="rId2" Type="http://schemas.openxmlformats.org/officeDocument/2006/relationships/image" Target="../media/image5.png"/><Relationship Id="rId1" Type="http://schemas.openxmlformats.org/officeDocument/2006/relationships/image" Target="../media/image2.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5.png"/></Relationships>
</file>

<file path=xl/drawings/_rels/drawing46.xml.rels><?xml version="1.0" encoding="UTF-8" standalone="yes"?>
<Relationships xmlns="http://schemas.openxmlformats.org/package/2006/relationships"><Relationship Id="rId3" Type="http://schemas.openxmlformats.org/officeDocument/2006/relationships/chart" Target="../charts/chart45.xml"/><Relationship Id="rId2" Type="http://schemas.openxmlformats.org/officeDocument/2006/relationships/image" Target="../media/image5.png"/><Relationship Id="rId1" Type="http://schemas.openxmlformats.org/officeDocument/2006/relationships/image" Target="../media/image2.jpeg"/><Relationship Id="rId6" Type="http://schemas.openxmlformats.org/officeDocument/2006/relationships/chart" Target="../charts/chart48.xml"/><Relationship Id="rId5" Type="http://schemas.openxmlformats.org/officeDocument/2006/relationships/chart" Target="../charts/chart47.xml"/><Relationship Id="rId4" Type="http://schemas.openxmlformats.org/officeDocument/2006/relationships/chart" Target="../charts/chart46.xml"/></Relationships>
</file>

<file path=xl/drawings/_rels/drawing47.xml.rels><?xml version="1.0" encoding="UTF-8" standalone="yes"?>
<Relationships xmlns="http://schemas.openxmlformats.org/package/2006/relationships"><Relationship Id="rId1" Type="http://schemas.openxmlformats.org/officeDocument/2006/relationships/image" Target="../media/image5.png"/></Relationships>
</file>

<file path=xl/drawings/_rels/drawing48.xml.rels><?xml version="1.0" encoding="UTF-8" standalone="yes"?>
<Relationships xmlns="http://schemas.openxmlformats.org/package/2006/relationships"><Relationship Id="rId1" Type="http://schemas.openxmlformats.org/officeDocument/2006/relationships/image" Target="../media/image5.png"/></Relationships>
</file>

<file path=xl/drawings/_rels/drawing49.xml.rels><?xml version="1.0" encoding="UTF-8" standalone="yes"?>
<Relationships xmlns="http://schemas.openxmlformats.org/package/2006/relationships"><Relationship Id="rId1" Type="http://schemas.openxmlformats.org/officeDocument/2006/relationships/image" Target="../media/image5.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png"/></Relationships>
</file>

<file path=xl/drawings/_rels/drawing51.xml.rels><?xml version="1.0" encoding="UTF-8" standalone="yes"?>
<Relationships xmlns="http://schemas.openxmlformats.org/package/2006/relationships"><Relationship Id="rId8" Type="http://schemas.openxmlformats.org/officeDocument/2006/relationships/chart" Target="../charts/chart54.xml"/><Relationship Id="rId3" Type="http://schemas.openxmlformats.org/officeDocument/2006/relationships/chart" Target="../charts/chart49.xml"/><Relationship Id="rId7" Type="http://schemas.openxmlformats.org/officeDocument/2006/relationships/chart" Target="../charts/chart53.xml"/><Relationship Id="rId2" Type="http://schemas.openxmlformats.org/officeDocument/2006/relationships/image" Target="../media/image5.png"/><Relationship Id="rId1" Type="http://schemas.openxmlformats.org/officeDocument/2006/relationships/image" Target="../media/image2.jpeg"/><Relationship Id="rId6" Type="http://schemas.openxmlformats.org/officeDocument/2006/relationships/chart" Target="../charts/chart52.xml"/><Relationship Id="rId5" Type="http://schemas.openxmlformats.org/officeDocument/2006/relationships/chart" Target="../charts/chart51.xml"/><Relationship Id="rId4" Type="http://schemas.openxmlformats.org/officeDocument/2006/relationships/chart" Target="../charts/chart50.xml"/></Relationships>
</file>

<file path=xl/drawings/_rels/drawing52.xml.rels><?xml version="1.0" encoding="UTF-8" standalone="yes"?>
<Relationships xmlns="http://schemas.openxmlformats.org/package/2006/relationships"><Relationship Id="rId1" Type="http://schemas.openxmlformats.org/officeDocument/2006/relationships/image" Target="../media/image5.png"/></Relationships>
</file>

<file path=xl/drawings/_rels/drawing53.xml.rels><?xml version="1.0" encoding="UTF-8" standalone="yes"?>
<Relationships xmlns="http://schemas.openxmlformats.org/package/2006/relationships"><Relationship Id="rId1" Type="http://schemas.openxmlformats.org/officeDocument/2006/relationships/image" Target="../media/image5.png"/></Relationships>
</file>

<file path=xl/drawings/_rels/drawing5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5.xml.rels><?xml version="1.0" encoding="UTF-8" standalone="yes"?>
<Relationships xmlns="http://schemas.openxmlformats.org/package/2006/relationships"><Relationship Id="rId1" Type="http://schemas.openxmlformats.org/officeDocument/2006/relationships/image" Target="../media/image5.png"/></Relationships>
</file>

<file path=xl/drawings/_rels/drawing56.xml.rels><?xml version="1.0" encoding="UTF-8" standalone="yes"?>
<Relationships xmlns="http://schemas.openxmlformats.org/package/2006/relationships"><Relationship Id="rId1" Type="http://schemas.openxmlformats.org/officeDocument/2006/relationships/image" Target="../media/image5.png"/></Relationships>
</file>

<file path=xl/drawings/_rels/drawing57.xml.rels><?xml version="1.0" encoding="UTF-8" standalone="yes"?>
<Relationships xmlns="http://schemas.openxmlformats.org/package/2006/relationships"><Relationship Id="rId1" Type="http://schemas.openxmlformats.org/officeDocument/2006/relationships/image" Target="../media/image5.png"/></Relationships>
</file>

<file path=xl/drawings/_rels/drawing58.xml.rels><?xml version="1.0" encoding="UTF-8" standalone="yes"?>
<Relationships xmlns="http://schemas.openxmlformats.org/package/2006/relationships"><Relationship Id="rId3" Type="http://schemas.openxmlformats.org/officeDocument/2006/relationships/chart" Target="../charts/chart55.xml"/><Relationship Id="rId2" Type="http://schemas.openxmlformats.org/officeDocument/2006/relationships/image" Target="../media/image5.png"/><Relationship Id="rId1" Type="http://schemas.openxmlformats.org/officeDocument/2006/relationships/image" Target="../media/image2.jpeg"/><Relationship Id="rId4" Type="http://schemas.openxmlformats.org/officeDocument/2006/relationships/chart" Target="../charts/chart56.xml"/></Relationships>
</file>

<file path=xl/drawings/_rels/drawing59.xml.rels><?xml version="1.0" encoding="UTF-8" standalone="yes"?>
<Relationships xmlns="http://schemas.openxmlformats.org/package/2006/relationships"><Relationship Id="rId1" Type="http://schemas.openxmlformats.org/officeDocument/2006/relationships/image" Target="../media/image5.png"/></Relationships>
</file>

<file path=xl/drawings/_rels/drawing60.xml.rels><?xml version="1.0" encoding="UTF-8" standalone="yes"?>
<Relationships xmlns="http://schemas.openxmlformats.org/package/2006/relationships"><Relationship Id="rId1" Type="http://schemas.openxmlformats.org/officeDocument/2006/relationships/image" Target="../media/image5.png"/></Relationships>
</file>

<file path=xl/drawings/_rels/drawing61.xml.rels><?xml version="1.0" encoding="UTF-8" standalone="yes"?>
<Relationships xmlns="http://schemas.openxmlformats.org/package/2006/relationships"><Relationship Id="rId3" Type="http://schemas.openxmlformats.org/officeDocument/2006/relationships/chart" Target="../charts/chart57.xml"/><Relationship Id="rId2" Type="http://schemas.openxmlformats.org/officeDocument/2006/relationships/image" Target="../media/image5.png"/><Relationship Id="rId1" Type="http://schemas.openxmlformats.org/officeDocument/2006/relationships/image" Target="../media/image3.png"/><Relationship Id="rId6" Type="http://schemas.openxmlformats.org/officeDocument/2006/relationships/chart" Target="../charts/chart60.xml"/><Relationship Id="rId5" Type="http://schemas.openxmlformats.org/officeDocument/2006/relationships/chart" Target="../charts/chart59.xml"/><Relationship Id="rId4" Type="http://schemas.openxmlformats.org/officeDocument/2006/relationships/chart" Target="../charts/chart58.xml"/></Relationships>
</file>

<file path=xl/drawings/_rels/drawing62.xml.rels><?xml version="1.0" encoding="UTF-8" standalone="yes"?>
<Relationships xmlns="http://schemas.openxmlformats.org/package/2006/relationships"><Relationship Id="rId1" Type="http://schemas.openxmlformats.org/officeDocument/2006/relationships/image" Target="../media/image5.png"/></Relationships>
</file>

<file path=xl/drawings/_rels/drawing63.xml.rels><?xml version="1.0" encoding="UTF-8" standalone="yes"?>
<Relationships xmlns="http://schemas.openxmlformats.org/package/2006/relationships"><Relationship Id="rId1" Type="http://schemas.openxmlformats.org/officeDocument/2006/relationships/image" Target="../media/image5.png"/></Relationships>
</file>

<file path=xl/drawings/_rels/drawing64.xml.rels><?xml version="1.0" encoding="UTF-8" standalone="yes"?>
<Relationships xmlns="http://schemas.openxmlformats.org/package/2006/relationships"><Relationship Id="rId1" Type="http://schemas.openxmlformats.org/officeDocument/2006/relationships/image" Target="../media/image5.png"/></Relationships>
</file>

<file path=xl/drawings/_rels/drawing6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6.xml.rels><?xml version="1.0" encoding="UTF-8" standalone="yes"?>
<Relationships xmlns="http://schemas.openxmlformats.org/package/2006/relationships"><Relationship Id="rId1" Type="http://schemas.openxmlformats.org/officeDocument/2006/relationships/image" Target="../media/image3.png"/></Relationships>
</file>

<file path=xl/drawings/_rels/drawing67.xml.rels><?xml version="1.0" encoding="UTF-8" standalone="yes"?>
<Relationships xmlns="http://schemas.openxmlformats.org/package/2006/relationships"><Relationship Id="rId1" Type="http://schemas.openxmlformats.org/officeDocument/2006/relationships/image" Target="../media/image3.png"/></Relationships>
</file>

<file path=xl/drawings/_rels/drawing68.xml.rels><?xml version="1.0" encoding="UTF-8" standalone="yes"?>
<Relationships xmlns="http://schemas.openxmlformats.org/package/2006/relationships"><Relationship Id="rId8" Type="http://schemas.openxmlformats.org/officeDocument/2006/relationships/chart" Target="../charts/chart66.xml"/><Relationship Id="rId3" Type="http://schemas.openxmlformats.org/officeDocument/2006/relationships/chart" Target="../charts/chart61.xml"/><Relationship Id="rId7" Type="http://schemas.openxmlformats.org/officeDocument/2006/relationships/chart" Target="../charts/chart65.xml"/><Relationship Id="rId2" Type="http://schemas.openxmlformats.org/officeDocument/2006/relationships/image" Target="../media/image5.png"/><Relationship Id="rId1" Type="http://schemas.openxmlformats.org/officeDocument/2006/relationships/image" Target="../media/image2.jpeg"/><Relationship Id="rId6" Type="http://schemas.openxmlformats.org/officeDocument/2006/relationships/chart" Target="../charts/chart64.xml"/><Relationship Id="rId5" Type="http://schemas.openxmlformats.org/officeDocument/2006/relationships/chart" Target="../charts/chart63.xml"/><Relationship Id="rId4" Type="http://schemas.openxmlformats.org/officeDocument/2006/relationships/chart" Target="../charts/chart62.xml"/></Relationships>
</file>

<file path=xl/drawings/_rels/drawing69.xml.rels><?xml version="1.0" encoding="UTF-8" standalone="yes"?>
<Relationships xmlns="http://schemas.openxmlformats.org/package/2006/relationships"><Relationship Id="rId3" Type="http://schemas.openxmlformats.org/officeDocument/2006/relationships/chart" Target="../charts/chart68.xml"/><Relationship Id="rId2" Type="http://schemas.openxmlformats.org/officeDocument/2006/relationships/chart" Target="../charts/chart67.xml"/><Relationship Id="rId1" Type="http://schemas.openxmlformats.org/officeDocument/2006/relationships/image" Target="../media/image2.jpeg"/><Relationship Id="rId4" Type="http://schemas.openxmlformats.org/officeDocument/2006/relationships/chart" Target="../charts/chart69.xml"/></Relationships>
</file>

<file path=xl/drawings/_rels/drawing70.xml.rels><?xml version="1.0" encoding="UTF-8" standalone="yes"?>
<Relationships xmlns="http://schemas.openxmlformats.org/package/2006/relationships"><Relationship Id="rId1" Type="http://schemas.openxmlformats.org/officeDocument/2006/relationships/image" Target="../media/image5.png"/></Relationships>
</file>

<file path=xl/drawings/_rels/drawing71.xml.rels><?xml version="1.0" encoding="UTF-8" standalone="yes"?>
<Relationships xmlns="http://schemas.openxmlformats.org/package/2006/relationships"><Relationship Id="rId1" Type="http://schemas.openxmlformats.org/officeDocument/2006/relationships/image" Target="../media/image5.png"/></Relationships>
</file>

<file path=xl/drawings/_rels/drawing72.xml.rels><?xml version="1.0" encoding="UTF-8" standalone="yes"?>
<Relationships xmlns="http://schemas.openxmlformats.org/package/2006/relationships"><Relationship Id="rId1" Type="http://schemas.openxmlformats.org/officeDocument/2006/relationships/image" Target="../media/image5.png"/></Relationships>
</file>

<file path=xl/drawings/_rels/drawing73.xml.rels><?xml version="1.0" encoding="UTF-8" standalone="yes"?>
<Relationships xmlns="http://schemas.openxmlformats.org/package/2006/relationships"><Relationship Id="rId3" Type="http://schemas.openxmlformats.org/officeDocument/2006/relationships/chart" Target="../charts/chart71.xml"/><Relationship Id="rId2" Type="http://schemas.openxmlformats.org/officeDocument/2006/relationships/chart" Target="../charts/chart70.xml"/><Relationship Id="rId1" Type="http://schemas.openxmlformats.org/officeDocument/2006/relationships/image" Target="../media/image2.jpeg"/><Relationship Id="rId4" Type="http://schemas.openxmlformats.org/officeDocument/2006/relationships/chart" Target="../charts/chart72.xml"/></Relationships>
</file>

<file path=xl/drawings/_rels/drawing74.xml.rels><?xml version="1.0" encoding="UTF-8" standalone="yes"?>
<Relationships xmlns="http://schemas.openxmlformats.org/package/2006/relationships"><Relationship Id="rId1" Type="http://schemas.openxmlformats.org/officeDocument/2006/relationships/image" Target="../media/image5.png"/></Relationships>
</file>

<file path=xl/drawings/_rels/drawing75.xml.rels><?xml version="1.0" encoding="UTF-8" standalone="yes"?>
<Relationships xmlns="http://schemas.openxmlformats.org/package/2006/relationships"><Relationship Id="rId1" Type="http://schemas.openxmlformats.org/officeDocument/2006/relationships/image" Target="../media/image5.png"/></Relationships>
</file>

<file path=xl/drawings/_rels/drawing76.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9</xdr:col>
      <xdr:colOff>0</xdr:colOff>
      <xdr:row>1</xdr:row>
      <xdr:rowOff>7620</xdr:rowOff>
    </xdr:from>
    <xdr:to>
      <xdr:col>12</xdr:col>
      <xdr:colOff>605678</xdr:colOff>
      <xdr:row>2</xdr:row>
      <xdr:rowOff>189529</xdr:rowOff>
    </xdr:to>
    <xdr:pic>
      <xdr:nvPicPr>
        <xdr:cNvPr id="4" name="SiteLogo" descr="Aramark">
          <a:hlinkClick xmlns:r="http://schemas.openxmlformats.org/officeDocument/2006/relationships" r:id="rId1"/>
          <a:extLst>
            <a:ext uri="{FF2B5EF4-FFF2-40B4-BE49-F238E27FC236}">
              <a16:creationId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09922" y="190500"/>
          <a:ext cx="1710578" cy="4669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48</xdr:col>
      <xdr:colOff>3051</xdr:colOff>
      <xdr:row>0</xdr:row>
      <xdr:rowOff>148477</xdr:rowOff>
    </xdr:from>
    <xdr:ext cx="1368549" cy="400163"/>
    <xdr:pic>
      <xdr:nvPicPr>
        <xdr:cNvPr id="5" name="Picture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3398951" y="148477"/>
          <a:ext cx="1368549" cy="40016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11</xdr:col>
      <xdr:colOff>256115</xdr:colOff>
      <xdr:row>0</xdr:row>
      <xdr:rowOff>0</xdr:rowOff>
    </xdr:from>
    <xdr:to>
      <xdr:col>14</xdr:col>
      <xdr:colOff>114299</xdr:colOff>
      <xdr:row>6</xdr:row>
      <xdr:rowOff>9526</xdr:rowOff>
    </xdr:to>
    <xdr:pic>
      <xdr:nvPicPr>
        <xdr:cNvPr id="4" name="Picture 3" descr="Cloud Integration Platform, iPaaS Providers - SnapLogic">
          <a:extLst>
            <a:ext uri="{FF2B5EF4-FFF2-40B4-BE49-F238E27FC236}">
              <a16:creationId xmlns:a16="http://schemas.microsoft.com/office/drawing/2014/main" id="{BE6AA657-8580-4594-9973-72BD3E3B8D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98365" y="0"/>
          <a:ext cx="2398184" cy="12054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51</xdr:col>
      <xdr:colOff>3051</xdr:colOff>
      <xdr:row>0</xdr:row>
      <xdr:rowOff>148477</xdr:rowOff>
    </xdr:from>
    <xdr:ext cx="1368549" cy="400163"/>
    <xdr:pic>
      <xdr:nvPicPr>
        <xdr:cNvPr id="14" name="Picture 13">
          <a:extLst>
            <a:ext uri="{FF2B5EF4-FFF2-40B4-BE49-F238E27FC236}">
              <a16:creationId xmlns:a16="http://schemas.microsoft.com/office/drawing/2014/main" id="{213D3082-A1BD-4C3D-97BB-977BDBA0CC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5" name="Picture 14">
          <a:extLst>
            <a:ext uri="{FF2B5EF4-FFF2-40B4-BE49-F238E27FC236}">
              <a16:creationId xmlns:a16="http://schemas.microsoft.com/office/drawing/2014/main" id="{6A047CDB-A917-4DEB-97C9-B016E04C02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6" name="Picture 15">
          <a:extLst>
            <a:ext uri="{FF2B5EF4-FFF2-40B4-BE49-F238E27FC236}">
              <a16:creationId xmlns:a16="http://schemas.microsoft.com/office/drawing/2014/main" id="{B8B273E1-8173-4E69-98A8-C89B4CAC923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7" name="Picture 16">
          <a:extLst>
            <a:ext uri="{FF2B5EF4-FFF2-40B4-BE49-F238E27FC236}">
              <a16:creationId xmlns:a16="http://schemas.microsoft.com/office/drawing/2014/main" id="{413F1D56-2661-4EE8-8FCA-0092FDC878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8" name="Picture 17">
          <a:extLst>
            <a:ext uri="{FF2B5EF4-FFF2-40B4-BE49-F238E27FC236}">
              <a16:creationId xmlns:a16="http://schemas.microsoft.com/office/drawing/2014/main" id="{BD295C6A-028D-4812-9267-05F8851AB57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9" name="Picture 18">
          <a:extLst>
            <a:ext uri="{FF2B5EF4-FFF2-40B4-BE49-F238E27FC236}">
              <a16:creationId xmlns:a16="http://schemas.microsoft.com/office/drawing/2014/main" id="{119C7A6D-C5AE-4D19-9E01-AF921274A74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20" name="Picture 19">
          <a:extLst>
            <a:ext uri="{FF2B5EF4-FFF2-40B4-BE49-F238E27FC236}">
              <a16:creationId xmlns:a16="http://schemas.microsoft.com/office/drawing/2014/main" id="{10455B0F-BE02-4349-A2B2-D41F0609035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21" name="Picture 20">
          <a:extLst>
            <a:ext uri="{FF2B5EF4-FFF2-40B4-BE49-F238E27FC236}">
              <a16:creationId xmlns:a16="http://schemas.microsoft.com/office/drawing/2014/main" id="{13E34F23-2A2E-4836-AFB0-567E4806913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22" name="Picture 21">
          <a:extLst>
            <a:ext uri="{FF2B5EF4-FFF2-40B4-BE49-F238E27FC236}">
              <a16:creationId xmlns:a16="http://schemas.microsoft.com/office/drawing/2014/main" id="{66C22F8A-03FA-4052-AB8B-D81781A34F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23" name="Picture 22">
          <a:extLst>
            <a:ext uri="{FF2B5EF4-FFF2-40B4-BE49-F238E27FC236}">
              <a16:creationId xmlns:a16="http://schemas.microsoft.com/office/drawing/2014/main" id="{4DA59814-ED7B-4B95-923C-B5431802A2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24" name="Picture 23">
          <a:extLst>
            <a:ext uri="{FF2B5EF4-FFF2-40B4-BE49-F238E27FC236}">
              <a16:creationId xmlns:a16="http://schemas.microsoft.com/office/drawing/2014/main" id="{641A84B0-D8E5-41A3-8C78-740CDD7299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twoCellAnchor editAs="oneCell">
    <xdr:from>
      <xdr:col>11</xdr:col>
      <xdr:colOff>2419350</xdr:colOff>
      <xdr:row>0</xdr:row>
      <xdr:rowOff>0</xdr:rowOff>
    </xdr:from>
    <xdr:to>
      <xdr:col>20</xdr:col>
      <xdr:colOff>66676</xdr:colOff>
      <xdr:row>5</xdr:row>
      <xdr:rowOff>61913</xdr:rowOff>
    </xdr:to>
    <xdr:pic>
      <xdr:nvPicPr>
        <xdr:cNvPr id="25" name="Picture 24" descr="Cloud Integration Platform, iPaaS Providers - SnapLogic">
          <a:extLst>
            <a:ext uri="{FF2B5EF4-FFF2-40B4-BE49-F238E27FC236}">
              <a16:creationId xmlns:a16="http://schemas.microsoft.com/office/drawing/2014/main" id="{F78311E1-CC34-45DD-AFC6-539E034297D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01300" y="0"/>
          <a:ext cx="1971676" cy="9858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21</xdr:col>
      <xdr:colOff>226219</xdr:colOff>
      <xdr:row>0</xdr:row>
      <xdr:rowOff>0</xdr:rowOff>
    </xdr:from>
    <xdr:to>
      <xdr:col>24</xdr:col>
      <xdr:colOff>59531</xdr:colOff>
      <xdr:row>5</xdr:row>
      <xdr:rowOff>41672</xdr:rowOff>
    </xdr:to>
    <xdr:pic>
      <xdr:nvPicPr>
        <xdr:cNvPr id="3" name="Picture 2" descr="Cloud Integration Platform, iPaaS Providers - SnapLogic">
          <a:extLst>
            <a:ext uri="{FF2B5EF4-FFF2-40B4-BE49-F238E27FC236}">
              <a16:creationId xmlns:a16="http://schemas.microsoft.com/office/drawing/2014/main" id="{BBF54650-7E1A-4CFE-8D5F-F94D09451C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85469" y="0"/>
          <a:ext cx="1893093" cy="9465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51</xdr:col>
      <xdr:colOff>3051</xdr:colOff>
      <xdr:row>1</xdr:row>
      <xdr:rowOff>148477</xdr:rowOff>
    </xdr:from>
    <xdr:ext cx="1368549" cy="400163"/>
    <xdr:pic>
      <xdr:nvPicPr>
        <xdr:cNvPr id="4" name="Picture 3">
          <a:extLst>
            <a:ext uri="{FF2B5EF4-FFF2-40B4-BE49-F238E27FC236}">
              <a16:creationId xmlns:a16="http://schemas.microsoft.com/office/drawing/2014/main" id="{010D79E3-D32B-493E-9C5B-E52C385F38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5" name="Picture 4">
          <a:extLst>
            <a:ext uri="{FF2B5EF4-FFF2-40B4-BE49-F238E27FC236}">
              <a16:creationId xmlns:a16="http://schemas.microsoft.com/office/drawing/2014/main" id="{74490675-CCAD-4CE5-849A-98394C3357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6" name="Picture 5">
          <a:extLst>
            <a:ext uri="{FF2B5EF4-FFF2-40B4-BE49-F238E27FC236}">
              <a16:creationId xmlns:a16="http://schemas.microsoft.com/office/drawing/2014/main" id="{A18348A6-4B43-4D3C-B581-6CB46358D2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7" name="Picture 6">
          <a:extLst>
            <a:ext uri="{FF2B5EF4-FFF2-40B4-BE49-F238E27FC236}">
              <a16:creationId xmlns:a16="http://schemas.microsoft.com/office/drawing/2014/main" id="{DD19D774-B843-4022-93A7-F9CD51DD29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8" name="Picture 7">
          <a:extLst>
            <a:ext uri="{FF2B5EF4-FFF2-40B4-BE49-F238E27FC236}">
              <a16:creationId xmlns:a16="http://schemas.microsoft.com/office/drawing/2014/main" id="{D21BA46A-D93D-452B-8A13-6989CB96CEC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9" name="Picture 8">
          <a:extLst>
            <a:ext uri="{FF2B5EF4-FFF2-40B4-BE49-F238E27FC236}">
              <a16:creationId xmlns:a16="http://schemas.microsoft.com/office/drawing/2014/main" id="{C2F3DF0E-3A53-4BF5-8199-51AD8F4CB6D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10" name="Picture 9">
          <a:extLst>
            <a:ext uri="{FF2B5EF4-FFF2-40B4-BE49-F238E27FC236}">
              <a16:creationId xmlns:a16="http://schemas.microsoft.com/office/drawing/2014/main" id="{1B8BEDF3-AEEE-49A4-96BF-E0D50895F06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11" name="Picture 10">
          <a:extLst>
            <a:ext uri="{FF2B5EF4-FFF2-40B4-BE49-F238E27FC236}">
              <a16:creationId xmlns:a16="http://schemas.microsoft.com/office/drawing/2014/main" id="{9FE1C962-A90B-4A12-901E-2644B25141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12" name="Picture 11">
          <a:extLst>
            <a:ext uri="{FF2B5EF4-FFF2-40B4-BE49-F238E27FC236}">
              <a16:creationId xmlns:a16="http://schemas.microsoft.com/office/drawing/2014/main" id="{625D933A-F755-4FFD-8CAB-85F343D4C9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13" name="Picture 12">
          <a:extLst>
            <a:ext uri="{FF2B5EF4-FFF2-40B4-BE49-F238E27FC236}">
              <a16:creationId xmlns:a16="http://schemas.microsoft.com/office/drawing/2014/main" id="{527AA079-EECE-4DEA-B9D6-6B2AF22B518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14" name="Picture 13">
          <a:extLst>
            <a:ext uri="{FF2B5EF4-FFF2-40B4-BE49-F238E27FC236}">
              <a16:creationId xmlns:a16="http://schemas.microsoft.com/office/drawing/2014/main" id="{6884B248-D89A-4F73-BD0C-B6B8767790E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twoCellAnchor editAs="oneCell">
    <xdr:from>
      <xdr:col>15</xdr:col>
      <xdr:colOff>114299</xdr:colOff>
      <xdr:row>0</xdr:row>
      <xdr:rowOff>57150</xdr:rowOff>
    </xdr:from>
    <xdr:to>
      <xdr:col>21</xdr:col>
      <xdr:colOff>0</xdr:colOff>
      <xdr:row>5</xdr:row>
      <xdr:rowOff>122665</xdr:rowOff>
    </xdr:to>
    <xdr:pic>
      <xdr:nvPicPr>
        <xdr:cNvPr id="15" name="Picture 14" descr="Cloud Integration Platform, iPaaS Providers - SnapLogic">
          <a:extLst>
            <a:ext uri="{FF2B5EF4-FFF2-40B4-BE49-F238E27FC236}">
              <a16:creationId xmlns:a16="http://schemas.microsoft.com/office/drawing/2014/main" id="{688E8097-DB33-4607-A6FC-42FE4C9B2D3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734549" y="57150"/>
          <a:ext cx="1760009"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256116</xdr:colOff>
      <xdr:row>0</xdr:row>
      <xdr:rowOff>0</xdr:rowOff>
    </xdr:from>
    <xdr:to>
      <xdr:col>13</xdr:col>
      <xdr:colOff>114300</xdr:colOff>
      <xdr:row>6</xdr:row>
      <xdr:rowOff>57151</xdr:rowOff>
    </xdr:to>
    <xdr:pic>
      <xdr:nvPicPr>
        <xdr:cNvPr id="3" name="Picture 2" descr="Cloud Integration Platform, iPaaS Providers - SnapLogic">
          <a:extLst>
            <a:ext uri="{FF2B5EF4-FFF2-40B4-BE49-F238E27FC236}">
              <a16:creationId xmlns:a16="http://schemas.microsoft.com/office/drawing/2014/main" id="{A4FC59FF-3CE1-4445-ABF7-078AE4E34C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98366" y="0"/>
          <a:ext cx="2398184" cy="12001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6</xdr:row>
      <xdr:rowOff>9525</xdr:rowOff>
    </xdr:from>
    <xdr:to>
      <xdr:col>10</xdr:col>
      <xdr:colOff>0</xdr:colOff>
      <xdr:row>31</xdr:row>
      <xdr:rowOff>9525</xdr:rowOff>
    </xdr:to>
    <xdr:graphicFrame macro="">
      <xdr:nvGraphicFramePr>
        <xdr:cNvPr id="4" name="Chart 3">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571500</xdr:colOff>
      <xdr:row>6</xdr:row>
      <xdr:rowOff>38100</xdr:rowOff>
    </xdr:from>
    <xdr:to>
      <xdr:col>9</xdr:col>
      <xdr:colOff>809625</xdr:colOff>
      <xdr:row>10</xdr:row>
      <xdr:rowOff>85248</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stretch>
          <a:fillRect/>
        </a:stretch>
      </xdr:blipFill>
      <xdr:spPr>
        <a:xfrm>
          <a:off x="6724650" y="1143000"/>
          <a:ext cx="1085850" cy="809148"/>
        </a:xfrm>
        <a:prstGeom prst="rect">
          <a:avLst/>
        </a:prstGeom>
      </xdr:spPr>
    </xdr:pic>
    <xdr:clientData/>
  </xdr:twoCellAnchor>
  <xdr:twoCellAnchor editAs="oneCell">
    <xdr:from>
      <xdr:col>7</xdr:col>
      <xdr:colOff>833438</xdr:colOff>
      <xdr:row>0</xdr:row>
      <xdr:rowOff>11907</xdr:rowOff>
    </xdr:from>
    <xdr:to>
      <xdr:col>10</xdr:col>
      <xdr:colOff>23812</xdr:colOff>
      <xdr:row>4</xdr:row>
      <xdr:rowOff>159385</xdr:rowOff>
    </xdr:to>
    <xdr:pic>
      <xdr:nvPicPr>
        <xdr:cNvPr id="7" name="Picture 6" descr="Cloud Integration Platform, iPaaS Providers - SnapLogic">
          <a:extLst>
            <a:ext uri="{FF2B5EF4-FFF2-40B4-BE49-F238E27FC236}">
              <a16:creationId xmlns:a16="http://schemas.microsoft.com/office/drawing/2014/main" id="{DDCDCA33-15D5-4B7A-9B84-DE63BF21C96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19813" y="11907"/>
          <a:ext cx="1738312" cy="8737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988</xdr:colOff>
      <xdr:row>44</xdr:row>
      <xdr:rowOff>1980</xdr:rowOff>
    </xdr:from>
    <xdr:to>
      <xdr:col>27</xdr:col>
      <xdr:colOff>228599</xdr:colOff>
      <xdr:row>60</xdr:row>
      <xdr:rowOff>1</xdr:rowOff>
    </xdr:to>
    <xdr:graphicFrame macro="">
      <xdr:nvGraphicFramePr>
        <xdr:cNvPr id="12" name="Chart 11">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7957</xdr:colOff>
      <xdr:row>44</xdr:row>
      <xdr:rowOff>7621</xdr:rowOff>
    </xdr:from>
    <xdr:to>
      <xdr:col>57</xdr:col>
      <xdr:colOff>3008</xdr:colOff>
      <xdr:row>60</xdr:row>
      <xdr:rowOff>7620</xdr:rowOff>
    </xdr:to>
    <xdr:graphicFrame macro="">
      <xdr:nvGraphicFramePr>
        <xdr:cNvPr id="13" name="Chart 12">
          <a:extLst>
            <a:ext uri="{FF2B5EF4-FFF2-40B4-BE49-F238E27FC236}">
              <a16:creationId xmlns:a16="http://schemas.microsoft.com/office/drawing/2014/main" id="{00000000-0008-0000-0E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56</xdr:col>
      <xdr:colOff>17929</xdr:colOff>
      <xdr:row>56</xdr:row>
      <xdr:rowOff>143435</xdr:rowOff>
    </xdr:from>
    <xdr:to>
      <xdr:col>57</xdr:col>
      <xdr:colOff>17240</xdr:colOff>
      <xdr:row>59</xdr:row>
      <xdr:rowOff>146325</xdr:rowOff>
    </xdr:to>
    <xdr:pic>
      <xdr:nvPicPr>
        <xdr:cNvPr id="19" name="Picture 18">
          <a:extLst>
            <a:ext uri="{FF2B5EF4-FFF2-40B4-BE49-F238E27FC236}">
              <a16:creationId xmlns:a16="http://schemas.microsoft.com/office/drawing/2014/main" id="{00000000-0008-0000-0E00-000013000000}"/>
            </a:ext>
          </a:extLst>
        </xdr:cNvPr>
        <xdr:cNvPicPr>
          <a:picLocks noChangeAspect="1"/>
        </xdr:cNvPicPr>
      </xdr:nvPicPr>
      <xdr:blipFill>
        <a:blip xmlns:r="http://schemas.openxmlformats.org/officeDocument/2006/relationships" r:embed="rId3"/>
        <a:stretch>
          <a:fillRect/>
        </a:stretch>
      </xdr:blipFill>
      <xdr:spPr>
        <a:xfrm flipV="1">
          <a:off x="13070541" y="13070541"/>
          <a:ext cx="233083" cy="582784"/>
        </a:xfrm>
        <a:prstGeom prst="rect">
          <a:avLst/>
        </a:prstGeom>
      </xdr:spPr>
    </xdr:pic>
    <xdr:clientData/>
  </xdr:twoCellAnchor>
  <xdr:twoCellAnchor>
    <xdr:from>
      <xdr:col>30</xdr:col>
      <xdr:colOff>6804</xdr:colOff>
      <xdr:row>67</xdr:row>
      <xdr:rowOff>14408</xdr:rowOff>
    </xdr:from>
    <xdr:to>
      <xdr:col>57</xdr:col>
      <xdr:colOff>12248</xdr:colOff>
      <xdr:row>82</xdr:row>
      <xdr:rowOff>179614</xdr:rowOff>
    </xdr:to>
    <xdr:graphicFrame macro="">
      <xdr:nvGraphicFramePr>
        <xdr:cNvPr id="24" name="Chart 23">
          <a:extLst>
            <a:ext uri="{FF2B5EF4-FFF2-40B4-BE49-F238E27FC236}">
              <a16:creationId xmlns:a16="http://schemas.microsoft.com/office/drawing/2014/main" id="{00000000-0008-0000-0E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235404</xdr:colOff>
      <xdr:row>67</xdr:row>
      <xdr:rowOff>4755</xdr:rowOff>
    </xdr:from>
    <xdr:to>
      <xdr:col>28</xdr:col>
      <xdr:colOff>5419</xdr:colOff>
      <xdr:row>82</xdr:row>
      <xdr:rowOff>174172</xdr:rowOff>
    </xdr:to>
    <xdr:graphicFrame macro="">
      <xdr:nvGraphicFramePr>
        <xdr:cNvPr id="3" name="Chart 2">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49</xdr:col>
      <xdr:colOff>47625</xdr:colOff>
      <xdr:row>0</xdr:row>
      <xdr:rowOff>9525</xdr:rowOff>
    </xdr:from>
    <xdr:to>
      <xdr:col>57</xdr:col>
      <xdr:colOff>57151</xdr:colOff>
      <xdr:row>4</xdr:row>
      <xdr:rowOff>134431</xdr:rowOff>
    </xdr:to>
    <xdr:pic>
      <xdr:nvPicPr>
        <xdr:cNvPr id="25" name="Picture 24" descr="Cloud Integration Platform, iPaaS Providers - SnapLogic">
          <a:extLst>
            <a:ext uri="{FF2B5EF4-FFF2-40B4-BE49-F238E27FC236}">
              <a16:creationId xmlns:a16="http://schemas.microsoft.com/office/drawing/2014/main" id="{624B21DA-8D66-4843-B9B4-49F50EB2406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10.xml><?xml version="1.0" encoding="utf-8"?>
<xdr:wsDr xmlns:xdr="http://schemas.openxmlformats.org/drawingml/2006/spreadsheetDrawing" xmlns:a="http://schemas.openxmlformats.org/drawingml/2006/main">
  <xdr:twoCellAnchor editAs="oneCell">
    <xdr:from>
      <xdr:col>27</xdr:col>
      <xdr:colOff>0</xdr:colOff>
      <xdr:row>57</xdr:row>
      <xdr:rowOff>160477</xdr:rowOff>
    </xdr:from>
    <xdr:to>
      <xdr:col>28</xdr:col>
      <xdr:colOff>0</xdr:colOff>
      <xdr:row>60</xdr:row>
      <xdr:rowOff>171917</xdr:rowOff>
    </xdr:to>
    <xdr:pic>
      <xdr:nvPicPr>
        <xdr:cNvPr id="6" name="Picture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1"/>
        <a:stretch>
          <a:fillRect/>
        </a:stretch>
      </xdr:blipFill>
      <xdr:spPr>
        <a:xfrm>
          <a:off x="6172200" y="10569397"/>
          <a:ext cx="228600" cy="571043"/>
        </a:xfrm>
        <a:prstGeom prst="rect">
          <a:avLst/>
        </a:prstGeom>
      </xdr:spPr>
    </xdr:pic>
    <xdr:clientData/>
  </xdr:twoCellAnchor>
  <xdr:twoCellAnchor>
    <xdr:from>
      <xdr:col>1</xdr:col>
      <xdr:colOff>6234</xdr:colOff>
      <xdr:row>44</xdr:row>
      <xdr:rowOff>166254</xdr:rowOff>
    </xdr:from>
    <xdr:to>
      <xdr:col>28</xdr:col>
      <xdr:colOff>13854</xdr:colOff>
      <xdr:row>60</xdr:row>
      <xdr:rowOff>166254</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0</xdr:colOff>
      <xdr:row>45</xdr:row>
      <xdr:rowOff>0</xdr:rowOff>
    </xdr:from>
    <xdr:to>
      <xdr:col>57</xdr:col>
      <xdr:colOff>0</xdr:colOff>
      <xdr:row>61</xdr:row>
      <xdr:rowOff>0</xdr:rowOff>
    </xdr:to>
    <xdr:graphicFrame macro="">
      <xdr:nvGraphicFramePr>
        <xdr:cNvPr id="4" name="Chart 3">
          <a:extLst>
            <a:ext uri="{FF2B5EF4-FFF2-40B4-BE49-F238E27FC236}">
              <a16:creationId xmlns:a16="http://schemas.microsoft.com/office/drawing/2014/main" id="{00000000-0008-0000-0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xdr:colOff>
      <xdr:row>68</xdr:row>
      <xdr:rowOff>17930</xdr:rowOff>
    </xdr:from>
    <xdr:to>
      <xdr:col>28</xdr:col>
      <xdr:colOff>1</xdr:colOff>
      <xdr:row>84</xdr:row>
      <xdr:rowOff>17930</xdr:rowOff>
    </xdr:to>
    <xdr:graphicFrame macro="">
      <xdr:nvGraphicFramePr>
        <xdr:cNvPr id="8" name="Chart 7">
          <a:extLst>
            <a:ext uri="{FF2B5EF4-FFF2-40B4-BE49-F238E27FC236}">
              <a16:creationId xmlns:a16="http://schemas.microsoft.com/office/drawing/2014/main" id="{00000000-0008-0000-0D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0</xdr:colOff>
      <xdr:row>68</xdr:row>
      <xdr:rowOff>0</xdr:rowOff>
    </xdr:from>
    <xdr:to>
      <xdr:col>57</xdr:col>
      <xdr:colOff>7619</xdr:colOff>
      <xdr:row>83</xdr:row>
      <xdr:rowOff>179293</xdr:rowOff>
    </xdr:to>
    <xdr:graphicFrame macro="">
      <xdr:nvGraphicFramePr>
        <xdr:cNvPr id="12" name="Chart 11">
          <a:extLst>
            <a:ext uri="{FF2B5EF4-FFF2-40B4-BE49-F238E27FC236}">
              <a16:creationId xmlns:a16="http://schemas.microsoft.com/office/drawing/2014/main" id="{00000000-0008-0000-0D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30444</xdr:colOff>
      <xdr:row>92</xdr:row>
      <xdr:rowOff>183254</xdr:rowOff>
    </xdr:from>
    <xdr:to>
      <xdr:col>27</xdr:col>
      <xdr:colOff>229880</xdr:colOff>
      <xdr:row>108</xdr:row>
      <xdr:rowOff>17930</xdr:rowOff>
    </xdr:to>
    <xdr:graphicFrame macro="">
      <xdr:nvGraphicFramePr>
        <xdr:cNvPr id="11" name="Chart 10">
          <a:extLst>
            <a:ext uri="{FF2B5EF4-FFF2-40B4-BE49-F238E27FC236}">
              <a16:creationId xmlns:a16="http://schemas.microsoft.com/office/drawing/2014/main" id="{00000000-0008-0000-0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49</xdr:col>
      <xdr:colOff>47625</xdr:colOff>
      <xdr:row>0</xdr:row>
      <xdr:rowOff>9525</xdr:rowOff>
    </xdr:from>
    <xdr:to>
      <xdr:col>57</xdr:col>
      <xdr:colOff>57151</xdr:colOff>
      <xdr:row>4</xdr:row>
      <xdr:rowOff>138241</xdr:rowOff>
    </xdr:to>
    <xdr:pic>
      <xdr:nvPicPr>
        <xdr:cNvPr id="23" name="Picture 22" descr="Cloud Integration Platform, iPaaS Providers - SnapLogic">
          <a:extLst>
            <a:ext uri="{FF2B5EF4-FFF2-40B4-BE49-F238E27FC236}">
              <a16:creationId xmlns:a16="http://schemas.microsoft.com/office/drawing/2014/main" id="{0B4A7436-0233-4888-94EE-666919497E1B}"/>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12.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13.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14.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15.xml><?xml version="1.0" encoding="utf-8"?>
<xdr:wsDr xmlns:xdr="http://schemas.openxmlformats.org/drawingml/2006/spreadsheetDrawing" xmlns:a="http://schemas.openxmlformats.org/drawingml/2006/main">
  <xdr:twoCellAnchor editAs="oneCell">
    <xdr:from>
      <xdr:col>49</xdr:col>
      <xdr:colOff>47625</xdr:colOff>
      <xdr:row>0</xdr:row>
      <xdr:rowOff>9525</xdr:rowOff>
    </xdr:from>
    <xdr:to>
      <xdr:col>57</xdr:col>
      <xdr:colOff>47626</xdr:colOff>
      <xdr:row>4</xdr:row>
      <xdr:rowOff>134431</xdr:rowOff>
    </xdr:to>
    <xdr:pic>
      <xdr:nvPicPr>
        <xdr:cNvPr id="24" name="Picture 23" descr="Cloud Integration Platform, iPaaS Providers - SnapLogic">
          <a:extLst>
            <a:ext uri="{FF2B5EF4-FFF2-40B4-BE49-F238E27FC236}">
              <a16:creationId xmlns:a16="http://schemas.microsoft.com/office/drawing/2014/main" id="{A48B4E2C-2F80-43E8-B3C4-848BB0E3A67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18920</xdr:colOff>
      <xdr:row>44</xdr:row>
      <xdr:rowOff>159444</xdr:rowOff>
    </xdr:from>
    <xdr:to>
      <xdr:col>28</xdr:col>
      <xdr:colOff>17289</xdr:colOff>
      <xdr:row>60</xdr:row>
      <xdr:rowOff>156186</xdr:rowOff>
    </xdr:to>
    <xdr:graphicFrame macro="">
      <xdr:nvGraphicFramePr>
        <xdr:cNvPr id="2" name="Chart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26</xdr:col>
      <xdr:colOff>215154</xdr:colOff>
      <xdr:row>57</xdr:row>
      <xdr:rowOff>143435</xdr:rowOff>
    </xdr:from>
    <xdr:to>
      <xdr:col>27</xdr:col>
      <xdr:colOff>211343</xdr:colOff>
      <xdr:row>60</xdr:row>
      <xdr:rowOff>133861</xdr:rowOff>
    </xdr:to>
    <xdr:pic>
      <xdr:nvPicPr>
        <xdr:cNvPr id="12" name="Picture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3"/>
        <a:stretch>
          <a:fillRect/>
        </a:stretch>
      </xdr:blipFill>
      <xdr:spPr>
        <a:xfrm flipV="1">
          <a:off x="6275295" y="13070541"/>
          <a:ext cx="233082" cy="555204"/>
        </a:xfrm>
        <a:prstGeom prst="rect">
          <a:avLst/>
        </a:prstGeom>
      </xdr:spPr>
    </xdr:pic>
    <xdr:clientData/>
  </xdr:twoCellAnchor>
  <xdr:twoCellAnchor>
    <xdr:from>
      <xdr:col>30</xdr:col>
      <xdr:colOff>10757</xdr:colOff>
      <xdr:row>45</xdr:row>
      <xdr:rowOff>2686</xdr:rowOff>
    </xdr:from>
    <xdr:to>
      <xdr:col>57</xdr:col>
      <xdr:colOff>3136</xdr:colOff>
      <xdr:row>61</xdr:row>
      <xdr:rowOff>2687</xdr:rowOff>
    </xdr:to>
    <xdr:graphicFrame macro="">
      <xdr:nvGraphicFramePr>
        <xdr:cNvPr id="9" name="Chart 8">
          <a:extLst>
            <a:ext uri="{FF2B5EF4-FFF2-40B4-BE49-F238E27FC236}">
              <a16:creationId xmlns:a16="http://schemas.microsoft.com/office/drawing/2014/main" id="{00000000-0008-0000-0F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7763</xdr:colOff>
      <xdr:row>68</xdr:row>
      <xdr:rowOff>7043</xdr:rowOff>
    </xdr:from>
    <xdr:to>
      <xdr:col>28</xdr:col>
      <xdr:colOff>7763</xdr:colOff>
      <xdr:row>84</xdr:row>
      <xdr:rowOff>7041</xdr:rowOff>
    </xdr:to>
    <xdr:graphicFrame macro="">
      <xdr:nvGraphicFramePr>
        <xdr:cNvPr id="15" name="Chart 14">
          <a:extLst>
            <a:ext uri="{FF2B5EF4-FFF2-40B4-BE49-F238E27FC236}">
              <a16:creationId xmlns:a16="http://schemas.microsoft.com/office/drawing/2014/main" id="{00000000-0008-0000-0F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4034</xdr:colOff>
      <xdr:row>68</xdr:row>
      <xdr:rowOff>7578</xdr:rowOff>
    </xdr:from>
    <xdr:to>
      <xdr:col>57</xdr:col>
      <xdr:colOff>4034</xdr:colOff>
      <xdr:row>84</xdr:row>
      <xdr:rowOff>11653</xdr:rowOff>
    </xdr:to>
    <xdr:graphicFrame macro="">
      <xdr:nvGraphicFramePr>
        <xdr:cNvPr id="19" name="Chart 18">
          <a:extLst>
            <a:ext uri="{FF2B5EF4-FFF2-40B4-BE49-F238E27FC236}">
              <a16:creationId xmlns:a16="http://schemas.microsoft.com/office/drawing/2014/main" id="{00000000-0008-0000-0F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10885</xdr:colOff>
      <xdr:row>91</xdr:row>
      <xdr:rowOff>35860</xdr:rowOff>
    </xdr:from>
    <xdr:to>
      <xdr:col>28</xdr:col>
      <xdr:colOff>9254</xdr:colOff>
      <xdr:row>107</xdr:row>
      <xdr:rowOff>35859</xdr:rowOff>
    </xdr:to>
    <xdr:graphicFrame macro="">
      <xdr:nvGraphicFramePr>
        <xdr:cNvPr id="5" name="Chart 4">
          <a:extLst>
            <a:ext uri="{FF2B5EF4-FFF2-40B4-BE49-F238E27FC236}">
              <a16:creationId xmlns:a16="http://schemas.microsoft.com/office/drawing/2014/main" id="{6CD032BD-C35C-4F57-8F04-336DE4A587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0.96292</cdr:x>
      <cdr:y>0.80649</cdr:y>
    </cdr:from>
    <cdr:to>
      <cdr:x>1</cdr:x>
      <cdr:y>1</cdr:y>
    </cdr:to>
    <cdr:pic>
      <cdr:nvPicPr>
        <cdr:cNvPr id="4" name="Picture 3">
          <a:extLst xmlns:a="http://schemas.openxmlformats.org/drawingml/2006/main">
            <a:ext uri="{FF2B5EF4-FFF2-40B4-BE49-F238E27FC236}">
              <a16:creationId xmlns:a16="http://schemas.microsoft.com/office/drawing/2014/main" id="{00000000-0008-0000-0B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116089" y="2324098"/>
          <a:ext cx="235526" cy="557649"/>
        </a:xfrm>
        <a:prstGeom xmlns:a="http://schemas.openxmlformats.org/drawingml/2006/main" prst="rect">
          <a:avLst/>
        </a:prstGeom>
      </cdr:spPr>
    </cdr:pic>
  </cdr:relSizeAnchor>
</c:userShapes>
</file>

<file path=xl/drawings/drawing17.xml><?xml version="1.0" encoding="utf-8"?>
<xdr:wsDr xmlns:xdr="http://schemas.openxmlformats.org/drawingml/2006/spreadsheetDrawing" xmlns:a="http://schemas.openxmlformats.org/drawingml/2006/main">
  <xdr:twoCellAnchor editAs="oneCell">
    <xdr:from>
      <xdr:col>49</xdr:col>
      <xdr:colOff>47625</xdr:colOff>
      <xdr:row>0</xdr:row>
      <xdr:rowOff>9525</xdr:rowOff>
    </xdr:from>
    <xdr:to>
      <xdr:col>57</xdr:col>
      <xdr:colOff>53341</xdr:colOff>
      <xdr:row>4</xdr:row>
      <xdr:rowOff>134431</xdr:rowOff>
    </xdr:to>
    <xdr:pic>
      <xdr:nvPicPr>
        <xdr:cNvPr id="21" name="Picture 20" descr="Cloud Integration Platform, iPaaS Providers - SnapLogic">
          <a:extLst>
            <a:ext uri="{FF2B5EF4-FFF2-40B4-BE49-F238E27FC236}">
              <a16:creationId xmlns:a16="http://schemas.microsoft.com/office/drawing/2014/main" id="{9F8E66B6-439F-43B6-B897-8C0CC397ED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1197</xdr:colOff>
      <xdr:row>43</xdr:row>
      <xdr:rowOff>2196</xdr:rowOff>
    </xdr:from>
    <xdr:to>
      <xdr:col>28</xdr:col>
      <xdr:colOff>8125</xdr:colOff>
      <xdr:row>58</xdr:row>
      <xdr:rowOff>166073</xdr:rowOff>
    </xdr:to>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0</xdr:colOff>
      <xdr:row>43</xdr:row>
      <xdr:rowOff>0</xdr:rowOff>
    </xdr:from>
    <xdr:to>
      <xdr:col>57</xdr:col>
      <xdr:colOff>1</xdr:colOff>
      <xdr:row>59</xdr:row>
      <xdr:rowOff>0</xdr:rowOff>
    </xdr:to>
    <xdr:graphicFrame macro="">
      <xdr:nvGraphicFramePr>
        <xdr:cNvPr id="9" name="Chart 8">
          <a:extLst>
            <a:ext uri="{FF2B5EF4-FFF2-40B4-BE49-F238E27FC236}">
              <a16:creationId xmlns:a16="http://schemas.microsoft.com/office/drawing/2014/main" id="{00000000-0008-0000-1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66</xdr:row>
      <xdr:rowOff>10885</xdr:rowOff>
    </xdr:from>
    <xdr:to>
      <xdr:col>27</xdr:col>
      <xdr:colOff>217714</xdr:colOff>
      <xdr:row>82</xdr:row>
      <xdr:rowOff>0</xdr:rowOff>
    </xdr:to>
    <xdr:graphicFrame macro="">
      <xdr:nvGraphicFramePr>
        <xdr:cNvPr id="11" name="Chart 10">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19.xml><?xml version="1.0" encoding="utf-8"?>
<xdr:wsDr xmlns:xdr="http://schemas.openxmlformats.org/drawingml/2006/spreadsheetDrawing" xmlns:a="http://schemas.openxmlformats.org/drawingml/2006/main">
  <xdr:twoCellAnchor editAs="oneCell">
    <xdr:from>
      <xdr:col>10</xdr:col>
      <xdr:colOff>224365</xdr:colOff>
      <xdr:row>0</xdr:row>
      <xdr:rowOff>0</xdr:rowOff>
    </xdr:from>
    <xdr:to>
      <xdr:col>13</xdr:col>
      <xdr:colOff>82549</xdr:colOff>
      <xdr:row>6</xdr:row>
      <xdr:rowOff>57151</xdr:rowOff>
    </xdr:to>
    <xdr:pic>
      <xdr:nvPicPr>
        <xdr:cNvPr id="2" name="Picture 1" descr="Cloud Integration Platform, iPaaS Providers - SnapLogic">
          <a:extLst>
            <a:ext uri="{FF2B5EF4-FFF2-40B4-BE49-F238E27FC236}">
              <a16:creationId xmlns:a16="http://schemas.microsoft.com/office/drawing/2014/main" id="{B721043A-DC96-43EF-A4FA-2041CB02F5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66615" y="0"/>
          <a:ext cx="2398184" cy="12001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49</xdr:col>
      <xdr:colOff>47625</xdr:colOff>
      <xdr:row>0</xdr:row>
      <xdr:rowOff>9525</xdr:rowOff>
    </xdr:from>
    <xdr:to>
      <xdr:col>56</xdr:col>
      <xdr:colOff>266702</xdr:colOff>
      <xdr:row>4</xdr:row>
      <xdr:rowOff>138241</xdr:rowOff>
    </xdr:to>
    <xdr:pic>
      <xdr:nvPicPr>
        <xdr:cNvPr id="56" name="Picture 55" descr="Cloud Integration Platform, iPaaS Providers - SnapLogic">
          <a:extLst>
            <a:ext uri="{FF2B5EF4-FFF2-40B4-BE49-F238E27FC236}">
              <a16:creationId xmlns:a16="http://schemas.microsoft.com/office/drawing/2014/main" id="{4F5006C8-475E-4EF1-8A7E-1E660E47356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56</xdr:col>
      <xdr:colOff>0</xdr:colOff>
      <xdr:row>105</xdr:row>
      <xdr:rowOff>140157</xdr:rowOff>
    </xdr:from>
    <xdr:ext cx="228600" cy="604911"/>
    <xdr:pic>
      <xdr:nvPicPr>
        <xdr:cNvPr id="14" name="Picture 13">
          <a:extLst>
            <a:ext uri="{FF2B5EF4-FFF2-40B4-BE49-F238E27FC236}">
              <a16:creationId xmlns:a16="http://schemas.microsoft.com/office/drawing/2014/main" id="{00000000-0008-0000-1400-00000E000000}"/>
            </a:ext>
          </a:extLst>
        </xdr:cNvPr>
        <xdr:cNvPicPr>
          <a:picLocks noChangeAspect="1"/>
        </xdr:cNvPicPr>
      </xdr:nvPicPr>
      <xdr:blipFill>
        <a:blip xmlns:r="http://schemas.openxmlformats.org/officeDocument/2006/relationships" r:embed="rId2"/>
        <a:stretch>
          <a:fillRect/>
        </a:stretch>
      </xdr:blipFill>
      <xdr:spPr>
        <a:xfrm flipV="1">
          <a:off x="12801600" y="14050890"/>
          <a:ext cx="228600" cy="604911"/>
        </a:xfrm>
        <a:prstGeom prst="rect">
          <a:avLst/>
        </a:prstGeom>
      </xdr:spPr>
    </xdr:pic>
    <xdr:clientData/>
  </xdr:oneCellAnchor>
  <xdr:twoCellAnchor>
    <xdr:from>
      <xdr:col>29</xdr:col>
      <xdr:colOff>221672</xdr:colOff>
      <xdr:row>47</xdr:row>
      <xdr:rowOff>27708</xdr:rowOff>
    </xdr:from>
    <xdr:to>
      <xdr:col>56</xdr:col>
      <xdr:colOff>221672</xdr:colOff>
      <xdr:row>63</xdr:row>
      <xdr:rowOff>27709</xdr:rowOff>
    </xdr:to>
    <xdr:graphicFrame macro="">
      <xdr:nvGraphicFramePr>
        <xdr:cNvPr id="5" name="Chart 4">
          <a:extLst>
            <a:ext uri="{FF2B5EF4-FFF2-40B4-BE49-F238E27FC236}">
              <a16:creationId xmlns:a16="http://schemas.microsoft.com/office/drawing/2014/main" id="{00000000-0008-0000-1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56</xdr:col>
      <xdr:colOff>0</xdr:colOff>
      <xdr:row>105</xdr:row>
      <xdr:rowOff>140157</xdr:rowOff>
    </xdr:from>
    <xdr:ext cx="228600" cy="604911"/>
    <xdr:pic>
      <xdr:nvPicPr>
        <xdr:cNvPr id="17" name="Picture 16">
          <a:extLst>
            <a:ext uri="{FF2B5EF4-FFF2-40B4-BE49-F238E27FC236}">
              <a16:creationId xmlns:a16="http://schemas.microsoft.com/office/drawing/2014/main" id="{00000000-0008-0000-1400-000011000000}"/>
            </a:ext>
          </a:extLst>
        </xdr:cNvPr>
        <xdr:cNvPicPr>
          <a:picLocks noChangeAspect="1"/>
        </xdr:cNvPicPr>
      </xdr:nvPicPr>
      <xdr:blipFill>
        <a:blip xmlns:r="http://schemas.openxmlformats.org/officeDocument/2006/relationships" r:embed="rId2"/>
        <a:stretch>
          <a:fillRect/>
        </a:stretch>
      </xdr:blipFill>
      <xdr:spPr>
        <a:xfrm flipV="1">
          <a:off x="12277725" y="22971582"/>
          <a:ext cx="228600" cy="604911"/>
        </a:xfrm>
        <a:prstGeom prst="rect">
          <a:avLst/>
        </a:prstGeom>
      </xdr:spPr>
    </xdr:pic>
    <xdr:clientData/>
  </xdr:oneCellAnchor>
  <xdr:oneCellAnchor>
    <xdr:from>
      <xdr:col>56</xdr:col>
      <xdr:colOff>0</xdr:colOff>
      <xdr:row>105</xdr:row>
      <xdr:rowOff>140157</xdr:rowOff>
    </xdr:from>
    <xdr:ext cx="228600" cy="604911"/>
    <xdr:pic>
      <xdr:nvPicPr>
        <xdr:cNvPr id="28" name="Picture 27">
          <a:extLst>
            <a:ext uri="{FF2B5EF4-FFF2-40B4-BE49-F238E27FC236}">
              <a16:creationId xmlns:a16="http://schemas.microsoft.com/office/drawing/2014/main" id="{00000000-0008-0000-1400-00001C000000}"/>
            </a:ext>
          </a:extLst>
        </xdr:cNvPr>
        <xdr:cNvPicPr>
          <a:picLocks noChangeAspect="1"/>
        </xdr:cNvPicPr>
      </xdr:nvPicPr>
      <xdr:blipFill>
        <a:blip xmlns:r="http://schemas.openxmlformats.org/officeDocument/2006/relationships" r:embed="rId2"/>
        <a:stretch>
          <a:fillRect/>
        </a:stretch>
      </xdr:blipFill>
      <xdr:spPr>
        <a:xfrm flipV="1">
          <a:off x="12277725" y="22971582"/>
          <a:ext cx="228600" cy="604911"/>
        </a:xfrm>
        <a:prstGeom prst="rect">
          <a:avLst/>
        </a:prstGeom>
      </xdr:spPr>
    </xdr:pic>
    <xdr:clientData/>
  </xdr:oneCellAnchor>
  <xdr:oneCellAnchor>
    <xdr:from>
      <xdr:col>56</xdr:col>
      <xdr:colOff>0</xdr:colOff>
      <xdr:row>105</xdr:row>
      <xdr:rowOff>140157</xdr:rowOff>
    </xdr:from>
    <xdr:ext cx="228600" cy="604911"/>
    <xdr:pic>
      <xdr:nvPicPr>
        <xdr:cNvPr id="38" name="Picture 37">
          <a:extLst>
            <a:ext uri="{FF2B5EF4-FFF2-40B4-BE49-F238E27FC236}">
              <a16:creationId xmlns:a16="http://schemas.microsoft.com/office/drawing/2014/main" id="{00000000-0008-0000-1400-000026000000}"/>
            </a:ext>
          </a:extLst>
        </xdr:cNvPr>
        <xdr:cNvPicPr>
          <a:picLocks noChangeAspect="1"/>
        </xdr:cNvPicPr>
      </xdr:nvPicPr>
      <xdr:blipFill>
        <a:blip xmlns:r="http://schemas.openxmlformats.org/officeDocument/2006/relationships" r:embed="rId2"/>
        <a:stretch>
          <a:fillRect/>
        </a:stretch>
      </xdr:blipFill>
      <xdr:spPr>
        <a:xfrm flipV="1">
          <a:off x="12277725" y="22971582"/>
          <a:ext cx="228600" cy="604911"/>
        </a:xfrm>
        <a:prstGeom prst="rect">
          <a:avLst/>
        </a:prstGeom>
      </xdr:spPr>
    </xdr:pic>
    <xdr:clientData/>
  </xdr:oneCellAnchor>
  <xdr:twoCellAnchor>
    <xdr:from>
      <xdr:col>0</xdr:col>
      <xdr:colOff>250779</xdr:colOff>
      <xdr:row>47</xdr:row>
      <xdr:rowOff>18336</xdr:rowOff>
    </xdr:from>
    <xdr:to>
      <xdr:col>28</xdr:col>
      <xdr:colOff>9780</xdr:colOff>
      <xdr:row>63</xdr:row>
      <xdr:rowOff>18337</xdr:rowOff>
    </xdr:to>
    <xdr:graphicFrame macro="">
      <xdr:nvGraphicFramePr>
        <xdr:cNvPr id="39" name="Chart 38">
          <a:extLst>
            <a:ext uri="{FF2B5EF4-FFF2-40B4-BE49-F238E27FC236}">
              <a16:creationId xmlns:a16="http://schemas.microsoft.com/office/drawing/2014/main" id="{00000000-0008-0000-14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239486</xdr:colOff>
      <xdr:row>70</xdr:row>
      <xdr:rowOff>32657</xdr:rowOff>
    </xdr:from>
    <xdr:to>
      <xdr:col>27</xdr:col>
      <xdr:colOff>217715</xdr:colOff>
      <xdr:row>86</xdr:row>
      <xdr:rowOff>76200</xdr:rowOff>
    </xdr:to>
    <xdr:graphicFrame macro="">
      <xdr:nvGraphicFramePr>
        <xdr:cNvPr id="41" name="Chart 40">
          <a:extLst>
            <a:ext uri="{FF2B5EF4-FFF2-40B4-BE49-F238E27FC236}">
              <a16:creationId xmlns:a16="http://schemas.microsoft.com/office/drawing/2014/main" id="{00000000-0008-0000-14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10885</xdr:colOff>
      <xdr:row>70</xdr:row>
      <xdr:rowOff>32656</xdr:rowOff>
    </xdr:from>
    <xdr:to>
      <xdr:col>57</xdr:col>
      <xdr:colOff>10885</xdr:colOff>
      <xdr:row>86</xdr:row>
      <xdr:rowOff>76200</xdr:rowOff>
    </xdr:to>
    <xdr:graphicFrame macro="">
      <xdr:nvGraphicFramePr>
        <xdr:cNvPr id="42" name="Chart 41">
          <a:extLst>
            <a:ext uri="{FF2B5EF4-FFF2-40B4-BE49-F238E27FC236}">
              <a16:creationId xmlns:a16="http://schemas.microsoft.com/office/drawing/2014/main" id="{00000000-0008-0000-14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18704</xdr:colOff>
      <xdr:row>92</xdr:row>
      <xdr:rowOff>173875</xdr:rowOff>
    </xdr:from>
    <xdr:to>
      <xdr:col>56</xdr:col>
      <xdr:colOff>322728</xdr:colOff>
      <xdr:row>108</xdr:row>
      <xdr:rowOff>169025</xdr:rowOff>
    </xdr:to>
    <xdr:graphicFrame macro="">
      <xdr:nvGraphicFramePr>
        <xdr:cNvPr id="44" name="Chart 43">
          <a:extLst>
            <a:ext uri="{FF2B5EF4-FFF2-40B4-BE49-F238E27FC236}">
              <a16:creationId xmlns:a16="http://schemas.microsoft.com/office/drawing/2014/main" id="{00000000-0008-0000-14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1</xdr:colOff>
      <xdr:row>116</xdr:row>
      <xdr:rowOff>27214</xdr:rowOff>
    </xdr:from>
    <xdr:to>
      <xdr:col>56</xdr:col>
      <xdr:colOff>231422</xdr:colOff>
      <xdr:row>132</xdr:row>
      <xdr:rowOff>44825</xdr:rowOff>
    </xdr:to>
    <xdr:graphicFrame macro="">
      <xdr:nvGraphicFramePr>
        <xdr:cNvPr id="25" name="Chart 24">
          <a:extLst>
            <a:ext uri="{FF2B5EF4-FFF2-40B4-BE49-F238E27FC236}">
              <a16:creationId xmlns:a16="http://schemas.microsoft.com/office/drawing/2014/main" id="{7041FBC4-D551-4EC1-9C9E-3B43326E0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239165</xdr:colOff>
      <xdr:row>116</xdr:row>
      <xdr:rowOff>16010</xdr:rowOff>
    </xdr:from>
    <xdr:to>
      <xdr:col>28</xdr:col>
      <xdr:colOff>57174</xdr:colOff>
      <xdr:row>132</xdr:row>
      <xdr:rowOff>68517</xdr:rowOff>
    </xdr:to>
    <xdr:graphicFrame macro="">
      <xdr:nvGraphicFramePr>
        <xdr:cNvPr id="26" name="Chart 25">
          <a:extLst>
            <a:ext uri="{FF2B5EF4-FFF2-40B4-BE49-F238E27FC236}">
              <a16:creationId xmlns:a16="http://schemas.microsoft.com/office/drawing/2014/main" id="{A3F53EFE-1DB7-44EB-B33D-C0CA33AD4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56</xdr:col>
      <xdr:colOff>60960</xdr:colOff>
      <xdr:row>105</xdr:row>
      <xdr:rowOff>144780</xdr:rowOff>
    </xdr:from>
    <xdr:to>
      <xdr:col>56</xdr:col>
      <xdr:colOff>285745</xdr:colOff>
      <xdr:row>108</xdr:row>
      <xdr:rowOff>158888</xdr:rowOff>
    </xdr:to>
    <xdr:pic>
      <xdr:nvPicPr>
        <xdr:cNvPr id="3" name="Picture 2">
          <a:extLst>
            <a:ext uri="{FF2B5EF4-FFF2-40B4-BE49-F238E27FC236}">
              <a16:creationId xmlns:a16="http://schemas.microsoft.com/office/drawing/2014/main" id="{461360C0-6EAC-A282-F620-5627C29BED18}"/>
            </a:ext>
          </a:extLst>
        </xdr:cNvPr>
        <xdr:cNvPicPr>
          <a:picLocks noChangeAspect="1"/>
        </xdr:cNvPicPr>
      </xdr:nvPicPr>
      <xdr:blipFill>
        <a:blip xmlns:r="http://schemas.openxmlformats.org/officeDocument/2006/relationships" r:embed="rId2"/>
        <a:stretch>
          <a:fillRect/>
        </a:stretch>
      </xdr:blipFill>
      <xdr:spPr>
        <a:xfrm>
          <a:off x="12915900" y="22349460"/>
          <a:ext cx="228595" cy="591323"/>
        </a:xfrm>
        <a:prstGeom prst="rect">
          <a:avLst/>
        </a:prstGeom>
      </xdr:spPr>
    </xdr:pic>
    <xdr:clientData/>
  </xdr:twoCellAnchor>
  <xdr:twoCellAnchor>
    <xdr:from>
      <xdr:col>1</xdr:col>
      <xdr:colOff>1</xdr:colOff>
      <xdr:row>92</xdr:row>
      <xdr:rowOff>174171</xdr:rowOff>
    </xdr:from>
    <xdr:to>
      <xdr:col>28</xdr:col>
      <xdr:colOff>1</xdr:colOff>
      <xdr:row>109</xdr:row>
      <xdr:rowOff>21772</xdr:rowOff>
    </xdr:to>
    <xdr:graphicFrame macro="">
      <xdr:nvGraphicFramePr>
        <xdr:cNvPr id="2" name="Chart 1">
          <a:extLst>
            <a:ext uri="{FF2B5EF4-FFF2-40B4-BE49-F238E27FC236}">
              <a16:creationId xmlns:a16="http://schemas.microsoft.com/office/drawing/2014/main" id="{8F1A8348-9C1E-47AB-9541-19BE262C85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1</xdr:col>
      <xdr:colOff>96908</xdr:colOff>
      <xdr:row>98</xdr:row>
      <xdr:rowOff>37656</xdr:rowOff>
    </xdr:from>
    <xdr:ext cx="264560" cy="733534"/>
    <xdr:sp macro="" textlink="">
      <xdr:nvSpPr>
        <xdr:cNvPr id="6" name="TextBox 5">
          <a:extLst>
            <a:ext uri="{FF2B5EF4-FFF2-40B4-BE49-F238E27FC236}">
              <a16:creationId xmlns:a16="http://schemas.microsoft.com/office/drawing/2014/main" id="{15B5AB22-2F5C-C36A-0355-F452E097DC1D}"/>
            </a:ext>
          </a:extLst>
        </xdr:cNvPr>
        <xdr:cNvSpPr txBox="1"/>
      </xdr:nvSpPr>
      <xdr:spPr>
        <a:xfrm rot="16200000">
          <a:off x="112792" y="22141543"/>
          <a:ext cx="73353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50" b="1"/>
            <a:t>Cost in $s</a:t>
          </a:r>
        </a:p>
      </xdr:txBody>
    </xdr:sp>
    <xdr:clientData/>
  </xdr:oneCellAnchor>
  <xdr:twoCellAnchor editAs="oneCell">
    <xdr:from>
      <xdr:col>27</xdr:col>
      <xdr:colOff>7620</xdr:colOff>
      <xdr:row>129</xdr:row>
      <xdr:rowOff>68580</xdr:rowOff>
    </xdr:from>
    <xdr:to>
      <xdr:col>28</xdr:col>
      <xdr:colOff>3805</xdr:colOff>
      <xdr:row>132</xdr:row>
      <xdr:rowOff>82688</xdr:rowOff>
    </xdr:to>
    <xdr:pic>
      <xdr:nvPicPr>
        <xdr:cNvPr id="4" name="Picture 3">
          <a:extLst>
            <a:ext uri="{FF2B5EF4-FFF2-40B4-BE49-F238E27FC236}">
              <a16:creationId xmlns:a16="http://schemas.microsoft.com/office/drawing/2014/main" id="{1799C3E3-6A8E-4845-ADC7-1530FAD3A65B}"/>
            </a:ext>
          </a:extLst>
        </xdr:cNvPr>
        <xdr:cNvPicPr>
          <a:picLocks noChangeAspect="1"/>
        </xdr:cNvPicPr>
      </xdr:nvPicPr>
      <xdr:blipFill>
        <a:blip xmlns:r="http://schemas.openxmlformats.org/officeDocument/2006/relationships" r:embed="rId2"/>
        <a:stretch>
          <a:fillRect/>
        </a:stretch>
      </xdr:blipFill>
      <xdr:spPr>
        <a:xfrm>
          <a:off x="6271260" y="27310080"/>
          <a:ext cx="224785" cy="585608"/>
        </a:xfrm>
        <a:prstGeom prst="rect">
          <a:avLst/>
        </a:prstGeom>
      </xdr:spPr>
    </xdr:pic>
    <xdr:clientData/>
  </xdr:twoCellAnchor>
</xdr:wsDr>
</file>

<file path=xl/drawings/drawing21.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22.xml><?xml version="1.0" encoding="utf-8"?>
<c:userShapes xmlns:c="http://schemas.openxmlformats.org/drawingml/2006/chart">
  <cdr:relSizeAnchor xmlns:cdr="http://schemas.openxmlformats.org/drawingml/2006/chartDrawing">
    <cdr:from>
      <cdr:x>0.96444</cdr:x>
      <cdr:y>0.79864</cdr:y>
    </cdr:from>
    <cdr:to>
      <cdr:x>1</cdr:x>
      <cdr:y>1</cdr:y>
    </cdr:to>
    <cdr:pic>
      <cdr:nvPicPr>
        <cdr:cNvPr id="3" name="Picture 2">
          <a:extLst xmlns:a="http://schemas.openxmlformats.org/drawingml/2006/main">
            <a:ext uri="{FF2B5EF4-FFF2-40B4-BE49-F238E27FC236}">
              <a16:creationId xmlns:a16="http://schemas.microsoft.com/office/drawing/2014/main" id="{00000000-0008-0000-0E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386946" y="2301466"/>
          <a:ext cx="235527" cy="580280"/>
        </a:xfrm>
        <a:prstGeom xmlns:a="http://schemas.openxmlformats.org/drawingml/2006/main" prst="rect">
          <a:avLst/>
        </a:prstGeom>
      </cdr:spPr>
    </cdr:pic>
  </cdr:relSizeAnchor>
</c:userShapes>
</file>

<file path=xl/drawings/drawing23.xml><?xml version="1.0" encoding="utf-8"?>
<c:userShapes xmlns:c="http://schemas.openxmlformats.org/drawingml/2006/chart">
  <cdr:relSizeAnchor xmlns:cdr="http://schemas.openxmlformats.org/drawingml/2006/chartDrawing">
    <cdr:from>
      <cdr:x>0.96436</cdr:x>
      <cdr:y>0.80056</cdr:y>
    </cdr:from>
    <cdr:to>
      <cdr:x>1</cdr:x>
      <cdr:y>1</cdr:y>
    </cdr:to>
    <cdr:pic>
      <cdr:nvPicPr>
        <cdr:cNvPr id="4" name="Picture 3">
          <a:extLst xmlns:a="http://schemas.openxmlformats.org/drawingml/2006/main">
            <a:ext uri="{FF2B5EF4-FFF2-40B4-BE49-F238E27FC236}">
              <a16:creationId xmlns:a16="http://schemas.microsoft.com/office/drawing/2014/main" id="{00000000-0008-0000-0E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132610" y="2329186"/>
          <a:ext cx="226627" cy="580268"/>
        </a:xfrm>
        <a:prstGeom xmlns:a="http://schemas.openxmlformats.org/drawingml/2006/main" prst="rect">
          <a:avLst/>
        </a:prstGeom>
      </cdr:spPr>
    </cdr:pic>
  </cdr:relSizeAnchor>
</c:userShapes>
</file>

<file path=xl/drawings/drawing24.xml><?xml version="1.0" encoding="utf-8"?>
<c:userShapes xmlns:c="http://schemas.openxmlformats.org/drawingml/2006/chart">
  <cdr:relSizeAnchor xmlns:cdr="http://schemas.openxmlformats.org/drawingml/2006/chartDrawing">
    <cdr:from>
      <cdr:x>0.9599</cdr:x>
      <cdr:y>0.8</cdr:y>
    </cdr:from>
    <cdr:to>
      <cdr:x>0.99635</cdr:x>
      <cdr:y>1</cdr:y>
    </cdr:to>
    <cdr:pic>
      <cdr:nvPicPr>
        <cdr:cNvPr id="2" name="Picture 1">
          <a:extLst xmlns:a="http://schemas.openxmlformats.org/drawingml/2006/main">
            <a:ext uri="{FF2B5EF4-FFF2-40B4-BE49-F238E27FC236}">
              <a16:creationId xmlns:a16="http://schemas.microsoft.com/office/drawing/2014/main" id="{461360C0-6EAC-A282-F620-5627C29BED18}"/>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6019805" y="2365238"/>
          <a:ext cx="228595" cy="591323"/>
        </a:xfrm>
        <a:prstGeom xmlns:a="http://schemas.openxmlformats.org/drawingml/2006/main" prst="rect">
          <a:avLst/>
        </a:prstGeom>
      </cdr:spPr>
    </cdr:pic>
  </cdr:relSizeAnchor>
</c:userShapes>
</file>

<file path=xl/drawings/drawing25.xml><?xml version="1.0" encoding="utf-8"?>
<c:userShapes xmlns:c="http://schemas.openxmlformats.org/drawingml/2006/chart">
  <cdr:relSizeAnchor xmlns:cdr="http://schemas.openxmlformats.org/drawingml/2006/chartDrawing">
    <cdr:from>
      <cdr:x>0.96436</cdr:x>
      <cdr:y>0.80056</cdr:y>
    </cdr:from>
    <cdr:to>
      <cdr:x>1</cdr:x>
      <cdr:y>1</cdr:y>
    </cdr:to>
    <cdr:pic>
      <cdr:nvPicPr>
        <cdr:cNvPr id="4" name="Picture 3">
          <a:extLst xmlns:a="http://schemas.openxmlformats.org/drawingml/2006/main">
            <a:ext uri="{FF2B5EF4-FFF2-40B4-BE49-F238E27FC236}">
              <a16:creationId xmlns:a16="http://schemas.microsoft.com/office/drawing/2014/main" id="{00000000-0008-0000-0E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132610" y="2329186"/>
          <a:ext cx="226627" cy="580268"/>
        </a:xfrm>
        <a:prstGeom xmlns:a="http://schemas.openxmlformats.org/drawingml/2006/main" prst="rect">
          <a:avLst/>
        </a:prstGeom>
      </cdr:spPr>
    </cdr:pic>
  </cdr:relSizeAnchor>
</c:userShapes>
</file>

<file path=xl/drawings/drawing26.xml><?xml version="1.0" encoding="utf-8"?>
<xdr:wsDr xmlns:xdr="http://schemas.openxmlformats.org/drawingml/2006/spreadsheetDrawing" xmlns:a="http://schemas.openxmlformats.org/drawingml/2006/main">
  <xdr:twoCellAnchor editAs="oneCell">
    <xdr:from>
      <xdr:col>49</xdr:col>
      <xdr:colOff>47625</xdr:colOff>
      <xdr:row>0</xdr:row>
      <xdr:rowOff>9525</xdr:rowOff>
    </xdr:from>
    <xdr:to>
      <xdr:col>57</xdr:col>
      <xdr:colOff>53341</xdr:colOff>
      <xdr:row>4</xdr:row>
      <xdr:rowOff>134431</xdr:rowOff>
    </xdr:to>
    <xdr:pic>
      <xdr:nvPicPr>
        <xdr:cNvPr id="26" name="Picture 25" descr="Cloud Integration Platform, iPaaS Providers - SnapLogic">
          <a:extLst>
            <a:ext uri="{FF2B5EF4-FFF2-40B4-BE49-F238E27FC236}">
              <a16:creationId xmlns:a16="http://schemas.microsoft.com/office/drawing/2014/main" id="{5DBA2C4E-CC69-4C09-A486-1798192DE87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0</xdr:colOff>
      <xdr:row>55</xdr:row>
      <xdr:rowOff>160477</xdr:rowOff>
    </xdr:from>
    <xdr:to>
      <xdr:col>57</xdr:col>
      <xdr:colOff>732</xdr:colOff>
      <xdr:row>58</xdr:row>
      <xdr:rowOff>152401</xdr:rowOff>
    </xdr:to>
    <xdr:pic>
      <xdr:nvPicPr>
        <xdr:cNvPr id="11" name="Picture 10">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2"/>
        <a:stretch>
          <a:fillRect/>
        </a:stretch>
      </xdr:blipFill>
      <xdr:spPr>
        <a:xfrm>
          <a:off x="12801600" y="11201857"/>
          <a:ext cx="228600" cy="571043"/>
        </a:xfrm>
        <a:prstGeom prst="rect">
          <a:avLst/>
        </a:prstGeom>
      </xdr:spPr>
    </xdr:pic>
    <xdr:clientData/>
  </xdr:twoCellAnchor>
  <xdr:twoCellAnchor editAs="oneCell">
    <xdr:from>
      <xdr:col>27</xdr:col>
      <xdr:colOff>0</xdr:colOff>
      <xdr:row>78</xdr:row>
      <xdr:rowOff>160477</xdr:rowOff>
    </xdr:from>
    <xdr:to>
      <xdr:col>28</xdr:col>
      <xdr:colOff>0</xdr:colOff>
      <xdr:row>81</xdr:row>
      <xdr:rowOff>153610</xdr:rowOff>
    </xdr:to>
    <xdr:pic>
      <xdr:nvPicPr>
        <xdr:cNvPr id="12" name="Picture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2"/>
        <a:stretch>
          <a:fillRect/>
        </a:stretch>
      </xdr:blipFill>
      <xdr:spPr>
        <a:xfrm>
          <a:off x="6172200" y="15408097"/>
          <a:ext cx="228600" cy="571043"/>
        </a:xfrm>
        <a:prstGeom prst="rect">
          <a:avLst/>
        </a:prstGeom>
      </xdr:spPr>
    </xdr:pic>
    <xdr:clientData/>
  </xdr:twoCellAnchor>
  <xdr:twoCellAnchor>
    <xdr:from>
      <xdr:col>1</xdr:col>
      <xdr:colOff>1</xdr:colOff>
      <xdr:row>42</xdr:row>
      <xdr:rowOff>181495</xdr:rowOff>
    </xdr:from>
    <xdr:to>
      <xdr:col>28</xdr:col>
      <xdr:colOff>0</xdr:colOff>
      <xdr:row>58</xdr:row>
      <xdr:rowOff>181495</xdr:rowOff>
    </xdr:to>
    <xdr:graphicFrame macro="">
      <xdr:nvGraphicFramePr>
        <xdr:cNvPr id="2" name="Chart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1285</xdr:colOff>
      <xdr:row>43</xdr:row>
      <xdr:rowOff>0</xdr:rowOff>
    </xdr:from>
    <xdr:to>
      <xdr:col>57</xdr:col>
      <xdr:colOff>8906</xdr:colOff>
      <xdr:row>59</xdr:row>
      <xdr:rowOff>0</xdr:rowOff>
    </xdr:to>
    <xdr:graphicFrame macro="">
      <xdr:nvGraphicFramePr>
        <xdr:cNvPr id="13" name="Chart 12">
          <a:extLst>
            <a:ext uri="{FF2B5EF4-FFF2-40B4-BE49-F238E27FC236}">
              <a16:creationId xmlns:a16="http://schemas.microsoft.com/office/drawing/2014/main" id="{00000000-0008-0000-12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224117</xdr:colOff>
      <xdr:row>66</xdr:row>
      <xdr:rowOff>3841</xdr:rowOff>
    </xdr:from>
    <xdr:to>
      <xdr:col>27</xdr:col>
      <xdr:colOff>224117</xdr:colOff>
      <xdr:row>82</xdr:row>
      <xdr:rowOff>3840</xdr:rowOff>
    </xdr:to>
    <xdr:graphicFrame macro="">
      <xdr:nvGraphicFramePr>
        <xdr:cNvPr id="14" name="Chart 13">
          <a:extLst>
            <a:ext uri="{FF2B5EF4-FFF2-40B4-BE49-F238E27FC236}">
              <a16:creationId xmlns:a16="http://schemas.microsoft.com/office/drawing/2014/main" id="{00000000-0008-0000-12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7.xml><?xml version="1.0" encoding="utf-8"?>
<c:userShapes xmlns:c="http://schemas.openxmlformats.org/drawingml/2006/chart">
  <cdr:relSizeAnchor xmlns:cdr="http://schemas.openxmlformats.org/drawingml/2006/chartDrawing">
    <cdr:from>
      <cdr:x>0.96296</cdr:x>
      <cdr:y>0.80569</cdr:y>
    </cdr:from>
    <cdr:to>
      <cdr:x>1</cdr:x>
      <cdr:y>1</cdr:y>
    </cdr:to>
    <cdr:pic>
      <cdr:nvPicPr>
        <cdr:cNvPr id="3" name="Picture 2">
          <a:extLst xmlns:a="http://schemas.openxmlformats.org/drawingml/2006/main">
            <a:ext uri="{FF2B5EF4-FFF2-40B4-BE49-F238E27FC236}">
              <a16:creationId xmlns:a16="http://schemas.microsoft.com/office/drawing/2014/main" id="{00000000-0008-0000-0F00-00000A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123708" y="2321787"/>
          <a:ext cx="235528" cy="559959"/>
        </a:xfrm>
        <a:prstGeom xmlns:a="http://schemas.openxmlformats.org/drawingml/2006/main" prst="rect">
          <a:avLst/>
        </a:prstGeom>
      </cdr:spPr>
    </cdr:pic>
  </cdr:relSizeAnchor>
</c:userShapes>
</file>

<file path=xl/drawings/drawing28.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29.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30.xml><?xml version="1.0" encoding="utf-8"?>
<xdr:wsDr xmlns:xdr="http://schemas.openxmlformats.org/drawingml/2006/spreadsheetDrawing" xmlns:a="http://schemas.openxmlformats.org/drawingml/2006/main">
  <xdr:twoCellAnchor editAs="oneCell">
    <xdr:from>
      <xdr:col>10</xdr:col>
      <xdr:colOff>213782</xdr:colOff>
      <xdr:row>0</xdr:row>
      <xdr:rowOff>0</xdr:rowOff>
    </xdr:from>
    <xdr:to>
      <xdr:col>13</xdr:col>
      <xdr:colOff>71966</xdr:colOff>
      <xdr:row>6</xdr:row>
      <xdr:rowOff>57151</xdr:rowOff>
    </xdr:to>
    <xdr:pic>
      <xdr:nvPicPr>
        <xdr:cNvPr id="2" name="Picture 1" descr="Cloud Integration Platform, iPaaS Providers - SnapLogic">
          <a:extLst>
            <a:ext uri="{FF2B5EF4-FFF2-40B4-BE49-F238E27FC236}">
              <a16:creationId xmlns:a16="http://schemas.microsoft.com/office/drawing/2014/main" id="{7BB44153-5318-4777-92CB-954281CBCB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56032" y="0"/>
          <a:ext cx="2398184" cy="12001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49</xdr:col>
      <xdr:colOff>47625</xdr:colOff>
      <xdr:row>0</xdr:row>
      <xdr:rowOff>9525</xdr:rowOff>
    </xdr:from>
    <xdr:to>
      <xdr:col>57</xdr:col>
      <xdr:colOff>47626</xdr:colOff>
      <xdr:row>4</xdr:row>
      <xdr:rowOff>170290</xdr:rowOff>
    </xdr:to>
    <xdr:pic>
      <xdr:nvPicPr>
        <xdr:cNvPr id="19" name="Picture 18" descr="Cloud Integration Platform, iPaaS Providers - SnapLogic">
          <a:extLst>
            <a:ext uri="{FF2B5EF4-FFF2-40B4-BE49-F238E27FC236}">
              <a16:creationId xmlns:a16="http://schemas.microsoft.com/office/drawing/2014/main" id="{F1A98B63-B144-4C65-942A-3524B720EB7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49</xdr:col>
      <xdr:colOff>47625</xdr:colOff>
      <xdr:row>0</xdr:row>
      <xdr:rowOff>9525</xdr:rowOff>
    </xdr:from>
    <xdr:to>
      <xdr:col>57</xdr:col>
      <xdr:colOff>64771</xdr:colOff>
      <xdr:row>4</xdr:row>
      <xdr:rowOff>144453</xdr:rowOff>
    </xdr:to>
    <xdr:pic>
      <xdr:nvPicPr>
        <xdr:cNvPr id="30" name="Picture 29" descr="Cloud Integration Platform, iPaaS Providers - SnapLogic">
          <a:extLst>
            <a:ext uri="{FF2B5EF4-FFF2-40B4-BE49-F238E27FC236}">
              <a16:creationId xmlns:a16="http://schemas.microsoft.com/office/drawing/2014/main" id="{65FB68A5-63DB-44F1-BD29-A93A49F00C1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20411</xdr:colOff>
      <xdr:row>34</xdr:row>
      <xdr:rowOff>0</xdr:rowOff>
    </xdr:from>
    <xdr:to>
      <xdr:col>57</xdr:col>
      <xdr:colOff>13608</xdr:colOff>
      <xdr:row>34</xdr:row>
      <xdr:rowOff>0</xdr:rowOff>
    </xdr:to>
    <xdr:graphicFrame macro="">
      <xdr:nvGraphicFramePr>
        <xdr:cNvPr id="3" name="Chart 2">
          <a:extLst>
            <a:ext uri="{FF2B5EF4-FFF2-40B4-BE49-F238E27FC236}">
              <a16:creationId xmlns:a16="http://schemas.microsoft.com/office/drawing/2014/main" id="{5ACA30E9-8B12-4C2B-94F0-89BD3C59F8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2721</xdr:colOff>
      <xdr:row>45</xdr:row>
      <xdr:rowOff>8164</xdr:rowOff>
    </xdr:from>
    <xdr:to>
      <xdr:col>27</xdr:col>
      <xdr:colOff>217715</xdr:colOff>
      <xdr:row>61</xdr:row>
      <xdr:rowOff>16329</xdr:rowOff>
    </xdr:to>
    <xdr:graphicFrame macro="">
      <xdr:nvGraphicFramePr>
        <xdr:cNvPr id="11" name="Chart 10">
          <a:extLst>
            <a:ext uri="{FF2B5EF4-FFF2-40B4-BE49-F238E27FC236}">
              <a16:creationId xmlns:a16="http://schemas.microsoft.com/office/drawing/2014/main" id="{6950183E-B53E-4BC3-A723-2ED48EB809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0</xdr:colOff>
      <xdr:row>45</xdr:row>
      <xdr:rowOff>0</xdr:rowOff>
    </xdr:from>
    <xdr:to>
      <xdr:col>57</xdr:col>
      <xdr:colOff>0</xdr:colOff>
      <xdr:row>61</xdr:row>
      <xdr:rowOff>24493</xdr:rowOff>
    </xdr:to>
    <xdr:graphicFrame macro="">
      <xdr:nvGraphicFramePr>
        <xdr:cNvPr id="12" name="Chart 11">
          <a:extLst>
            <a:ext uri="{FF2B5EF4-FFF2-40B4-BE49-F238E27FC236}">
              <a16:creationId xmlns:a16="http://schemas.microsoft.com/office/drawing/2014/main" id="{3E119DBA-A214-464E-98A2-7A9C697F1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67</xdr:row>
      <xdr:rowOff>182334</xdr:rowOff>
    </xdr:from>
    <xdr:to>
      <xdr:col>27</xdr:col>
      <xdr:colOff>234043</xdr:colOff>
      <xdr:row>84</xdr:row>
      <xdr:rowOff>2720</xdr:rowOff>
    </xdr:to>
    <xdr:graphicFrame macro="">
      <xdr:nvGraphicFramePr>
        <xdr:cNvPr id="13" name="Chart 12">
          <a:extLst>
            <a:ext uri="{FF2B5EF4-FFF2-40B4-BE49-F238E27FC236}">
              <a16:creationId xmlns:a16="http://schemas.microsoft.com/office/drawing/2014/main" id="{666CE6A3-C11C-4B83-9A86-E5B10FC796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0</xdr:colOff>
      <xdr:row>68</xdr:row>
      <xdr:rowOff>0</xdr:rowOff>
    </xdr:from>
    <xdr:to>
      <xdr:col>57</xdr:col>
      <xdr:colOff>10886</xdr:colOff>
      <xdr:row>83</xdr:row>
      <xdr:rowOff>174171</xdr:rowOff>
    </xdr:to>
    <xdr:graphicFrame macro="">
      <xdr:nvGraphicFramePr>
        <xdr:cNvPr id="14" name="Chart 13">
          <a:extLst>
            <a:ext uri="{FF2B5EF4-FFF2-40B4-BE49-F238E27FC236}">
              <a16:creationId xmlns:a16="http://schemas.microsoft.com/office/drawing/2014/main" id="{BDDE5F45-6618-4A62-AC0F-8CD4B6ECEB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91</xdr:row>
      <xdr:rowOff>0</xdr:rowOff>
    </xdr:from>
    <xdr:to>
      <xdr:col>27</xdr:col>
      <xdr:colOff>234043</xdr:colOff>
      <xdr:row>107</xdr:row>
      <xdr:rowOff>16329</xdr:rowOff>
    </xdr:to>
    <xdr:graphicFrame macro="">
      <xdr:nvGraphicFramePr>
        <xdr:cNvPr id="15" name="Chart 14">
          <a:extLst>
            <a:ext uri="{FF2B5EF4-FFF2-40B4-BE49-F238E27FC236}">
              <a16:creationId xmlns:a16="http://schemas.microsoft.com/office/drawing/2014/main" id="{F14DEF33-CF84-411F-B7E0-FA8B46315D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0</xdr:colOff>
      <xdr:row>91</xdr:row>
      <xdr:rowOff>0</xdr:rowOff>
    </xdr:from>
    <xdr:to>
      <xdr:col>57</xdr:col>
      <xdr:colOff>28031</xdr:colOff>
      <xdr:row>107</xdr:row>
      <xdr:rowOff>10885</xdr:rowOff>
    </xdr:to>
    <xdr:graphicFrame macro="">
      <xdr:nvGraphicFramePr>
        <xdr:cNvPr id="16" name="Chart 15">
          <a:extLst>
            <a:ext uri="{FF2B5EF4-FFF2-40B4-BE49-F238E27FC236}">
              <a16:creationId xmlns:a16="http://schemas.microsoft.com/office/drawing/2014/main" id="{266A7D47-1C99-44C4-A370-800D2681F7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55</xdr:col>
      <xdr:colOff>170329</xdr:colOff>
      <xdr:row>58</xdr:row>
      <xdr:rowOff>44823</xdr:rowOff>
    </xdr:from>
    <xdr:to>
      <xdr:col>57</xdr:col>
      <xdr:colOff>2909</xdr:colOff>
      <xdr:row>61</xdr:row>
      <xdr:rowOff>56508</xdr:rowOff>
    </xdr:to>
    <xdr:pic>
      <xdr:nvPicPr>
        <xdr:cNvPr id="2" name="Picture 1">
          <a:extLst>
            <a:ext uri="{FF2B5EF4-FFF2-40B4-BE49-F238E27FC236}">
              <a16:creationId xmlns:a16="http://schemas.microsoft.com/office/drawing/2014/main" id="{E469AC03-0ECD-A886-BF04-BE285002959B}"/>
            </a:ext>
          </a:extLst>
        </xdr:cNvPr>
        <xdr:cNvPicPr>
          <a:picLocks noChangeAspect="1"/>
        </xdr:cNvPicPr>
      </xdr:nvPicPr>
      <xdr:blipFill>
        <a:blip xmlns:r="http://schemas.openxmlformats.org/officeDocument/2006/relationships" r:embed="rId9"/>
        <a:stretch>
          <a:fillRect/>
        </a:stretch>
      </xdr:blipFill>
      <xdr:spPr>
        <a:xfrm>
          <a:off x="13034682" y="12613341"/>
          <a:ext cx="279105" cy="578366"/>
        </a:xfrm>
        <a:prstGeom prst="rect">
          <a:avLst/>
        </a:prstGeom>
      </xdr:spPr>
    </xdr:pic>
    <xdr:clientData/>
  </xdr:twoCellAnchor>
</xdr:wsDr>
</file>

<file path=xl/drawings/drawing33.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34.xml><?xml version="1.0" encoding="utf-8"?>
<c:userShapes xmlns:c="http://schemas.openxmlformats.org/drawingml/2006/chart">
  <cdr:relSizeAnchor xmlns:cdr="http://schemas.openxmlformats.org/drawingml/2006/chartDrawing">
    <cdr:from>
      <cdr:x>0.9634</cdr:x>
      <cdr:y>0.81175</cdr:y>
    </cdr:from>
    <cdr:to>
      <cdr:x>1</cdr:x>
      <cdr:y>1</cdr:y>
    </cdr:to>
    <cdr:pic>
      <cdr:nvPicPr>
        <cdr:cNvPr id="4" name="Picture 3">
          <a:extLst xmlns:a="http://schemas.openxmlformats.org/drawingml/2006/main">
            <a:ext uri="{FF2B5EF4-FFF2-40B4-BE49-F238E27FC236}">
              <a16:creationId xmlns:a16="http://schemas.microsoft.com/office/drawing/2014/main" id="{00000000-0008-0000-1200-00000E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173885" y="2438220"/>
          <a:ext cx="234535" cy="565445"/>
        </a:xfrm>
        <a:prstGeom xmlns:a="http://schemas.openxmlformats.org/drawingml/2006/main" prst="rect">
          <a:avLst/>
        </a:prstGeom>
      </cdr:spPr>
    </cdr:pic>
  </cdr:relSizeAnchor>
</c:userShapes>
</file>

<file path=xl/drawings/drawing35.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36.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37.xml><?xml version="1.0" encoding="utf-8"?>
<xdr:wsDr xmlns:xdr="http://schemas.openxmlformats.org/drawingml/2006/spreadsheetDrawing" xmlns:a="http://schemas.openxmlformats.org/drawingml/2006/main">
  <xdr:twoCellAnchor>
    <xdr:from>
      <xdr:col>1</xdr:col>
      <xdr:colOff>2036</xdr:colOff>
      <xdr:row>39</xdr:row>
      <xdr:rowOff>175218</xdr:rowOff>
    </xdr:from>
    <xdr:to>
      <xdr:col>20</xdr:col>
      <xdr:colOff>106430</xdr:colOff>
      <xdr:row>50</xdr:row>
      <xdr:rowOff>177885</xdr:rowOff>
    </xdr:to>
    <xdr:graphicFrame macro="">
      <xdr:nvGraphicFramePr>
        <xdr:cNvPr id="12" name="Chart 11">
          <a:extLst>
            <a:ext uri="{FF2B5EF4-FFF2-40B4-BE49-F238E27FC236}">
              <a16:creationId xmlns:a16="http://schemas.microsoft.com/office/drawing/2014/main" id="{00000000-0008-0000-1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8966</xdr:colOff>
      <xdr:row>58</xdr:row>
      <xdr:rowOff>3259</xdr:rowOff>
    </xdr:from>
    <xdr:to>
      <xdr:col>49</xdr:col>
      <xdr:colOff>132410</xdr:colOff>
      <xdr:row>69</xdr:row>
      <xdr:rowOff>5926</xdr:rowOff>
    </xdr:to>
    <xdr:graphicFrame macro="">
      <xdr:nvGraphicFramePr>
        <xdr:cNvPr id="15" name="Chart 14">
          <a:extLst>
            <a:ext uri="{FF2B5EF4-FFF2-40B4-BE49-F238E27FC236}">
              <a16:creationId xmlns:a16="http://schemas.microsoft.com/office/drawing/2014/main" id="{00000000-0008-0000-18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217713</xdr:colOff>
      <xdr:row>39</xdr:row>
      <xdr:rowOff>176892</xdr:rowOff>
    </xdr:from>
    <xdr:to>
      <xdr:col>49</xdr:col>
      <xdr:colOff>122082</xdr:colOff>
      <xdr:row>50</xdr:row>
      <xdr:rowOff>179559</xdr:rowOff>
    </xdr:to>
    <xdr:graphicFrame macro="">
      <xdr:nvGraphicFramePr>
        <xdr:cNvPr id="22" name="Chart 21">
          <a:extLst>
            <a:ext uri="{FF2B5EF4-FFF2-40B4-BE49-F238E27FC236}">
              <a16:creationId xmlns:a16="http://schemas.microsoft.com/office/drawing/2014/main" id="{00000000-0008-0000-18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58</xdr:row>
      <xdr:rowOff>0</xdr:rowOff>
    </xdr:from>
    <xdr:to>
      <xdr:col>20</xdr:col>
      <xdr:colOff>104394</xdr:colOff>
      <xdr:row>69</xdr:row>
      <xdr:rowOff>2667</xdr:rowOff>
    </xdr:to>
    <xdr:graphicFrame macro="">
      <xdr:nvGraphicFramePr>
        <xdr:cNvPr id="23" name="Chart 22">
          <a:extLst>
            <a:ext uri="{FF2B5EF4-FFF2-40B4-BE49-F238E27FC236}">
              <a16:creationId xmlns:a16="http://schemas.microsoft.com/office/drawing/2014/main" id="{00000000-0008-0000-18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49</xdr:col>
      <xdr:colOff>47625</xdr:colOff>
      <xdr:row>0</xdr:row>
      <xdr:rowOff>9525</xdr:rowOff>
    </xdr:from>
    <xdr:to>
      <xdr:col>57</xdr:col>
      <xdr:colOff>57151</xdr:colOff>
      <xdr:row>4</xdr:row>
      <xdr:rowOff>170290</xdr:rowOff>
    </xdr:to>
    <xdr:pic>
      <xdr:nvPicPr>
        <xdr:cNvPr id="31" name="Picture 30" descr="Cloud Integration Platform, iPaaS Providers - SnapLogic">
          <a:extLst>
            <a:ext uri="{FF2B5EF4-FFF2-40B4-BE49-F238E27FC236}">
              <a16:creationId xmlns:a16="http://schemas.microsoft.com/office/drawing/2014/main" id="{E300A2D1-ADF3-48D7-8128-91CF256EE96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218516</xdr:colOff>
      <xdr:row>96</xdr:row>
      <xdr:rowOff>12784</xdr:rowOff>
    </xdr:from>
    <xdr:to>
      <xdr:col>49</xdr:col>
      <xdr:colOff>84785</xdr:colOff>
      <xdr:row>107</xdr:row>
      <xdr:rowOff>15451</xdr:rowOff>
    </xdr:to>
    <xdr:graphicFrame macro="">
      <xdr:nvGraphicFramePr>
        <xdr:cNvPr id="14" name="Chart 13">
          <a:extLst>
            <a:ext uri="{FF2B5EF4-FFF2-40B4-BE49-F238E27FC236}">
              <a16:creationId xmlns:a16="http://schemas.microsoft.com/office/drawing/2014/main" id="{6ECEAA36-47CF-4DD0-B282-514876884C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8163</xdr:colOff>
      <xdr:row>95</xdr:row>
      <xdr:rowOff>176892</xdr:rowOff>
    </xdr:from>
    <xdr:to>
      <xdr:col>20</xdr:col>
      <xdr:colOff>112557</xdr:colOff>
      <xdr:row>106</xdr:row>
      <xdr:rowOff>179559</xdr:rowOff>
    </xdr:to>
    <xdr:graphicFrame macro="">
      <xdr:nvGraphicFramePr>
        <xdr:cNvPr id="18" name="Chart 17">
          <a:extLst>
            <a:ext uri="{FF2B5EF4-FFF2-40B4-BE49-F238E27FC236}">
              <a16:creationId xmlns:a16="http://schemas.microsoft.com/office/drawing/2014/main" id="{FDA4111F-1FAA-4DEC-B3E3-C9EDD2F67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9525</xdr:colOff>
      <xdr:row>75</xdr:row>
      <xdr:rowOff>161925</xdr:rowOff>
    </xdr:from>
    <xdr:to>
      <xdr:col>20</xdr:col>
      <xdr:colOff>113919</xdr:colOff>
      <xdr:row>86</xdr:row>
      <xdr:rowOff>164592</xdr:rowOff>
    </xdr:to>
    <xdr:graphicFrame macro="">
      <xdr:nvGraphicFramePr>
        <xdr:cNvPr id="11" name="Chart 10">
          <a:extLst>
            <a:ext uri="{FF2B5EF4-FFF2-40B4-BE49-F238E27FC236}">
              <a16:creationId xmlns:a16="http://schemas.microsoft.com/office/drawing/2014/main" id="{AB0AD932-6422-4A1B-B63A-6C8EE381B4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209550</xdr:colOff>
      <xdr:row>74</xdr:row>
      <xdr:rowOff>0</xdr:rowOff>
    </xdr:from>
    <xdr:to>
      <xdr:col>19</xdr:col>
      <xdr:colOff>0</xdr:colOff>
      <xdr:row>75</xdr:row>
      <xdr:rowOff>19050</xdr:rowOff>
    </xdr:to>
    <xdr:sp macro="" textlink="">
      <xdr:nvSpPr>
        <xdr:cNvPr id="10" name="Rectangle 9">
          <a:extLst>
            <a:ext uri="{FF2B5EF4-FFF2-40B4-BE49-F238E27FC236}">
              <a16:creationId xmlns:a16="http://schemas.microsoft.com/office/drawing/2014/main" id="{4425D261-4E01-40FD-BF55-0CF8B60619CC}"/>
            </a:ext>
          </a:extLst>
        </xdr:cNvPr>
        <xdr:cNvSpPr/>
      </xdr:nvSpPr>
      <xdr:spPr>
        <a:xfrm>
          <a:off x="2200275" y="13315950"/>
          <a:ext cx="2047875" cy="2000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0</xdr:colOff>
      <xdr:row>94</xdr:row>
      <xdr:rowOff>0</xdr:rowOff>
    </xdr:from>
    <xdr:to>
      <xdr:col>16</xdr:col>
      <xdr:colOff>38100</xdr:colOff>
      <xdr:row>95</xdr:row>
      <xdr:rowOff>38100</xdr:rowOff>
    </xdr:to>
    <xdr:sp macro="" textlink="">
      <xdr:nvSpPr>
        <xdr:cNvPr id="13" name="Rectangle 12">
          <a:extLst>
            <a:ext uri="{FF2B5EF4-FFF2-40B4-BE49-F238E27FC236}">
              <a16:creationId xmlns:a16="http://schemas.microsoft.com/office/drawing/2014/main" id="{5313AD42-60A4-409C-9575-01174E334A11}"/>
            </a:ext>
          </a:extLst>
        </xdr:cNvPr>
        <xdr:cNvSpPr/>
      </xdr:nvSpPr>
      <xdr:spPr>
        <a:xfrm>
          <a:off x="2209800" y="16935450"/>
          <a:ext cx="1419225" cy="2190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38100</xdr:colOff>
      <xdr:row>94</xdr:row>
      <xdr:rowOff>0</xdr:rowOff>
    </xdr:from>
    <xdr:to>
      <xdr:col>45</xdr:col>
      <xdr:colOff>28575</xdr:colOff>
      <xdr:row>95</xdr:row>
      <xdr:rowOff>0</xdr:rowOff>
    </xdr:to>
    <xdr:sp macro="" textlink="">
      <xdr:nvSpPr>
        <xdr:cNvPr id="16" name="Rectangle 15">
          <a:extLst>
            <a:ext uri="{FF2B5EF4-FFF2-40B4-BE49-F238E27FC236}">
              <a16:creationId xmlns:a16="http://schemas.microsoft.com/office/drawing/2014/main" id="{C52DC6FE-1BF7-4386-BC2F-0108A842D8DB}"/>
            </a:ext>
          </a:extLst>
        </xdr:cNvPr>
        <xdr:cNvSpPr/>
      </xdr:nvSpPr>
      <xdr:spPr>
        <a:xfrm>
          <a:off x="8496300" y="16935450"/>
          <a:ext cx="1609725" cy="1809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8.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39.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40.xml><?xml version="1.0" encoding="utf-8"?>
<c:userShapes xmlns:c="http://schemas.openxmlformats.org/drawingml/2006/chart">
  <cdr:relSizeAnchor xmlns:cdr="http://schemas.openxmlformats.org/drawingml/2006/chartDrawing">
    <cdr:from>
      <cdr:x>0.96299</cdr:x>
      <cdr:y>0.8124</cdr:y>
    </cdr:from>
    <cdr:to>
      <cdr:x>1</cdr:x>
      <cdr:y>1</cdr:y>
    </cdr:to>
    <cdr:pic>
      <cdr:nvPicPr>
        <cdr:cNvPr id="3" name="Picture 2">
          <a:extLst xmlns:a="http://schemas.openxmlformats.org/drawingml/2006/main">
            <a:ext uri="{FF2B5EF4-FFF2-40B4-BE49-F238E27FC236}">
              <a16:creationId xmlns:a16="http://schemas.microsoft.com/office/drawing/2014/main" id="{00000000-0008-0000-1200-00000E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8394" y="2478068"/>
          <a:ext cx="228601" cy="572251"/>
        </a:xfrm>
        <a:prstGeom xmlns:a="http://schemas.openxmlformats.org/drawingml/2006/main" prst="rect">
          <a:avLst/>
        </a:prstGeom>
      </cdr:spPr>
    </cdr:pic>
  </cdr:relSizeAnchor>
</c:userShapes>
</file>

<file path=xl/drawings/drawing41.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42.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43.xml><?xml version="1.0" encoding="utf-8"?>
<c:userShapes xmlns:c="http://schemas.openxmlformats.org/drawingml/2006/chart">
  <cdr:relSizeAnchor xmlns:cdr="http://schemas.openxmlformats.org/drawingml/2006/chartDrawing">
    <cdr:from>
      <cdr:x>0.96299</cdr:x>
      <cdr:y>0.8124</cdr:y>
    </cdr:from>
    <cdr:to>
      <cdr:x>1</cdr:x>
      <cdr:y>1</cdr:y>
    </cdr:to>
    <cdr:pic>
      <cdr:nvPicPr>
        <cdr:cNvPr id="3" name="Picture 2">
          <a:extLst xmlns:a="http://schemas.openxmlformats.org/drawingml/2006/main">
            <a:ext uri="{FF2B5EF4-FFF2-40B4-BE49-F238E27FC236}">
              <a16:creationId xmlns:a16="http://schemas.microsoft.com/office/drawing/2014/main" id="{00000000-0008-0000-1200-00000E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8394" y="2478068"/>
          <a:ext cx="228601" cy="572251"/>
        </a:xfrm>
        <a:prstGeom xmlns:a="http://schemas.openxmlformats.org/drawingml/2006/main" prst="rect">
          <a:avLst/>
        </a:prstGeom>
      </cdr:spPr>
    </cdr:pic>
  </cdr:relSizeAnchor>
</c:userShapes>
</file>

<file path=xl/drawings/drawing44.xml><?xml version="1.0" encoding="utf-8"?>
<xdr:wsDr xmlns:xdr="http://schemas.openxmlformats.org/drawingml/2006/spreadsheetDrawing" xmlns:a="http://schemas.openxmlformats.org/drawingml/2006/main">
  <xdr:oneCellAnchor>
    <xdr:from>
      <xdr:col>51</xdr:col>
      <xdr:colOff>3051</xdr:colOff>
      <xdr:row>0</xdr:row>
      <xdr:rowOff>148477</xdr:rowOff>
    </xdr:from>
    <xdr:ext cx="1368549" cy="400163"/>
    <xdr:pic>
      <xdr:nvPicPr>
        <xdr:cNvPr id="3" name="Picture 2">
          <a:extLst>
            <a:ext uri="{FF2B5EF4-FFF2-40B4-BE49-F238E27FC236}">
              <a16:creationId xmlns:a16="http://schemas.microsoft.com/office/drawing/2014/main" id="{00000000-0008-0000-1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4" name="Picture 3">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5" name="Picture 4">
          <a:extLst>
            <a:ext uri="{FF2B5EF4-FFF2-40B4-BE49-F238E27FC236}">
              <a16:creationId xmlns:a16="http://schemas.microsoft.com/office/drawing/2014/main" id="{00000000-0008-0000-1A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6" name="Picture 5">
          <a:extLst>
            <a:ext uri="{FF2B5EF4-FFF2-40B4-BE49-F238E27FC236}">
              <a16:creationId xmlns:a16="http://schemas.microsoft.com/office/drawing/2014/main" id="{00000000-0008-0000-1A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7" name="Picture 6">
          <a:extLst>
            <a:ext uri="{FF2B5EF4-FFF2-40B4-BE49-F238E27FC236}">
              <a16:creationId xmlns:a16="http://schemas.microsoft.com/office/drawing/2014/main" id="{00000000-0008-0000-1A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8" name="Picture 7">
          <a:extLst>
            <a:ext uri="{FF2B5EF4-FFF2-40B4-BE49-F238E27FC236}">
              <a16:creationId xmlns:a16="http://schemas.microsoft.com/office/drawing/2014/main" id="{00000000-0008-0000-1A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9" name="Picture 8">
          <a:extLst>
            <a:ext uri="{FF2B5EF4-FFF2-40B4-BE49-F238E27FC236}">
              <a16:creationId xmlns:a16="http://schemas.microsoft.com/office/drawing/2014/main" id="{00000000-0008-0000-1A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0" name="Picture 9">
          <a:extLst>
            <a:ext uri="{FF2B5EF4-FFF2-40B4-BE49-F238E27FC236}">
              <a16:creationId xmlns:a16="http://schemas.microsoft.com/office/drawing/2014/main" id="{00000000-0008-0000-1A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1" name="Picture 10">
          <a:extLst>
            <a:ext uri="{FF2B5EF4-FFF2-40B4-BE49-F238E27FC236}">
              <a16:creationId xmlns:a16="http://schemas.microsoft.com/office/drawing/2014/main" id="{00000000-0008-0000-1A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2" name="Picture 11">
          <a:extLst>
            <a:ext uri="{FF2B5EF4-FFF2-40B4-BE49-F238E27FC236}">
              <a16:creationId xmlns:a16="http://schemas.microsoft.com/office/drawing/2014/main" id="{00000000-0008-0000-1A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3" name="Picture 12">
          <a:extLst>
            <a:ext uri="{FF2B5EF4-FFF2-40B4-BE49-F238E27FC236}">
              <a16:creationId xmlns:a16="http://schemas.microsoft.com/office/drawing/2014/main" id="{00000000-0008-0000-1A00-00000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twoCellAnchor editAs="oneCell">
    <xdr:from>
      <xdr:col>27</xdr:col>
      <xdr:colOff>1</xdr:colOff>
      <xdr:row>58</xdr:row>
      <xdr:rowOff>173540</xdr:rowOff>
    </xdr:from>
    <xdr:to>
      <xdr:col>28</xdr:col>
      <xdr:colOff>1</xdr:colOff>
      <xdr:row>62</xdr:row>
      <xdr:rowOff>13059</xdr:rowOff>
    </xdr:to>
    <xdr:pic>
      <xdr:nvPicPr>
        <xdr:cNvPr id="18" name="Picture 17">
          <a:extLst>
            <a:ext uri="{FF2B5EF4-FFF2-40B4-BE49-F238E27FC236}">
              <a16:creationId xmlns:a16="http://schemas.microsoft.com/office/drawing/2014/main" id="{00000000-0008-0000-1A00-000012000000}"/>
            </a:ext>
          </a:extLst>
        </xdr:cNvPr>
        <xdr:cNvPicPr>
          <a:picLocks noChangeAspect="1"/>
        </xdr:cNvPicPr>
      </xdr:nvPicPr>
      <xdr:blipFill>
        <a:blip xmlns:r="http://schemas.openxmlformats.org/officeDocument/2006/relationships" r:embed="rId2"/>
        <a:stretch>
          <a:fillRect/>
        </a:stretch>
      </xdr:blipFill>
      <xdr:spPr>
        <a:xfrm flipV="1">
          <a:off x="6172201" y="11951883"/>
          <a:ext cx="228600" cy="579751"/>
        </a:xfrm>
        <a:prstGeom prst="rect">
          <a:avLst/>
        </a:prstGeom>
      </xdr:spPr>
    </xdr:pic>
    <xdr:clientData/>
  </xdr:twoCellAnchor>
  <xdr:twoCellAnchor>
    <xdr:from>
      <xdr:col>1</xdr:col>
      <xdr:colOff>0</xdr:colOff>
      <xdr:row>46</xdr:row>
      <xdr:rowOff>0</xdr:rowOff>
    </xdr:from>
    <xdr:to>
      <xdr:col>28</xdr:col>
      <xdr:colOff>7620</xdr:colOff>
      <xdr:row>61</xdr:row>
      <xdr:rowOff>182879</xdr:rowOff>
    </xdr:to>
    <xdr:graphicFrame macro="">
      <xdr:nvGraphicFramePr>
        <xdr:cNvPr id="19" name="Chart 18">
          <a:extLst>
            <a:ext uri="{FF2B5EF4-FFF2-40B4-BE49-F238E27FC236}">
              <a16:creationId xmlns:a16="http://schemas.microsoft.com/office/drawing/2014/main" id="{00000000-0008-0000-1A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5.xml><?xml version="1.0" encoding="utf-8"?>
<c:userShapes xmlns:c="http://schemas.openxmlformats.org/drawingml/2006/chart">
  <cdr:relSizeAnchor xmlns:cdr="http://schemas.openxmlformats.org/drawingml/2006/chartDrawing">
    <cdr:from>
      <cdr:x>0.96301</cdr:x>
      <cdr:y>0.80484</cdr:y>
    </cdr:from>
    <cdr:to>
      <cdr:x>1</cdr:x>
      <cdr:y>1</cdr:y>
    </cdr:to>
    <cdr:pic>
      <cdr:nvPicPr>
        <cdr:cNvPr id="3" name="Picture 2">
          <a:extLst xmlns:a="http://schemas.openxmlformats.org/drawingml/2006/main">
            <a:ext uri="{FF2B5EF4-FFF2-40B4-BE49-F238E27FC236}">
              <a16:creationId xmlns:a16="http://schemas.microsoft.com/office/drawing/2014/main" id="{00000000-0008-0000-1700-000011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51220" y="2355037"/>
          <a:ext cx="228600" cy="571042"/>
        </a:xfrm>
        <a:prstGeom xmlns:a="http://schemas.openxmlformats.org/drawingml/2006/main" prst="rect">
          <a:avLst/>
        </a:prstGeom>
      </cdr:spPr>
    </cdr:pic>
  </cdr:relSizeAnchor>
</c:userShapes>
</file>

<file path=xl/drawings/drawing46.xml><?xml version="1.0" encoding="utf-8"?>
<xdr:wsDr xmlns:xdr="http://schemas.openxmlformats.org/drawingml/2006/spreadsheetDrawing" xmlns:a="http://schemas.openxmlformats.org/drawingml/2006/main">
  <xdr:oneCellAnchor>
    <xdr:from>
      <xdr:col>51</xdr:col>
      <xdr:colOff>3051</xdr:colOff>
      <xdr:row>0</xdr:row>
      <xdr:rowOff>148477</xdr:rowOff>
    </xdr:from>
    <xdr:ext cx="1368549" cy="400163"/>
    <xdr:pic>
      <xdr:nvPicPr>
        <xdr:cNvPr id="3" name="Picture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7" name="Picture 6">
          <a:extLst>
            <a:ext uri="{FF2B5EF4-FFF2-40B4-BE49-F238E27FC236}">
              <a16:creationId xmlns:a16="http://schemas.microsoft.com/office/drawing/2014/main" id="{00000000-0008-0000-1B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8" name="Picture 7">
          <a:extLst>
            <a:ext uri="{FF2B5EF4-FFF2-40B4-BE49-F238E27FC236}">
              <a16:creationId xmlns:a16="http://schemas.microsoft.com/office/drawing/2014/main" id="{00000000-0008-0000-1B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9" name="Picture 8">
          <a:extLst>
            <a:ext uri="{FF2B5EF4-FFF2-40B4-BE49-F238E27FC236}">
              <a16:creationId xmlns:a16="http://schemas.microsoft.com/office/drawing/2014/main" id="{00000000-0008-0000-1B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0" name="Picture 9">
          <a:extLst>
            <a:ext uri="{FF2B5EF4-FFF2-40B4-BE49-F238E27FC236}">
              <a16:creationId xmlns:a16="http://schemas.microsoft.com/office/drawing/2014/main" id="{00000000-0008-0000-1B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1" name="Picture 10">
          <a:extLst>
            <a:ext uri="{FF2B5EF4-FFF2-40B4-BE49-F238E27FC236}">
              <a16:creationId xmlns:a16="http://schemas.microsoft.com/office/drawing/2014/main" id="{00000000-0008-0000-1B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2" name="Picture 11">
          <a:extLst>
            <a:ext uri="{FF2B5EF4-FFF2-40B4-BE49-F238E27FC236}">
              <a16:creationId xmlns:a16="http://schemas.microsoft.com/office/drawing/2014/main" id="{00000000-0008-0000-1B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3" name="Picture 12">
          <a:extLst>
            <a:ext uri="{FF2B5EF4-FFF2-40B4-BE49-F238E27FC236}">
              <a16:creationId xmlns:a16="http://schemas.microsoft.com/office/drawing/2014/main" id="{00000000-0008-0000-1B00-00000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4" name="Picture 13">
          <a:extLst>
            <a:ext uri="{FF2B5EF4-FFF2-40B4-BE49-F238E27FC236}">
              <a16:creationId xmlns:a16="http://schemas.microsoft.com/office/drawing/2014/main" id="{00000000-0008-0000-1B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5" name="Picture 14">
          <a:extLst>
            <a:ext uri="{FF2B5EF4-FFF2-40B4-BE49-F238E27FC236}">
              <a16:creationId xmlns:a16="http://schemas.microsoft.com/office/drawing/2014/main" id="{00000000-0008-0000-1B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twoCellAnchor editAs="oneCell">
    <xdr:from>
      <xdr:col>27</xdr:col>
      <xdr:colOff>0</xdr:colOff>
      <xdr:row>59</xdr:row>
      <xdr:rowOff>160477</xdr:rowOff>
    </xdr:from>
    <xdr:to>
      <xdr:col>28</xdr:col>
      <xdr:colOff>0</xdr:colOff>
      <xdr:row>63</xdr:row>
      <xdr:rowOff>4618</xdr:rowOff>
    </xdr:to>
    <xdr:pic>
      <xdr:nvPicPr>
        <xdr:cNvPr id="16" name="Picture 15">
          <a:extLst>
            <a:ext uri="{FF2B5EF4-FFF2-40B4-BE49-F238E27FC236}">
              <a16:creationId xmlns:a16="http://schemas.microsoft.com/office/drawing/2014/main" id="{00000000-0008-0000-1B00-000010000000}"/>
            </a:ext>
          </a:extLst>
        </xdr:cNvPr>
        <xdr:cNvPicPr>
          <a:picLocks noChangeAspect="1"/>
        </xdr:cNvPicPr>
      </xdr:nvPicPr>
      <xdr:blipFill>
        <a:blip xmlns:r="http://schemas.openxmlformats.org/officeDocument/2006/relationships" r:embed="rId2"/>
        <a:stretch>
          <a:fillRect/>
        </a:stretch>
      </xdr:blipFill>
      <xdr:spPr>
        <a:xfrm>
          <a:off x="6172200" y="11201857"/>
          <a:ext cx="228600" cy="571043"/>
        </a:xfrm>
        <a:prstGeom prst="rect">
          <a:avLst/>
        </a:prstGeom>
      </xdr:spPr>
    </xdr:pic>
    <xdr:clientData/>
  </xdr:twoCellAnchor>
  <xdr:twoCellAnchor editAs="oneCell">
    <xdr:from>
      <xdr:col>56</xdr:col>
      <xdr:colOff>0</xdr:colOff>
      <xdr:row>59</xdr:row>
      <xdr:rowOff>160477</xdr:rowOff>
    </xdr:from>
    <xdr:to>
      <xdr:col>57</xdr:col>
      <xdr:colOff>732</xdr:colOff>
      <xdr:row>63</xdr:row>
      <xdr:rowOff>4618</xdr:rowOff>
    </xdr:to>
    <xdr:pic>
      <xdr:nvPicPr>
        <xdr:cNvPr id="17" name="Picture 16">
          <a:extLst>
            <a:ext uri="{FF2B5EF4-FFF2-40B4-BE49-F238E27FC236}">
              <a16:creationId xmlns:a16="http://schemas.microsoft.com/office/drawing/2014/main" id="{00000000-0008-0000-1B00-000011000000}"/>
            </a:ext>
          </a:extLst>
        </xdr:cNvPr>
        <xdr:cNvPicPr>
          <a:picLocks noChangeAspect="1"/>
        </xdr:cNvPicPr>
      </xdr:nvPicPr>
      <xdr:blipFill>
        <a:blip xmlns:r="http://schemas.openxmlformats.org/officeDocument/2006/relationships" r:embed="rId2"/>
        <a:stretch>
          <a:fillRect/>
        </a:stretch>
      </xdr:blipFill>
      <xdr:spPr>
        <a:xfrm>
          <a:off x="12801600" y="11201857"/>
          <a:ext cx="228600" cy="571043"/>
        </a:xfrm>
        <a:prstGeom prst="rect">
          <a:avLst/>
        </a:prstGeom>
      </xdr:spPr>
    </xdr:pic>
    <xdr:clientData/>
  </xdr:twoCellAnchor>
  <xdr:twoCellAnchor>
    <xdr:from>
      <xdr:col>0</xdr:col>
      <xdr:colOff>227710</xdr:colOff>
      <xdr:row>47</xdr:row>
      <xdr:rowOff>396</xdr:rowOff>
    </xdr:from>
    <xdr:to>
      <xdr:col>28</xdr:col>
      <xdr:colOff>3266</xdr:colOff>
      <xdr:row>63</xdr:row>
      <xdr:rowOff>117566</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7620</xdr:colOff>
      <xdr:row>47</xdr:row>
      <xdr:rowOff>0</xdr:rowOff>
    </xdr:from>
    <xdr:to>
      <xdr:col>57</xdr:col>
      <xdr:colOff>7620</xdr:colOff>
      <xdr:row>63</xdr:row>
      <xdr:rowOff>114300</xdr:rowOff>
    </xdr:to>
    <xdr:graphicFrame macro="">
      <xdr:nvGraphicFramePr>
        <xdr:cNvPr id="19" name="Chart 18">
          <a:extLst>
            <a:ext uri="{FF2B5EF4-FFF2-40B4-BE49-F238E27FC236}">
              <a16:creationId xmlns:a16="http://schemas.microsoft.com/office/drawing/2014/main" id="{00000000-0008-0000-1B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224790</xdr:colOff>
      <xdr:row>70</xdr:row>
      <xdr:rowOff>1</xdr:rowOff>
    </xdr:from>
    <xdr:to>
      <xdr:col>28</xdr:col>
      <xdr:colOff>0</xdr:colOff>
      <xdr:row>86</xdr:row>
      <xdr:rowOff>114300</xdr:rowOff>
    </xdr:to>
    <xdr:graphicFrame macro="">
      <xdr:nvGraphicFramePr>
        <xdr:cNvPr id="20" name="Chart 19">
          <a:extLst>
            <a:ext uri="{FF2B5EF4-FFF2-40B4-BE49-F238E27FC236}">
              <a16:creationId xmlns:a16="http://schemas.microsoft.com/office/drawing/2014/main" id="{00000000-0008-0000-1B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0</xdr:colOff>
      <xdr:row>70</xdr:row>
      <xdr:rowOff>0</xdr:rowOff>
    </xdr:from>
    <xdr:to>
      <xdr:col>57</xdr:col>
      <xdr:colOff>2450</xdr:colOff>
      <xdr:row>86</xdr:row>
      <xdr:rowOff>114299</xdr:rowOff>
    </xdr:to>
    <xdr:graphicFrame macro="">
      <xdr:nvGraphicFramePr>
        <xdr:cNvPr id="18" name="Chart 17">
          <a:extLst>
            <a:ext uri="{FF2B5EF4-FFF2-40B4-BE49-F238E27FC236}">
              <a16:creationId xmlns:a16="http://schemas.microsoft.com/office/drawing/2014/main" id="{00000000-0008-0000-1B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48.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49.xml><?xml version="1.0" encoding="utf-8"?>
<c:userShapes xmlns:c="http://schemas.openxmlformats.org/drawingml/2006/chart">
  <cdr:relSizeAnchor xmlns:cdr="http://schemas.openxmlformats.org/drawingml/2006/chartDrawing">
    <cdr:from>
      <cdr:x>0.96299</cdr:x>
      <cdr:y>0.81218</cdr:y>
    </cdr:from>
    <cdr:to>
      <cdr:x>1</cdr:x>
      <cdr:y>1</cdr:y>
    </cdr:to>
    <cdr:pic>
      <cdr:nvPicPr>
        <cdr:cNvPr id="3" name="Picture 2">
          <a:extLst xmlns:a="http://schemas.openxmlformats.org/drawingml/2006/main">
            <a:ext uri="{FF2B5EF4-FFF2-40B4-BE49-F238E27FC236}">
              <a16:creationId xmlns:a16="http://schemas.microsoft.com/office/drawing/2014/main" id="{00000000-0008-0000-1500-00001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7410" y="2469337"/>
          <a:ext cx="228600" cy="571043"/>
        </a:xfrm>
        <a:prstGeom xmlns:a="http://schemas.openxmlformats.org/drawingml/2006/main" prst="rect">
          <a:avLst/>
        </a:prstGeom>
      </cdr:spPr>
    </cdr:pic>
  </cdr:relSizeAnchor>
</c:userShapes>
</file>

<file path=xl/drawings/drawing50.xml><?xml version="1.0" encoding="utf-8"?>
<c:userShapes xmlns:c="http://schemas.openxmlformats.org/drawingml/2006/chart">
  <cdr:relSizeAnchor xmlns:cdr="http://schemas.openxmlformats.org/drawingml/2006/chartDrawing">
    <cdr:from>
      <cdr:x>0.96299</cdr:x>
      <cdr:y>0.81218</cdr:y>
    </cdr:from>
    <cdr:to>
      <cdr:x>1</cdr:x>
      <cdr:y>1</cdr:y>
    </cdr:to>
    <cdr:pic>
      <cdr:nvPicPr>
        <cdr:cNvPr id="3" name="Picture 2">
          <a:extLst xmlns:a="http://schemas.openxmlformats.org/drawingml/2006/main">
            <a:ext uri="{FF2B5EF4-FFF2-40B4-BE49-F238E27FC236}">
              <a16:creationId xmlns:a16="http://schemas.microsoft.com/office/drawing/2014/main" id="{00000000-0008-0000-1500-00001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7410" y="2469337"/>
          <a:ext cx="228600" cy="571043"/>
        </a:xfrm>
        <a:prstGeom xmlns:a="http://schemas.openxmlformats.org/drawingml/2006/main" prst="rect">
          <a:avLst/>
        </a:prstGeom>
      </cdr:spPr>
    </cdr:pic>
  </cdr:relSizeAnchor>
</c:userShapes>
</file>

<file path=xl/drawings/drawing51.xml><?xml version="1.0" encoding="utf-8"?>
<xdr:wsDr xmlns:xdr="http://schemas.openxmlformats.org/drawingml/2006/spreadsheetDrawing" xmlns:a="http://schemas.openxmlformats.org/drawingml/2006/main">
  <xdr:oneCellAnchor>
    <xdr:from>
      <xdr:col>51</xdr:col>
      <xdr:colOff>3051</xdr:colOff>
      <xdr:row>0</xdr:row>
      <xdr:rowOff>148477</xdr:rowOff>
    </xdr:from>
    <xdr:ext cx="1368549" cy="400163"/>
    <xdr:pic>
      <xdr:nvPicPr>
        <xdr:cNvPr id="3" name="Picture 2">
          <a:extLst>
            <a:ext uri="{FF2B5EF4-FFF2-40B4-BE49-F238E27FC236}">
              <a16:creationId xmlns:a16="http://schemas.microsoft.com/office/drawing/2014/main" id="{00000000-0008-0000-1C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twoCellAnchor editAs="oneCell">
    <xdr:from>
      <xdr:col>27</xdr:col>
      <xdr:colOff>0</xdr:colOff>
      <xdr:row>59</xdr:row>
      <xdr:rowOff>160477</xdr:rowOff>
    </xdr:from>
    <xdr:to>
      <xdr:col>28</xdr:col>
      <xdr:colOff>0</xdr:colOff>
      <xdr:row>63</xdr:row>
      <xdr:rowOff>0</xdr:rowOff>
    </xdr:to>
    <xdr:pic>
      <xdr:nvPicPr>
        <xdr:cNvPr id="6" name="Picture 5">
          <a:extLst>
            <a:ext uri="{FF2B5EF4-FFF2-40B4-BE49-F238E27FC236}">
              <a16:creationId xmlns:a16="http://schemas.microsoft.com/office/drawing/2014/main" id="{00000000-0008-0000-1C00-000006000000}"/>
            </a:ext>
          </a:extLst>
        </xdr:cNvPr>
        <xdr:cNvPicPr>
          <a:picLocks noChangeAspect="1"/>
        </xdr:cNvPicPr>
      </xdr:nvPicPr>
      <xdr:blipFill>
        <a:blip xmlns:r="http://schemas.openxmlformats.org/officeDocument/2006/relationships" r:embed="rId2"/>
        <a:stretch>
          <a:fillRect/>
        </a:stretch>
      </xdr:blipFill>
      <xdr:spPr>
        <a:xfrm>
          <a:off x="6172200" y="11834317"/>
          <a:ext cx="228600" cy="571043"/>
        </a:xfrm>
        <a:prstGeom prst="rect">
          <a:avLst/>
        </a:prstGeom>
      </xdr:spPr>
    </xdr:pic>
    <xdr:clientData/>
  </xdr:twoCellAnchor>
  <xdr:twoCellAnchor editAs="oneCell">
    <xdr:from>
      <xdr:col>56</xdr:col>
      <xdr:colOff>0</xdr:colOff>
      <xdr:row>59</xdr:row>
      <xdr:rowOff>160477</xdr:rowOff>
    </xdr:from>
    <xdr:to>
      <xdr:col>57</xdr:col>
      <xdr:colOff>0</xdr:colOff>
      <xdr:row>63</xdr:row>
      <xdr:rowOff>0</xdr:rowOff>
    </xdr:to>
    <xdr:pic>
      <xdr:nvPicPr>
        <xdr:cNvPr id="7" name="Picture 6">
          <a:extLst>
            <a:ext uri="{FF2B5EF4-FFF2-40B4-BE49-F238E27FC236}">
              <a16:creationId xmlns:a16="http://schemas.microsoft.com/office/drawing/2014/main" id="{00000000-0008-0000-1C00-000007000000}"/>
            </a:ext>
          </a:extLst>
        </xdr:cNvPr>
        <xdr:cNvPicPr>
          <a:picLocks noChangeAspect="1"/>
        </xdr:cNvPicPr>
      </xdr:nvPicPr>
      <xdr:blipFill>
        <a:blip xmlns:r="http://schemas.openxmlformats.org/officeDocument/2006/relationships" r:embed="rId2"/>
        <a:stretch>
          <a:fillRect/>
        </a:stretch>
      </xdr:blipFill>
      <xdr:spPr>
        <a:xfrm flipV="1">
          <a:off x="12801600" y="11834317"/>
          <a:ext cx="228600" cy="571043"/>
        </a:xfrm>
        <a:prstGeom prst="rect">
          <a:avLst/>
        </a:prstGeom>
      </xdr:spPr>
    </xdr:pic>
    <xdr:clientData/>
  </xdr:twoCellAnchor>
  <xdr:twoCellAnchor editAs="oneCell">
    <xdr:from>
      <xdr:col>56</xdr:col>
      <xdr:colOff>0</xdr:colOff>
      <xdr:row>82</xdr:row>
      <xdr:rowOff>160477</xdr:rowOff>
    </xdr:from>
    <xdr:to>
      <xdr:col>57</xdr:col>
      <xdr:colOff>0</xdr:colOff>
      <xdr:row>86</xdr:row>
      <xdr:rowOff>1</xdr:rowOff>
    </xdr:to>
    <xdr:pic>
      <xdr:nvPicPr>
        <xdr:cNvPr id="10" name="Picture 9">
          <a:extLst>
            <a:ext uri="{FF2B5EF4-FFF2-40B4-BE49-F238E27FC236}">
              <a16:creationId xmlns:a16="http://schemas.microsoft.com/office/drawing/2014/main" id="{00000000-0008-0000-1C00-00000A000000}"/>
            </a:ext>
          </a:extLst>
        </xdr:cNvPr>
        <xdr:cNvPicPr>
          <a:picLocks noChangeAspect="1"/>
        </xdr:cNvPicPr>
      </xdr:nvPicPr>
      <xdr:blipFill>
        <a:blip xmlns:r="http://schemas.openxmlformats.org/officeDocument/2006/relationships" r:embed="rId2"/>
        <a:stretch>
          <a:fillRect/>
        </a:stretch>
      </xdr:blipFill>
      <xdr:spPr>
        <a:xfrm flipV="1">
          <a:off x="12801600" y="16040557"/>
          <a:ext cx="228600" cy="571043"/>
        </a:xfrm>
        <a:prstGeom prst="rect">
          <a:avLst/>
        </a:prstGeom>
      </xdr:spPr>
    </xdr:pic>
    <xdr:clientData/>
  </xdr:twoCellAnchor>
  <xdr:twoCellAnchor editAs="oneCell">
    <xdr:from>
      <xdr:col>27</xdr:col>
      <xdr:colOff>0</xdr:colOff>
      <xdr:row>82</xdr:row>
      <xdr:rowOff>160477</xdr:rowOff>
    </xdr:from>
    <xdr:to>
      <xdr:col>28</xdr:col>
      <xdr:colOff>0</xdr:colOff>
      <xdr:row>86</xdr:row>
      <xdr:rowOff>1</xdr:rowOff>
    </xdr:to>
    <xdr:pic>
      <xdr:nvPicPr>
        <xdr:cNvPr id="11" name="Picture 10">
          <a:extLst>
            <a:ext uri="{FF2B5EF4-FFF2-40B4-BE49-F238E27FC236}">
              <a16:creationId xmlns:a16="http://schemas.microsoft.com/office/drawing/2014/main" id="{00000000-0008-0000-1C00-00000B000000}"/>
            </a:ext>
          </a:extLst>
        </xdr:cNvPr>
        <xdr:cNvPicPr>
          <a:picLocks noChangeAspect="1"/>
        </xdr:cNvPicPr>
      </xdr:nvPicPr>
      <xdr:blipFill>
        <a:blip xmlns:r="http://schemas.openxmlformats.org/officeDocument/2006/relationships" r:embed="rId2"/>
        <a:stretch>
          <a:fillRect/>
        </a:stretch>
      </xdr:blipFill>
      <xdr:spPr>
        <a:xfrm flipV="1">
          <a:off x="6172200" y="16040557"/>
          <a:ext cx="228600" cy="571043"/>
        </a:xfrm>
        <a:prstGeom prst="rect">
          <a:avLst/>
        </a:prstGeom>
      </xdr:spPr>
    </xdr:pic>
    <xdr:clientData/>
  </xdr:twoCellAnchor>
  <xdr:oneCellAnchor>
    <xdr:from>
      <xdr:col>51</xdr:col>
      <xdr:colOff>3051</xdr:colOff>
      <xdr:row>0</xdr:row>
      <xdr:rowOff>148477</xdr:rowOff>
    </xdr:from>
    <xdr:ext cx="1368549" cy="400163"/>
    <xdr:pic>
      <xdr:nvPicPr>
        <xdr:cNvPr id="12" name="Picture 11">
          <a:extLst>
            <a:ext uri="{FF2B5EF4-FFF2-40B4-BE49-F238E27FC236}">
              <a16:creationId xmlns:a16="http://schemas.microsoft.com/office/drawing/2014/main" id="{00000000-0008-0000-1C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3" name="Picture 12">
          <a:extLst>
            <a:ext uri="{FF2B5EF4-FFF2-40B4-BE49-F238E27FC236}">
              <a16:creationId xmlns:a16="http://schemas.microsoft.com/office/drawing/2014/main" id="{00000000-0008-0000-1C00-00000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4" name="Picture 13">
          <a:extLst>
            <a:ext uri="{FF2B5EF4-FFF2-40B4-BE49-F238E27FC236}">
              <a16:creationId xmlns:a16="http://schemas.microsoft.com/office/drawing/2014/main" id="{00000000-0008-0000-1C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5" name="Picture 14">
          <a:extLst>
            <a:ext uri="{FF2B5EF4-FFF2-40B4-BE49-F238E27FC236}">
              <a16:creationId xmlns:a16="http://schemas.microsoft.com/office/drawing/2014/main" id="{00000000-0008-0000-1C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6" name="Picture 15">
          <a:extLst>
            <a:ext uri="{FF2B5EF4-FFF2-40B4-BE49-F238E27FC236}">
              <a16:creationId xmlns:a16="http://schemas.microsoft.com/office/drawing/2014/main" id="{00000000-0008-0000-1C00-00001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7" name="Picture 16">
          <a:extLst>
            <a:ext uri="{FF2B5EF4-FFF2-40B4-BE49-F238E27FC236}">
              <a16:creationId xmlns:a16="http://schemas.microsoft.com/office/drawing/2014/main" id="{00000000-0008-0000-1C00-00001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8" name="Picture 17">
          <a:extLst>
            <a:ext uri="{FF2B5EF4-FFF2-40B4-BE49-F238E27FC236}">
              <a16:creationId xmlns:a16="http://schemas.microsoft.com/office/drawing/2014/main" id="{00000000-0008-0000-1C00-00001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9" name="Picture 18">
          <a:extLst>
            <a:ext uri="{FF2B5EF4-FFF2-40B4-BE49-F238E27FC236}">
              <a16:creationId xmlns:a16="http://schemas.microsoft.com/office/drawing/2014/main" id="{00000000-0008-0000-1C00-00001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twoCellAnchor>
    <xdr:from>
      <xdr:col>1</xdr:col>
      <xdr:colOff>0</xdr:colOff>
      <xdr:row>47</xdr:row>
      <xdr:rowOff>0</xdr:rowOff>
    </xdr:from>
    <xdr:to>
      <xdr:col>28</xdr:col>
      <xdr:colOff>9006</xdr:colOff>
      <xdr:row>63</xdr:row>
      <xdr:rowOff>7620</xdr:rowOff>
    </xdr:to>
    <xdr:graphicFrame macro="">
      <xdr:nvGraphicFramePr>
        <xdr:cNvPr id="20" name="Chart 19">
          <a:extLst>
            <a:ext uri="{FF2B5EF4-FFF2-40B4-BE49-F238E27FC236}">
              <a16:creationId xmlns:a16="http://schemas.microsoft.com/office/drawing/2014/main" id="{00000000-0008-0000-1C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30480</xdr:colOff>
      <xdr:row>47</xdr:row>
      <xdr:rowOff>0</xdr:rowOff>
    </xdr:from>
    <xdr:to>
      <xdr:col>57</xdr:col>
      <xdr:colOff>30480</xdr:colOff>
      <xdr:row>63</xdr:row>
      <xdr:rowOff>7620</xdr:rowOff>
    </xdr:to>
    <xdr:graphicFrame macro="">
      <xdr:nvGraphicFramePr>
        <xdr:cNvPr id="21" name="Chart 20">
          <a:extLst>
            <a:ext uri="{FF2B5EF4-FFF2-40B4-BE49-F238E27FC236}">
              <a16:creationId xmlns:a16="http://schemas.microsoft.com/office/drawing/2014/main" id="{00000000-0008-0000-1C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70</xdr:row>
      <xdr:rowOff>0</xdr:rowOff>
    </xdr:from>
    <xdr:to>
      <xdr:col>28</xdr:col>
      <xdr:colOff>0</xdr:colOff>
      <xdr:row>86</xdr:row>
      <xdr:rowOff>0</xdr:rowOff>
    </xdr:to>
    <xdr:graphicFrame macro="">
      <xdr:nvGraphicFramePr>
        <xdr:cNvPr id="23" name="Chart 22">
          <a:extLst>
            <a:ext uri="{FF2B5EF4-FFF2-40B4-BE49-F238E27FC236}">
              <a16:creationId xmlns:a16="http://schemas.microsoft.com/office/drawing/2014/main" id="{00000000-0008-0000-1C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7620</xdr:colOff>
      <xdr:row>69</xdr:row>
      <xdr:rowOff>145676</xdr:rowOff>
    </xdr:from>
    <xdr:to>
      <xdr:col>57</xdr:col>
      <xdr:colOff>15240</xdr:colOff>
      <xdr:row>85</xdr:row>
      <xdr:rowOff>153296</xdr:rowOff>
    </xdr:to>
    <xdr:graphicFrame macro="">
      <xdr:nvGraphicFramePr>
        <xdr:cNvPr id="24" name="Chart 23">
          <a:extLst>
            <a:ext uri="{FF2B5EF4-FFF2-40B4-BE49-F238E27FC236}">
              <a16:creationId xmlns:a16="http://schemas.microsoft.com/office/drawing/2014/main" id="{00000000-0008-0000-1C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96</xdr:row>
      <xdr:rowOff>47625</xdr:rowOff>
    </xdr:from>
    <xdr:to>
      <xdr:col>28</xdr:col>
      <xdr:colOff>0</xdr:colOff>
      <xdr:row>111</xdr:row>
      <xdr:rowOff>114300</xdr:rowOff>
    </xdr:to>
    <xdr:graphicFrame macro="">
      <xdr:nvGraphicFramePr>
        <xdr:cNvPr id="22" name="Chart 21">
          <a:extLst>
            <a:ext uri="{FF2B5EF4-FFF2-40B4-BE49-F238E27FC236}">
              <a16:creationId xmlns:a16="http://schemas.microsoft.com/office/drawing/2014/main" id="{00000000-0008-0000-1C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0</xdr:colOff>
      <xdr:row>96</xdr:row>
      <xdr:rowOff>0</xdr:rowOff>
    </xdr:from>
    <xdr:to>
      <xdr:col>57</xdr:col>
      <xdr:colOff>0</xdr:colOff>
      <xdr:row>111</xdr:row>
      <xdr:rowOff>66675</xdr:rowOff>
    </xdr:to>
    <xdr:graphicFrame macro="">
      <xdr:nvGraphicFramePr>
        <xdr:cNvPr id="25" name="Chart 24">
          <a:extLst>
            <a:ext uri="{FF2B5EF4-FFF2-40B4-BE49-F238E27FC236}">
              <a16:creationId xmlns:a16="http://schemas.microsoft.com/office/drawing/2014/main" id="{00000000-0008-0000-1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2.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53.xml><?xml version="1.0" encoding="utf-8"?>
<c:userShapes xmlns:c="http://schemas.openxmlformats.org/drawingml/2006/chart">
  <cdr:relSizeAnchor xmlns:cdr="http://schemas.openxmlformats.org/drawingml/2006/chartDrawing">
    <cdr:from>
      <cdr:x>0.96296</cdr:x>
      <cdr:y>0.80535</cdr:y>
    </cdr:from>
    <cdr:to>
      <cdr:x>1</cdr:x>
      <cdr:y>1</cdr:y>
    </cdr:to>
    <cdr:pic>
      <cdr:nvPicPr>
        <cdr:cNvPr id="3" name="Picture 2">
          <a:extLst xmlns:a="http://schemas.openxmlformats.org/drawingml/2006/main">
            <a:ext uri="{FF2B5EF4-FFF2-40B4-BE49-F238E27FC236}">
              <a16:creationId xmlns:a16="http://schemas.microsoft.com/office/drawing/2014/main" id="{00000000-0008-0000-16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3600" y="2362656"/>
          <a:ext cx="228600" cy="571044"/>
        </a:xfrm>
        <a:prstGeom xmlns:a="http://schemas.openxmlformats.org/drawingml/2006/main" prst="rect">
          <a:avLst/>
        </a:prstGeom>
      </cdr:spPr>
    </cdr:pic>
  </cdr:relSizeAnchor>
</c:userShapes>
</file>

<file path=xl/drawings/drawing54.xml><?xml version="1.0" encoding="utf-8"?>
<c:userShapes xmlns:c="http://schemas.openxmlformats.org/drawingml/2006/chart">
  <cdr:relSizeAnchor xmlns:cdr="http://schemas.openxmlformats.org/drawingml/2006/chartDrawing">
    <cdr:from>
      <cdr:x>0.96296</cdr:x>
      <cdr:y>0.80484</cdr:y>
    </cdr:from>
    <cdr:to>
      <cdr:x>1</cdr:x>
      <cdr:y>1</cdr:y>
    </cdr:to>
    <cdr:pic>
      <cdr:nvPicPr>
        <cdr:cNvPr id="3" name="Picture 2">
          <a:extLst xmlns:a="http://schemas.openxmlformats.org/drawingml/2006/main">
            <a:ext uri="{FF2B5EF4-FFF2-40B4-BE49-F238E27FC236}">
              <a16:creationId xmlns:a16="http://schemas.microsoft.com/office/drawing/2014/main" id="{00000000-0008-0000-1600-00000B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3600" y="2355036"/>
          <a:ext cx="228600" cy="571044"/>
        </a:xfrm>
        <a:prstGeom xmlns:a="http://schemas.openxmlformats.org/drawingml/2006/main" prst="rect">
          <a:avLst/>
        </a:prstGeom>
      </cdr:spPr>
    </cdr:pic>
  </cdr:relSizeAnchor>
</c:userShapes>
</file>

<file path=xl/drawings/drawing55.xml><?xml version="1.0" encoding="utf-8"?>
<c:userShapes xmlns:c="http://schemas.openxmlformats.org/drawingml/2006/chart">
  <cdr:relSizeAnchor xmlns:cdr="http://schemas.openxmlformats.org/drawingml/2006/chartDrawing">
    <cdr:from>
      <cdr:x>0.96301</cdr:x>
      <cdr:y>0.80535</cdr:y>
    </cdr:from>
    <cdr:to>
      <cdr:x>1</cdr:x>
      <cdr:y>1</cdr:y>
    </cdr:to>
    <cdr:pic>
      <cdr:nvPicPr>
        <cdr:cNvPr id="3" name="Picture 2">
          <a:extLst xmlns:a="http://schemas.openxmlformats.org/drawingml/2006/main">
            <a:ext uri="{FF2B5EF4-FFF2-40B4-BE49-F238E27FC236}">
              <a16:creationId xmlns:a16="http://schemas.microsoft.com/office/drawing/2014/main" id="{00000000-0008-0000-1600-00000A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51220" y="2362656"/>
          <a:ext cx="228600" cy="571044"/>
        </a:xfrm>
        <a:prstGeom xmlns:a="http://schemas.openxmlformats.org/drawingml/2006/main" prst="rect">
          <a:avLst/>
        </a:prstGeom>
      </cdr:spPr>
    </cdr:pic>
  </cdr:relSizeAnchor>
</c:userShapes>
</file>

<file path=xl/drawings/drawing56.xml><?xml version="1.0" encoding="utf-8"?>
<c:userShapes xmlns:c="http://schemas.openxmlformats.org/drawingml/2006/chart">
  <cdr:relSizeAnchor xmlns:cdr="http://schemas.openxmlformats.org/drawingml/2006/chartDrawing">
    <cdr:from>
      <cdr:x>0.96296</cdr:x>
      <cdr:y>0.80484</cdr:y>
    </cdr:from>
    <cdr:to>
      <cdr:x>1</cdr:x>
      <cdr:y>1</cdr:y>
    </cdr:to>
    <cdr:pic>
      <cdr:nvPicPr>
        <cdr:cNvPr id="3" name="Picture 2">
          <a:extLst xmlns:a="http://schemas.openxmlformats.org/drawingml/2006/main">
            <a:ext uri="{FF2B5EF4-FFF2-40B4-BE49-F238E27FC236}">
              <a16:creationId xmlns:a16="http://schemas.microsoft.com/office/drawing/2014/main" id="{00000000-0008-0000-1600-00000B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3600" y="2355036"/>
          <a:ext cx="228600" cy="571044"/>
        </a:xfrm>
        <a:prstGeom xmlns:a="http://schemas.openxmlformats.org/drawingml/2006/main" prst="rect">
          <a:avLst/>
        </a:prstGeom>
      </cdr:spPr>
    </cdr:pic>
  </cdr:relSizeAnchor>
</c:userShapes>
</file>

<file path=xl/drawings/drawing57.xml><?xml version="1.0" encoding="utf-8"?>
<c:userShapes xmlns:c="http://schemas.openxmlformats.org/drawingml/2006/chart">
  <cdr:relSizeAnchor xmlns:cdr="http://schemas.openxmlformats.org/drawingml/2006/chartDrawing">
    <cdr:from>
      <cdr:x>0.96296</cdr:x>
      <cdr:y>0.80484</cdr:y>
    </cdr:from>
    <cdr:to>
      <cdr:x>1</cdr:x>
      <cdr:y>1</cdr:y>
    </cdr:to>
    <cdr:pic>
      <cdr:nvPicPr>
        <cdr:cNvPr id="3" name="Picture 2">
          <a:extLst xmlns:a="http://schemas.openxmlformats.org/drawingml/2006/main">
            <a:ext uri="{FF2B5EF4-FFF2-40B4-BE49-F238E27FC236}">
              <a16:creationId xmlns:a16="http://schemas.microsoft.com/office/drawing/2014/main" id="{00000000-0008-0000-1600-00000B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3600" y="2355036"/>
          <a:ext cx="228600" cy="571044"/>
        </a:xfrm>
        <a:prstGeom xmlns:a="http://schemas.openxmlformats.org/drawingml/2006/main" prst="rect">
          <a:avLst/>
        </a:prstGeom>
      </cdr:spPr>
    </cdr:pic>
  </cdr:relSizeAnchor>
</c:userShapes>
</file>

<file path=xl/drawings/drawing58.xml><?xml version="1.0" encoding="utf-8"?>
<xdr:wsDr xmlns:xdr="http://schemas.openxmlformats.org/drawingml/2006/spreadsheetDrawing" xmlns:a="http://schemas.openxmlformats.org/drawingml/2006/main">
  <xdr:oneCellAnchor>
    <xdr:from>
      <xdr:col>51</xdr:col>
      <xdr:colOff>3051</xdr:colOff>
      <xdr:row>0</xdr:row>
      <xdr:rowOff>148477</xdr:rowOff>
    </xdr:from>
    <xdr:ext cx="1368549" cy="400163"/>
    <xdr:pic>
      <xdr:nvPicPr>
        <xdr:cNvPr id="3" name="Picture 2">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twoCellAnchor editAs="oneCell">
    <xdr:from>
      <xdr:col>27</xdr:col>
      <xdr:colOff>0</xdr:colOff>
      <xdr:row>59</xdr:row>
      <xdr:rowOff>160477</xdr:rowOff>
    </xdr:from>
    <xdr:to>
      <xdr:col>27</xdr:col>
      <xdr:colOff>215611</xdr:colOff>
      <xdr:row>62</xdr:row>
      <xdr:rowOff>149804</xdr:rowOff>
    </xdr:to>
    <xdr:pic>
      <xdr:nvPicPr>
        <xdr:cNvPr id="6" name="Picture 5">
          <a:extLst>
            <a:ext uri="{FF2B5EF4-FFF2-40B4-BE49-F238E27FC236}">
              <a16:creationId xmlns:a16="http://schemas.microsoft.com/office/drawing/2014/main" id="{00000000-0008-0000-1D00-000006000000}"/>
            </a:ext>
          </a:extLst>
        </xdr:cNvPr>
        <xdr:cNvPicPr>
          <a:picLocks noChangeAspect="1"/>
        </xdr:cNvPicPr>
      </xdr:nvPicPr>
      <xdr:blipFill>
        <a:blip xmlns:r="http://schemas.openxmlformats.org/officeDocument/2006/relationships" r:embed="rId2"/>
        <a:stretch>
          <a:fillRect/>
        </a:stretch>
      </xdr:blipFill>
      <xdr:spPr>
        <a:xfrm flipV="1">
          <a:off x="6172200" y="10569397"/>
          <a:ext cx="228600" cy="571043"/>
        </a:xfrm>
        <a:prstGeom prst="rect">
          <a:avLst/>
        </a:prstGeom>
      </xdr:spPr>
    </xdr:pic>
    <xdr:clientData/>
  </xdr:twoCellAnchor>
  <xdr:twoCellAnchor editAs="oneCell">
    <xdr:from>
      <xdr:col>56</xdr:col>
      <xdr:colOff>0</xdr:colOff>
      <xdr:row>59</xdr:row>
      <xdr:rowOff>160477</xdr:rowOff>
    </xdr:from>
    <xdr:to>
      <xdr:col>56</xdr:col>
      <xdr:colOff>215612</xdr:colOff>
      <xdr:row>62</xdr:row>
      <xdr:rowOff>149804</xdr:rowOff>
    </xdr:to>
    <xdr:pic>
      <xdr:nvPicPr>
        <xdr:cNvPr id="7" name="Picture 6">
          <a:extLst>
            <a:ext uri="{FF2B5EF4-FFF2-40B4-BE49-F238E27FC236}">
              <a16:creationId xmlns:a16="http://schemas.microsoft.com/office/drawing/2014/main" id="{00000000-0008-0000-1D00-000007000000}"/>
            </a:ext>
          </a:extLst>
        </xdr:cNvPr>
        <xdr:cNvPicPr>
          <a:picLocks noChangeAspect="1"/>
        </xdr:cNvPicPr>
      </xdr:nvPicPr>
      <xdr:blipFill>
        <a:blip xmlns:r="http://schemas.openxmlformats.org/officeDocument/2006/relationships" r:embed="rId2"/>
        <a:stretch>
          <a:fillRect/>
        </a:stretch>
      </xdr:blipFill>
      <xdr:spPr>
        <a:xfrm flipV="1">
          <a:off x="12801600" y="10569397"/>
          <a:ext cx="228600" cy="571043"/>
        </a:xfrm>
        <a:prstGeom prst="rect">
          <a:avLst/>
        </a:prstGeom>
      </xdr:spPr>
    </xdr:pic>
    <xdr:clientData/>
  </xdr:twoCellAnchor>
  <xdr:oneCellAnchor>
    <xdr:from>
      <xdr:col>51</xdr:col>
      <xdr:colOff>3051</xdr:colOff>
      <xdr:row>0</xdr:row>
      <xdr:rowOff>148477</xdr:rowOff>
    </xdr:from>
    <xdr:ext cx="1368549" cy="400163"/>
    <xdr:pic>
      <xdr:nvPicPr>
        <xdr:cNvPr id="8" name="Picture 7">
          <a:extLst>
            <a:ext uri="{FF2B5EF4-FFF2-40B4-BE49-F238E27FC236}">
              <a16:creationId xmlns:a16="http://schemas.microsoft.com/office/drawing/2014/main" id="{00000000-0008-0000-1D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9" name="Picture 8">
          <a:extLst>
            <a:ext uri="{FF2B5EF4-FFF2-40B4-BE49-F238E27FC236}">
              <a16:creationId xmlns:a16="http://schemas.microsoft.com/office/drawing/2014/main" id="{00000000-0008-0000-1D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0" name="Picture 9">
          <a:extLst>
            <a:ext uri="{FF2B5EF4-FFF2-40B4-BE49-F238E27FC236}">
              <a16:creationId xmlns:a16="http://schemas.microsoft.com/office/drawing/2014/main" id="{00000000-0008-0000-1D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1" name="Picture 10">
          <a:extLst>
            <a:ext uri="{FF2B5EF4-FFF2-40B4-BE49-F238E27FC236}">
              <a16:creationId xmlns:a16="http://schemas.microsoft.com/office/drawing/2014/main" id="{00000000-0008-0000-1D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2" name="Picture 11">
          <a:extLst>
            <a:ext uri="{FF2B5EF4-FFF2-40B4-BE49-F238E27FC236}">
              <a16:creationId xmlns:a16="http://schemas.microsoft.com/office/drawing/2014/main" id="{00000000-0008-0000-1D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3" name="Picture 12">
          <a:extLst>
            <a:ext uri="{FF2B5EF4-FFF2-40B4-BE49-F238E27FC236}">
              <a16:creationId xmlns:a16="http://schemas.microsoft.com/office/drawing/2014/main" id="{00000000-0008-0000-1D00-00000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4" name="Picture 13">
          <a:extLst>
            <a:ext uri="{FF2B5EF4-FFF2-40B4-BE49-F238E27FC236}">
              <a16:creationId xmlns:a16="http://schemas.microsoft.com/office/drawing/2014/main" id="{00000000-0008-0000-1D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twoCellAnchor>
    <xdr:from>
      <xdr:col>1</xdr:col>
      <xdr:colOff>0</xdr:colOff>
      <xdr:row>47</xdr:row>
      <xdr:rowOff>0</xdr:rowOff>
    </xdr:from>
    <xdr:to>
      <xdr:col>28</xdr:col>
      <xdr:colOff>4073</xdr:colOff>
      <xdr:row>63</xdr:row>
      <xdr:rowOff>10595</xdr:rowOff>
    </xdr:to>
    <xdr:graphicFrame macro="">
      <xdr:nvGraphicFramePr>
        <xdr:cNvPr id="15" name="Chart 14">
          <a:extLst>
            <a:ext uri="{FF2B5EF4-FFF2-40B4-BE49-F238E27FC236}">
              <a16:creationId xmlns:a16="http://schemas.microsoft.com/office/drawing/2014/main" id="{00000000-0008-0000-1D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-1</xdr:colOff>
      <xdr:row>47</xdr:row>
      <xdr:rowOff>1</xdr:rowOff>
    </xdr:from>
    <xdr:to>
      <xdr:col>56</xdr:col>
      <xdr:colOff>225461</xdr:colOff>
      <xdr:row>63</xdr:row>
      <xdr:rowOff>1</xdr:rowOff>
    </xdr:to>
    <xdr:graphicFrame macro="">
      <xdr:nvGraphicFramePr>
        <xdr:cNvPr id="16" name="Chart 15">
          <a:extLst>
            <a:ext uri="{FF2B5EF4-FFF2-40B4-BE49-F238E27FC236}">
              <a16:creationId xmlns:a16="http://schemas.microsoft.com/office/drawing/2014/main" id="{00000000-0008-0000-1D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0.96299</cdr:x>
      <cdr:y>0.80665</cdr:y>
    </cdr:from>
    <cdr:to>
      <cdr:x>1</cdr:x>
      <cdr:y>1</cdr:y>
    </cdr:to>
    <cdr:pic>
      <cdr:nvPicPr>
        <cdr:cNvPr id="3" name="Picture 2">
          <a:extLst xmlns:a="http://schemas.openxmlformats.org/drawingml/2006/main">
            <a:ext uri="{FF2B5EF4-FFF2-40B4-BE49-F238E27FC236}">
              <a16:creationId xmlns:a16="http://schemas.microsoft.com/office/drawing/2014/main" id="{00000000-0008-0000-1800-000006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064215" y="2322601"/>
          <a:ext cx="233082" cy="556700"/>
        </a:xfrm>
        <a:prstGeom xmlns:a="http://schemas.openxmlformats.org/drawingml/2006/main" prst="rect">
          <a:avLst/>
        </a:prstGeom>
      </cdr:spPr>
    </cdr:pic>
  </cdr:relSizeAnchor>
</c:userShapes>
</file>

<file path=xl/drawings/drawing60.xml><?xml version="1.0" encoding="utf-8"?>
<c:userShapes xmlns:c="http://schemas.openxmlformats.org/drawingml/2006/chart">
  <cdr:relSizeAnchor xmlns:cdr="http://schemas.openxmlformats.org/drawingml/2006/chartDrawing">
    <cdr:from>
      <cdr:x>0.96292</cdr:x>
      <cdr:y>0.80594</cdr:y>
    </cdr:from>
    <cdr:to>
      <cdr:x>1</cdr:x>
      <cdr:y>1</cdr:y>
    </cdr:to>
    <cdr:pic>
      <cdr:nvPicPr>
        <cdr:cNvPr id="3" name="Picture 2">
          <a:extLst xmlns:a="http://schemas.openxmlformats.org/drawingml/2006/main">
            <a:ext uri="{FF2B5EF4-FFF2-40B4-BE49-F238E27FC236}">
              <a16:creationId xmlns:a16="http://schemas.microsoft.com/office/drawing/2014/main" id="{00000000-0008-0000-18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052521" y="2312006"/>
          <a:ext cx="233082" cy="556700"/>
        </a:xfrm>
        <a:prstGeom xmlns:a="http://schemas.openxmlformats.org/drawingml/2006/main" prst="rect">
          <a:avLst/>
        </a:prstGeom>
      </cdr:spPr>
    </cdr:pic>
  </cdr:relSizeAnchor>
</c:userShapes>
</file>

<file path=xl/drawings/drawing61.xml><?xml version="1.0" encoding="utf-8"?>
<xdr:wsDr xmlns:xdr="http://schemas.openxmlformats.org/drawingml/2006/spreadsheetDrawing" xmlns:a="http://schemas.openxmlformats.org/drawingml/2006/main">
  <xdr:twoCellAnchor editAs="oneCell">
    <xdr:from>
      <xdr:col>49</xdr:col>
      <xdr:colOff>47625</xdr:colOff>
      <xdr:row>0</xdr:row>
      <xdr:rowOff>9525</xdr:rowOff>
    </xdr:from>
    <xdr:to>
      <xdr:col>57</xdr:col>
      <xdr:colOff>60961</xdr:colOff>
      <xdr:row>4</xdr:row>
      <xdr:rowOff>138241</xdr:rowOff>
    </xdr:to>
    <xdr:pic>
      <xdr:nvPicPr>
        <xdr:cNvPr id="31" name="Picture 30" descr="Cloud Integration Platform, iPaaS Providers - SnapLogic">
          <a:extLst>
            <a:ext uri="{FF2B5EF4-FFF2-40B4-BE49-F238E27FC236}">
              <a16:creationId xmlns:a16="http://schemas.microsoft.com/office/drawing/2014/main" id="{6BD48AD6-DA9C-41A2-A154-9E6B834E414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35</xdr:row>
      <xdr:rowOff>160477</xdr:rowOff>
    </xdr:from>
    <xdr:to>
      <xdr:col>28</xdr:col>
      <xdr:colOff>0</xdr:colOff>
      <xdr:row>38</xdr:row>
      <xdr:rowOff>171402</xdr:rowOff>
    </xdr:to>
    <xdr:pic>
      <xdr:nvPicPr>
        <xdr:cNvPr id="12" name="Picture 11">
          <a:extLst>
            <a:ext uri="{FF2B5EF4-FFF2-40B4-BE49-F238E27FC236}">
              <a16:creationId xmlns:a16="http://schemas.microsoft.com/office/drawing/2014/main" id="{00000000-0008-0000-1300-00000C000000}"/>
            </a:ext>
          </a:extLst>
        </xdr:cNvPr>
        <xdr:cNvPicPr>
          <a:picLocks noChangeAspect="1"/>
        </xdr:cNvPicPr>
      </xdr:nvPicPr>
      <xdr:blipFill>
        <a:blip xmlns:r="http://schemas.openxmlformats.org/officeDocument/2006/relationships" r:embed="rId2"/>
        <a:stretch>
          <a:fillRect/>
        </a:stretch>
      </xdr:blipFill>
      <xdr:spPr>
        <a:xfrm>
          <a:off x="6172200" y="11834317"/>
          <a:ext cx="228600" cy="571043"/>
        </a:xfrm>
        <a:prstGeom prst="rect">
          <a:avLst/>
        </a:prstGeom>
      </xdr:spPr>
    </xdr:pic>
    <xdr:clientData/>
  </xdr:twoCellAnchor>
  <xdr:twoCellAnchor editAs="oneCell">
    <xdr:from>
      <xdr:col>56</xdr:col>
      <xdr:colOff>0</xdr:colOff>
      <xdr:row>35</xdr:row>
      <xdr:rowOff>160477</xdr:rowOff>
    </xdr:from>
    <xdr:to>
      <xdr:col>57</xdr:col>
      <xdr:colOff>272</xdr:colOff>
      <xdr:row>38</xdr:row>
      <xdr:rowOff>171402</xdr:rowOff>
    </xdr:to>
    <xdr:pic>
      <xdr:nvPicPr>
        <xdr:cNvPr id="13" name="Picture 12">
          <a:extLst>
            <a:ext uri="{FF2B5EF4-FFF2-40B4-BE49-F238E27FC236}">
              <a16:creationId xmlns:a16="http://schemas.microsoft.com/office/drawing/2014/main" id="{00000000-0008-0000-1300-00000D000000}"/>
            </a:ext>
          </a:extLst>
        </xdr:cNvPr>
        <xdr:cNvPicPr>
          <a:picLocks noChangeAspect="1"/>
        </xdr:cNvPicPr>
      </xdr:nvPicPr>
      <xdr:blipFill>
        <a:blip xmlns:r="http://schemas.openxmlformats.org/officeDocument/2006/relationships" r:embed="rId2"/>
        <a:stretch>
          <a:fillRect/>
        </a:stretch>
      </xdr:blipFill>
      <xdr:spPr>
        <a:xfrm flipV="1">
          <a:off x="12801600" y="11834317"/>
          <a:ext cx="228600" cy="571043"/>
        </a:xfrm>
        <a:prstGeom prst="rect">
          <a:avLst/>
        </a:prstGeom>
      </xdr:spPr>
    </xdr:pic>
    <xdr:clientData/>
  </xdr:twoCellAnchor>
  <xdr:twoCellAnchor editAs="oneCell">
    <xdr:from>
      <xdr:col>27</xdr:col>
      <xdr:colOff>0</xdr:colOff>
      <xdr:row>58</xdr:row>
      <xdr:rowOff>160477</xdr:rowOff>
    </xdr:from>
    <xdr:to>
      <xdr:col>28</xdr:col>
      <xdr:colOff>0</xdr:colOff>
      <xdr:row>61</xdr:row>
      <xdr:rowOff>146716</xdr:rowOff>
    </xdr:to>
    <xdr:pic>
      <xdr:nvPicPr>
        <xdr:cNvPr id="14" name="Picture 13">
          <a:extLst>
            <a:ext uri="{FF2B5EF4-FFF2-40B4-BE49-F238E27FC236}">
              <a16:creationId xmlns:a16="http://schemas.microsoft.com/office/drawing/2014/main" id="{00000000-0008-0000-1300-00000E000000}"/>
            </a:ext>
          </a:extLst>
        </xdr:cNvPr>
        <xdr:cNvPicPr>
          <a:picLocks noChangeAspect="1"/>
        </xdr:cNvPicPr>
      </xdr:nvPicPr>
      <xdr:blipFill>
        <a:blip xmlns:r="http://schemas.openxmlformats.org/officeDocument/2006/relationships" r:embed="rId2"/>
        <a:stretch>
          <a:fillRect/>
        </a:stretch>
      </xdr:blipFill>
      <xdr:spPr>
        <a:xfrm flipV="1">
          <a:off x="6172200" y="16040557"/>
          <a:ext cx="228600" cy="571043"/>
        </a:xfrm>
        <a:prstGeom prst="rect">
          <a:avLst/>
        </a:prstGeom>
      </xdr:spPr>
    </xdr:pic>
    <xdr:clientData/>
  </xdr:twoCellAnchor>
  <xdr:twoCellAnchor editAs="oneCell">
    <xdr:from>
      <xdr:col>56</xdr:col>
      <xdr:colOff>0</xdr:colOff>
      <xdr:row>58</xdr:row>
      <xdr:rowOff>160477</xdr:rowOff>
    </xdr:from>
    <xdr:to>
      <xdr:col>57</xdr:col>
      <xdr:colOff>272</xdr:colOff>
      <xdr:row>61</xdr:row>
      <xdr:rowOff>146716</xdr:rowOff>
    </xdr:to>
    <xdr:pic>
      <xdr:nvPicPr>
        <xdr:cNvPr id="15" name="Picture 14">
          <a:extLst>
            <a:ext uri="{FF2B5EF4-FFF2-40B4-BE49-F238E27FC236}">
              <a16:creationId xmlns:a16="http://schemas.microsoft.com/office/drawing/2014/main" id="{00000000-0008-0000-1300-00000F000000}"/>
            </a:ext>
          </a:extLst>
        </xdr:cNvPr>
        <xdr:cNvPicPr>
          <a:picLocks noChangeAspect="1"/>
        </xdr:cNvPicPr>
      </xdr:nvPicPr>
      <xdr:blipFill>
        <a:blip xmlns:r="http://schemas.openxmlformats.org/officeDocument/2006/relationships" r:embed="rId2"/>
        <a:stretch>
          <a:fillRect/>
        </a:stretch>
      </xdr:blipFill>
      <xdr:spPr>
        <a:xfrm rot="10800000" flipV="1">
          <a:off x="12801600" y="16460350"/>
          <a:ext cx="228600" cy="559959"/>
        </a:xfrm>
        <a:prstGeom prst="rect">
          <a:avLst/>
        </a:prstGeom>
      </xdr:spPr>
    </xdr:pic>
    <xdr:clientData/>
  </xdr:twoCellAnchor>
  <xdr:twoCellAnchor>
    <xdr:from>
      <xdr:col>1</xdr:col>
      <xdr:colOff>7242</xdr:colOff>
      <xdr:row>23</xdr:row>
      <xdr:rowOff>5069</xdr:rowOff>
    </xdr:from>
    <xdr:to>
      <xdr:col>28</xdr:col>
      <xdr:colOff>11723</xdr:colOff>
      <xdr:row>39</xdr:row>
      <xdr:rowOff>129568</xdr:rowOff>
    </xdr:to>
    <xdr:graphicFrame macro="">
      <xdr:nvGraphicFramePr>
        <xdr:cNvPr id="2" name="Chart 1">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188258</xdr:colOff>
      <xdr:row>22</xdr:row>
      <xdr:rowOff>170330</xdr:rowOff>
    </xdr:from>
    <xdr:to>
      <xdr:col>56</xdr:col>
      <xdr:colOff>188258</xdr:colOff>
      <xdr:row>39</xdr:row>
      <xdr:rowOff>134471</xdr:rowOff>
    </xdr:to>
    <xdr:graphicFrame macro="">
      <xdr:nvGraphicFramePr>
        <xdr:cNvPr id="16" name="Chart 15">
          <a:extLst>
            <a:ext uri="{FF2B5EF4-FFF2-40B4-BE49-F238E27FC236}">
              <a16:creationId xmlns:a16="http://schemas.microsoft.com/office/drawing/2014/main" id="{00000000-0008-0000-13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xdr:colOff>
      <xdr:row>45</xdr:row>
      <xdr:rowOff>170329</xdr:rowOff>
    </xdr:from>
    <xdr:to>
      <xdr:col>28</xdr:col>
      <xdr:colOff>0</xdr:colOff>
      <xdr:row>62</xdr:row>
      <xdr:rowOff>107576</xdr:rowOff>
    </xdr:to>
    <xdr:graphicFrame macro="">
      <xdr:nvGraphicFramePr>
        <xdr:cNvPr id="17" name="Chart 16">
          <a:extLst>
            <a:ext uri="{FF2B5EF4-FFF2-40B4-BE49-F238E27FC236}">
              <a16:creationId xmlns:a16="http://schemas.microsoft.com/office/drawing/2014/main" id="{00000000-0008-0000-13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17928</xdr:colOff>
      <xdr:row>45</xdr:row>
      <xdr:rowOff>170328</xdr:rowOff>
    </xdr:from>
    <xdr:to>
      <xdr:col>57</xdr:col>
      <xdr:colOff>17929</xdr:colOff>
      <xdr:row>62</xdr:row>
      <xdr:rowOff>107575</xdr:rowOff>
    </xdr:to>
    <xdr:graphicFrame macro="">
      <xdr:nvGraphicFramePr>
        <xdr:cNvPr id="18" name="Chart 17">
          <a:extLst>
            <a:ext uri="{FF2B5EF4-FFF2-40B4-BE49-F238E27FC236}">
              <a16:creationId xmlns:a16="http://schemas.microsoft.com/office/drawing/2014/main" id="{00000000-0008-0000-13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63.xml><?xml version="1.0" encoding="utf-8"?>
<c:userShapes xmlns:c="http://schemas.openxmlformats.org/drawingml/2006/chart">
  <cdr:relSizeAnchor xmlns:cdr="http://schemas.openxmlformats.org/drawingml/2006/chartDrawing">
    <cdr:from>
      <cdr:x>0.96253</cdr:x>
      <cdr:y>0.79706</cdr:y>
    </cdr:from>
    <cdr:to>
      <cdr:x>1</cdr:x>
      <cdr:y>1</cdr:y>
    </cdr:to>
    <cdr:pic>
      <cdr:nvPicPr>
        <cdr:cNvPr id="3" name="Picture 2">
          <a:extLst xmlns:a="http://schemas.openxmlformats.org/drawingml/2006/main">
            <a:ext uri="{FF2B5EF4-FFF2-40B4-BE49-F238E27FC236}">
              <a16:creationId xmlns:a16="http://schemas.microsoft.com/office/drawing/2014/main" id="{00000000-0008-0000-1000-00000D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057421" y="2186501"/>
          <a:ext cx="235803" cy="556699"/>
        </a:xfrm>
        <a:prstGeom xmlns:a="http://schemas.openxmlformats.org/drawingml/2006/main" prst="rect">
          <a:avLst/>
        </a:prstGeom>
      </cdr:spPr>
    </cdr:pic>
  </cdr:relSizeAnchor>
</c:userShapes>
</file>

<file path=xl/drawings/drawing64.xml><?xml version="1.0" encoding="utf-8"?>
<c:userShapes xmlns:c="http://schemas.openxmlformats.org/drawingml/2006/chart">
  <cdr:relSizeAnchor xmlns:cdr="http://schemas.openxmlformats.org/drawingml/2006/chartDrawing">
    <cdr:from>
      <cdr:x>0.96296</cdr:x>
      <cdr:y>0.81352</cdr:y>
    </cdr:from>
    <cdr:to>
      <cdr:x>1</cdr:x>
      <cdr:y>1</cdr:y>
    </cdr:to>
    <cdr:pic>
      <cdr:nvPicPr>
        <cdr:cNvPr id="3" name="Picture 2">
          <a:extLst xmlns:a="http://schemas.openxmlformats.org/drawingml/2006/main">
            <a:ext uri="{FF2B5EF4-FFF2-40B4-BE49-F238E27FC236}">
              <a16:creationId xmlns:a16="http://schemas.microsoft.com/office/drawing/2014/main" id="{00000000-0008-0000-1000-00000E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060141" y="2428548"/>
          <a:ext cx="233082" cy="556699"/>
        </a:xfrm>
        <a:prstGeom xmlns:a="http://schemas.openxmlformats.org/drawingml/2006/main" prst="rect">
          <a:avLst/>
        </a:prstGeom>
      </cdr:spPr>
    </cdr:pic>
  </cdr:relSizeAnchor>
</c:userShapes>
</file>

<file path=xl/drawings/drawing65.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66.xml><?xml version="1.0" encoding="utf-8"?>
<xdr:wsDr xmlns:xdr="http://schemas.openxmlformats.org/drawingml/2006/spreadsheetDrawing" xmlns:a="http://schemas.openxmlformats.org/drawingml/2006/main">
  <xdr:twoCellAnchor editAs="oneCell">
    <xdr:from>
      <xdr:col>10</xdr:col>
      <xdr:colOff>192615</xdr:colOff>
      <xdr:row>0</xdr:row>
      <xdr:rowOff>10584</xdr:rowOff>
    </xdr:from>
    <xdr:to>
      <xdr:col>13</xdr:col>
      <xdr:colOff>50799</xdr:colOff>
      <xdr:row>6</xdr:row>
      <xdr:rowOff>67735</xdr:rowOff>
    </xdr:to>
    <xdr:pic>
      <xdr:nvPicPr>
        <xdr:cNvPr id="2" name="Picture 1" descr="Cloud Integration Platform, iPaaS Providers - SnapLogic">
          <a:extLst>
            <a:ext uri="{FF2B5EF4-FFF2-40B4-BE49-F238E27FC236}">
              <a16:creationId xmlns:a16="http://schemas.microsoft.com/office/drawing/2014/main" id="{176385F5-7938-4FA2-B5B2-4450F9FDE3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34865" y="10584"/>
          <a:ext cx="2398184" cy="12001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7.xml><?xml version="1.0" encoding="utf-8"?>
<xdr:wsDr xmlns:xdr="http://schemas.openxmlformats.org/drawingml/2006/spreadsheetDrawing" xmlns:a="http://schemas.openxmlformats.org/drawingml/2006/main">
  <xdr:oneCellAnchor>
    <xdr:from>
      <xdr:col>47</xdr:col>
      <xdr:colOff>133350</xdr:colOff>
      <xdr:row>0</xdr:row>
      <xdr:rowOff>9525</xdr:rowOff>
    </xdr:from>
    <xdr:ext cx="2146300" cy="1066554"/>
    <xdr:pic>
      <xdr:nvPicPr>
        <xdr:cNvPr id="2" name="Picture 1" descr="Cloud Integration Platform, iPaaS Providers - SnapLogic">
          <a:extLst>
            <a:ext uri="{FF2B5EF4-FFF2-40B4-BE49-F238E27FC236}">
              <a16:creationId xmlns:a16="http://schemas.microsoft.com/office/drawing/2014/main" id="{B7517783-7559-45E1-8C9B-6C6744AAF8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784550" y="9525"/>
          <a:ext cx="2146300" cy="10665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68.xml><?xml version="1.0" encoding="utf-8"?>
<xdr:wsDr xmlns:xdr="http://schemas.openxmlformats.org/drawingml/2006/spreadsheetDrawing" xmlns:a="http://schemas.openxmlformats.org/drawingml/2006/main">
  <xdr:oneCellAnchor>
    <xdr:from>
      <xdr:col>51</xdr:col>
      <xdr:colOff>3051</xdr:colOff>
      <xdr:row>0</xdr:row>
      <xdr:rowOff>148477</xdr:rowOff>
    </xdr:from>
    <xdr:ext cx="1368549" cy="400163"/>
    <xdr:pic>
      <xdr:nvPicPr>
        <xdr:cNvPr id="2" name="Picture 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76891" y="148477"/>
          <a:ext cx="1368549" cy="400163"/>
        </a:xfrm>
        <a:prstGeom prst="rect">
          <a:avLst/>
        </a:prstGeom>
      </xdr:spPr>
    </xdr:pic>
    <xdr:clientData/>
  </xdr:oneCellAnchor>
  <xdr:twoCellAnchor editAs="oneCell">
    <xdr:from>
      <xdr:col>58</xdr:col>
      <xdr:colOff>180975</xdr:colOff>
      <xdr:row>24</xdr:row>
      <xdr:rowOff>76200</xdr:rowOff>
    </xdr:from>
    <xdr:to>
      <xdr:col>59</xdr:col>
      <xdr:colOff>187904</xdr:colOff>
      <xdr:row>27</xdr:row>
      <xdr:rowOff>84979</xdr:rowOff>
    </xdr:to>
    <xdr:pic>
      <xdr:nvPicPr>
        <xdr:cNvPr id="3" name="Picture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2"/>
        <a:stretch>
          <a:fillRect/>
        </a:stretch>
      </xdr:blipFill>
      <xdr:spPr>
        <a:xfrm>
          <a:off x="12906375" y="4419600"/>
          <a:ext cx="226004" cy="551704"/>
        </a:xfrm>
        <a:prstGeom prst="rect">
          <a:avLst/>
        </a:prstGeom>
      </xdr:spPr>
    </xdr:pic>
    <xdr:clientData/>
  </xdr:twoCellAnchor>
  <xdr:twoCellAnchor>
    <xdr:from>
      <xdr:col>1</xdr:col>
      <xdr:colOff>988</xdr:colOff>
      <xdr:row>47</xdr:row>
      <xdr:rowOff>1980</xdr:rowOff>
    </xdr:from>
    <xdr:to>
      <xdr:col>27</xdr:col>
      <xdr:colOff>228599</xdr:colOff>
      <xdr:row>63</xdr:row>
      <xdr:rowOff>1</xdr:rowOff>
    </xdr:to>
    <xdr:graphicFrame macro="">
      <xdr:nvGraphicFramePr>
        <xdr:cNvPr id="4" name="Chart 3">
          <a:extLst>
            <a:ext uri="{FF2B5EF4-FFF2-40B4-BE49-F238E27FC236}">
              <a16:creationId xmlns:a16="http://schemas.microsoft.com/office/drawing/2014/main" id="{00000000-0008-0000-1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16922</xdr:colOff>
      <xdr:row>47</xdr:row>
      <xdr:rowOff>7621</xdr:rowOff>
    </xdr:from>
    <xdr:to>
      <xdr:col>57</xdr:col>
      <xdr:colOff>11973</xdr:colOff>
      <xdr:row>63</xdr:row>
      <xdr:rowOff>7620</xdr:rowOff>
    </xdr:to>
    <xdr:graphicFrame macro="">
      <xdr:nvGraphicFramePr>
        <xdr:cNvPr id="5" name="Chart 4">
          <a:extLst>
            <a:ext uri="{FF2B5EF4-FFF2-40B4-BE49-F238E27FC236}">
              <a16:creationId xmlns:a16="http://schemas.microsoft.com/office/drawing/2014/main" id="{00000000-0008-0000-1E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221671</xdr:colOff>
      <xdr:row>67</xdr:row>
      <xdr:rowOff>12225</xdr:rowOff>
    </xdr:from>
    <xdr:to>
      <xdr:col>27</xdr:col>
      <xdr:colOff>216496</xdr:colOff>
      <xdr:row>83</xdr:row>
      <xdr:rowOff>8964</xdr:rowOff>
    </xdr:to>
    <xdr:graphicFrame macro="">
      <xdr:nvGraphicFramePr>
        <xdr:cNvPr id="6" name="Chart 5">
          <a:extLst>
            <a:ext uri="{FF2B5EF4-FFF2-40B4-BE49-F238E27FC236}">
              <a16:creationId xmlns:a16="http://schemas.microsoft.com/office/drawing/2014/main" id="{00000000-0008-0000-1E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215396</xdr:colOff>
      <xdr:row>70</xdr:row>
      <xdr:rowOff>24244</xdr:rowOff>
    </xdr:from>
    <xdr:to>
      <xdr:col>56</xdr:col>
      <xdr:colOff>213360</xdr:colOff>
      <xdr:row>86</xdr:row>
      <xdr:rowOff>22859</xdr:rowOff>
    </xdr:to>
    <xdr:graphicFrame macro="">
      <xdr:nvGraphicFramePr>
        <xdr:cNvPr id="8" name="Chart 7">
          <a:extLst>
            <a:ext uri="{FF2B5EF4-FFF2-40B4-BE49-F238E27FC236}">
              <a16:creationId xmlns:a16="http://schemas.microsoft.com/office/drawing/2014/main" id="{00000000-0008-0000-1E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-1</xdr:colOff>
      <xdr:row>96</xdr:row>
      <xdr:rowOff>8964</xdr:rowOff>
    </xdr:from>
    <xdr:to>
      <xdr:col>57</xdr:col>
      <xdr:colOff>0</xdr:colOff>
      <xdr:row>110</xdr:row>
      <xdr:rowOff>170330</xdr:rowOff>
    </xdr:to>
    <xdr:graphicFrame macro="">
      <xdr:nvGraphicFramePr>
        <xdr:cNvPr id="9" name="Chart 8">
          <a:extLst>
            <a:ext uri="{FF2B5EF4-FFF2-40B4-BE49-F238E27FC236}">
              <a16:creationId xmlns:a16="http://schemas.microsoft.com/office/drawing/2014/main" id="{00000000-0008-0000-1E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206189</xdr:colOff>
      <xdr:row>93</xdr:row>
      <xdr:rowOff>19964</xdr:rowOff>
    </xdr:from>
    <xdr:to>
      <xdr:col>27</xdr:col>
      <xdr:colOff>218412</xdr:colOff>
      <xdr:row>107</xdr:row>
      <xdr:rowOff>179293</xdr:rowOff>
    </xdr:to>
    <xdr:graphicFrame macro="">
      <xdr:nvGraphicFramePr>
        <xdr:cNvPr id="10" name="Chart 9">
          <a:extLst>
            <a:ext uri="{FF2B5EF4-FFF2-40B4-BE49-F238E27FC236}">
              <a16:creationId xmlns:a16="http://schemas.microsoft.com/office/drawing/2014/main" id="{00000000-0008-0000-1E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9.xml><?xml version="1.0" encoding="utf-8"?>
<xdr:wsDr xmlns:xdr="http://schemas.openxmlformats.org/drawingml/2006/spreadsheetDrawing" xmlns:a="http://schemas.openxmlformats.org/drawingml/2006/main">
  <xdr:oneCellAnchor>
    <xdr:from>
      <xdr:col>51</xdr:col>
      <xdr:colOff>3051</xdr:colOff>
      <xdr:row>0</xdr:row>
      <xdr:rowOff>148477</xdr:rowOff>
    </xdr:from>
    <xdr:ext cx="1368549" cy="400163"/>
    <xdr:pic>
      <xdr:nvPicPr>
        <xdr:cNvPr id="2" name="Picture 1">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3" name="Picture 2">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4" name="Picture 3">
          <a:extLst>
            <a:ext uri="{FF2B5EF4-FFF2-40B4-BE49-F238E27FC236}">
              <a16:creationId xmlns:a16="http://schemas.microsoft.com/office/drawing/2014/main" id="{00000000-0008-0000-1F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5" name="Picture 4">
          <a:extLst>
            <a:ext uri="{FF2B5EF4-FFF2-40B4-BE49-F238E27FC236}">
              <a16:creationId xmlns:a16="http://schemas.microsoft.com/office/drawing/2014/main" id="{00000000-0008-0000-1F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6" name="Picture 5">
          <a:extLst>
            <a:ext uri="{FF2B5EF4-FFF2-40B4-BE49-F238E27FC236}">
              <a16:creationId xmlns:a16="http://schemas.microsoft.com/office/drawing/2014/main" id="{00000000-0008-0000-1F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7" name="Picture 6">
          <a:extLst>
            <a:ext uri="{FF2B5EF4-FFF2-40B4-BE49-F238E27FC236}">
              <a16:creationId xmlns:a16="http://schemas.microsoft.com/office/drawing/2014/main" id="{00000000-0008-0000-1F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8" name="Picture 7">
          <a:extLst>
            <a:ext uri="{FF2B5EF4-FFF2-40B4-BE49-F238E27FC236}">
              <a16:creationId xmlns:a16="http://schemas.microsoft.com/office/drawing/2014/main" id="{00000000-0008-0000-1F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9" name="Picture 8">
          <a:extLst>
            <a:ext uri="{FF2B5EF4-FFF2-40B4-BE49-F238E27FC236}">
              <a16:creationId xmlns:a16="http://schemas.microsoft.com/office/drawing/2014/main" id="{00000000-0008-0000-1F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0" name="Picture 9">
          <a:extLst>
            <a:ext uri="{FF2B5EF4-FFF2-40B4-BE49-F238E27FC236}">
              <a16:creationId xmlns:a16="http://schemas.microsoft.com/office/drawing/2014/main" id="{00000000-0008-0000-1F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1" name="Picture 10">
          <a:extLst>
            <a:ext uri="{FF2B5EF4-FFF2-40B4-BE49-F238E27FC236}">
              <a16:creationId xmlns:a16="http://schemas.microsoft.com/office/drawing/2014/main" id="{00000000-0008-0000-1F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twoCellAnchor>
    <xdr:from>
      <xdr:col>0</xdr:col>
      <xdr:colOff>227710</xdr:colOff>
      <xdr:row>46</xdr:row>
      <xdr:rowOff>174568</xdr:rowOff>
    </xdr:from>
    <xdr:to>
      <xdr:col>28</xdr:col>
      <xdr:colOff>3266</xdr:colOff>
      <xdr:row>63</xdr:row>
      <xdr:rowOff>106680</xdr:rowOff>
    </xdr:to>
    <xdr:graphicFrame macro="">
      <xdr:nvGraphicFramePr>
        <xdr:cNvPr id="14" name="Chart 13">
          <a:extLst>
            <a:ext uri="{FF2B5EF4-FFF2-40B4-BE49-F238E27FC236}">
              <a16:creationId xmlns:a16="http://schemas.microsoft.com/office/drawing/2014/main" id="{00000000-0008-0000-1F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7620</xdr:colOff>
      <xdr:row>47</xdr:row>
      <xdr:rowOff>0</xdr:rowOff>
    </xdr:from>
    <xdr:to>
      <xdr:col>57</xdr:col>
      <xdr:colOff>7620</xdr:colOff>
      <xdr:row>63</xdr:row>
      <xdr:rowOff>114300</xdr:rowOff>
    </xdr:to>
    <xdr:graphicFrame macro="">
      <xdr:nvGraphicFramePr>
        <xdr:cNvPr id="15" name="Chart 14">
          <a:extLst>
            <a:ext uri="{FF2B5EF4-FFF2-40B4-BE49-F238E27FC236}">
              <a16:creationId xmlns:a16="http://schemas.microsoft.com/office/drawing/2014/main" id="{00000000-0008-0000-1F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213904</xdr:colOff>
      <xdr:row>70</xdr:row>
      <xdr:rowOff>10885</xdr:rowOff>
    </xdr:from>
    <xdr:to>
      <xdr:col>27</xdr:col>
      <xdr:colOff>217714</xdr:colOff>
      <xdr:row>86</xdr:row>
      <xdr:rowOff>125186</xdr:rowOff>
    </xdr:to>
    <xdr:graphicFrame macro="">
      <xdr:nvGraphicFramePr>
        <xdr:cNvPr id="16" name="Chart 15">
          <a:extLst>
            <a:ext uri="{FF2B5EF4-FFF2-40B4-BE49-F238E27FC236}">
              <a16:creationId xmlns:a16="http://schemas.microsoft.com/office/drawing/2014/main" id="{00000000-0008-0000-1F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0.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71.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72.xml><?xml version="1.0" encoding="utf-8"?>
<c:userShapes xmlns:c="http://schemas.openxmlformats.org/drawingml/2006/chart">
  <cdr:relSizeAnchor xmlns:cdr="http://schemas.openxmlformats.org/drawingml/2006/chartDrawing">
    <cdr:from>
      <cdr:x>0.96299</cdr:x>
      <cdr:y>0.81218</cdr:y>
    </cdr:from>
    <cdr:to>
      <cdr:x>1</cdr:x>
      <cdr:y>1</cdr:y>
    </cdr:to>
    <cdr:pic>
      <cdr:nvPicPr>
        <cdr:cNvPr id="3" name="Picture 2">
          <a:extLst xmlns:a="http://schemas.openxmlformats.org/drawingml/2006/main">
            <a:ext uri="{FF2B5EF4-FFF2-40B4-BE49-F238E27FC236}">
              <a16:creationId xmlns:a16="http://schemas.microsoft.com/office/drawing/2014/main" id="{00000000-0008-0000-1500-00001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7410" y="2469337"/>
          <a:ext cx="228600" cy="571043"/>
        </a:xfrm>
        <a:prstGeom xmlns:a="http://schemas.openxmlformats.org/drawingml/2006/main" prst="rect">
          <a:avLst/>
        </a:prstGeom>
      </cdr:spPr>
    </cdr:pic>
  </cdr:relSizeAnchor>
</c:userShapes>
</file>

<file path=xl/drawings/drawing73.xml><?xml version="1.0" encoding="utf-8"?>
<xdr:wsDr xmlns:xdr="http://schemas.openxmlformats.org/drawingml/2006/spreadsheetDrawing" xmlns:a="http://schemas.openxmlformats.org/drawingml/2006/main">
  <xdr:oneCellAnchor>
    <xdr:from>
      <xdr:col>51</xdr:col>
      <xdr:colOff>3051</xdr:colOff>
      <xdr:row>0</xdr:row>
      <xdr:rowOff>148477</xdr:rowOff>
    </xdr:from>
    <xdr:ext cx="1368549" cy="400163"/>
    <xdr:pic>
      <xdr:nvPicPr>
        <xdr:cNvPr id="2" name="Picture 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3" name="Picture 2">
          <a:extLst>
            <a:ext uri="{FF2B5EF4-FFF2-40B4-BE49-F238E27FC236}">
              <a16:creationId xmlns:a16="http://schemas.microsoft.com/office/drawing/2014/main" id="{00000000-0008-0000-2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4" name="Picture 3">
          <a:extLst>
            <a:ext uri="{FF2B5EF4-FFF2-40B4-BE49-F238E27FC236}">
              <a16:creationId xmlns:a16="http://schemas.microsoft.com/office/drawing/2014/main" id="{00000000-0008-0000-2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5" name="Picture 4">
          <a:extLst>
            <a:ext uri="{FF2B5EF4-FFF2-40B4-BE49-F238E27FC236}">
              <a16:creationId xmlns:a16="http://schemas.microsoft.com/office/drawing/2014/main" id="{00000000-0008-0000-20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6" name="Picture 5">
          <a:extLst>
            <a:ext uri="{FF2B5EF4-FFF2-40B4-BE49-F238E27FC236}">
              <a16:creationId xmlns:a16="http://schemas.microsoft.com/office/drawing/2014/main" id="{00000000-0008-0000-20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7" name="Picture 6">
          <a:extLst>
            <a:ext uri="{FF2B5EF4-FFF2-40B4-BE49-F238E27FC236}">
              <a16:creationId xmlns:a16="http://schemas.microsoft.com/office/drawing/2014/main" id="{00000000-0008-0000-20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8" name="Picture 7">
          <a:extLst>
            <a:ext uri="{FF2B5EF4-FFF2-40B4-BE49-F238E27FC236}">
              <a16:creationId xmlns:a16="http://schemas.microsoft.com/office/drawing/2014/main" id="{00000000-0008-0000-2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9" name="Picture 8">
          <a:extLst>
            <a:ext uri="{FF2B5EF4-FFF2-40B4-BE49-F238E27FC236}">
              <a16:creationId xmlns:a16="http://schemas.microsoft.com/office/drawing/2014/main" id="{00000000-0008-0000-20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0" name="Picture 9">
          <a:extLst>
            <a:ext uri="{FF2B5EF4-FFF2-40B4-BE49-F238E27FC236}">
              <a16:creationId xmlns:a16="http://schemas.microsoft.com/office/drawing/2014/main" id="{00000000-0008-0000-20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1" name="Picture 10">
          <a:extLst>
            <a:ext uri="{FF2B5EF4-FFF2-40B4-BE49-F238E27FC236}">
              <a16:creationId xmlns:a16="http://schemas.microsoft.com/office/drawing/2014/main" id="{00000000-0008-0000-20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twoCellAnchor>
    <xdr:from>
      <xdr:col>0</xdr:col>
      <xdr:colOff>227709</xdr:colOff>
      <xdr:row>47</xdr:row>
      <xdr:rowOff>396</xdr:rowOff>
    </xdr:from>
    <xdr:to>
      <xdr:col>28</xdr:col>
      <xdr:colOff>3265</xdr:colOff>
      <xdr:row>63</xdr:row>
      <xdr:rowOff>117565</xdr:rowOff>
    </xdr:to>
    <xdr:graphicFrame macro="">
      <xdr:nvGraphicFramePr>
        <xdr:cNvPr id="14" name="Chart 13">
          <a:extLst>
            <a:ext uri="{FF2B5EF4-FFF2-40B4-BE49-F238E27FC236}">
              <a16:creationId xmlns:a16="http://schemas.microsoft.com/office/drawing/2014/main" id="{00000000-0008-0000-2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7620</xdr:colOff>
      <xdr:row>47</xdr:row>
      <xdr:rowOff>0</xdr:rowOff>
    </xdr:from>
    <xdr:to>
      <xdr:col>57</xdr:col>
      <xdr:colOff>7620</xdr:colOff>
      <xdr:row>63</xdr:row>
      <xdr:rowOff>114300</xdr:rowOff>
    </xdr:to>
    <xdr:graphicFrame macro="">
      <xdr:nvGraphicFramePr>
        <xdr:cNvPr id="15" name="Chart 14">
          <a:extLst>
            <a:ext uri="{FF2B5EF4-FFF2-40B4-BE49-F238E27FC236}">
              <a16:creationId xmlns:a16="http://schemas.microsoft.com/office/drawing/2014/main" id="{00000000-0008-0000-2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224790</xdr:colOff>
      <xdr:row>69</xdr:row>
      <xdr:rowOff>174172</xdr:rowOff>
    </xdr:from>
    <xdr:to>
      <xdr:col>28</xdr:col>
      <xdr:colOff>0</xdr:colOff>
      <xdr:row>86</xdr:row>
      <xdr:rowOff>103414</xdr:rowOff>
    </xdr:to>
    <xdr:graphicFrame macro="">
      <xdr:nvGraphicFramePr>
        <xdr:cNvPr id="16" name="Chart 15">
          <a:extLst>
            <a:ext uri="{FF2B5EF4-FFF2-40B4-BE49-F238E27FC236}">
              <a16:creationId xmlns:a16="http://schemas.microsoft.com/office/drawing/2014/main" id="{00000000-0008-0000-20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75.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76.xml><?xml version="1.0" encoding="utf-8"?>
<c:userShapes xmlns:c="http://schemas.openxmlformats.org/drawingml/2006/chart">
  <cdr:relSizeAnchor xmlns:cdr="http://schemas.openxmlformats.org/drawingml/2006/chartDrawing">
    <cdr:from>
      <cdr:x>0.96299</cdr:x>
      <cdr:y>0.81218</cdr:y>
    </cdr:from>
    <cdr:to>
      <cdr:x>1</cdr:x>
      <cdr:y>1</cdr:y>
    </cdr:to>
    <cdr:pic>
      <cdr:nvPicPr>
        <cdr:cNvPr id="3" name="Picture 2">
          <a:extLst xmlns:a="http://schemas.openxmlformats.org/drawingml/2006/main">
            <a:ext uri="{FF2B5EF4-FFF2-40B4-BE49-F238E27FC236}">
              <a16:creationId xmlns:a16="http://schemas.microsoft.com/office/drawing/2014/main" id="{00000000-0008-0000-1500-00001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7410" y="2469337"/>
          <a:ext cx="228600" cy="571043"/>
        </a:xfrm>
        <a:prstGeom xmlns:a="http://schemas.openxmlformats.org/drawingml/2006/main" prst="rect">
          <a:avLst/>
        </a:prstGeom>
      </cdr:spPr>
    </cdr:pic>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https://aramark365.sharepoint.com/Users/STOTTG1/AppData/Local/Microsoft/Windows/INetCache/Content.Outlook/5Y5Z00HX/Metrics_FY-19_P-2_Draft-Pre-MOR%20AP%2012-10-18%20(00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oegi/Downloads/Metrics_FY-20_P-8_Draft-Pre-MORv22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
      <sheetName val="AP"/>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onthData"/>
      <sheetName val="YearData"/>
      <sheetName val="Admin2"/>
      <sheetName val="Admin3"/>
      <sheetName val="Admin4"/>
      <sheetName val="Cover"/>
      <sheetName val="Summary"/>
      <sheetName val="Turnover"/>
      <sheetName val="AC"/>
      <sheetName val="S&amp;B"/>
      <sheetName val="SOX"/>
      <sheetName val="Acc Ops"/>
      <sheetName val="AR"/>
      <sheetName val="CB"/>
      <sheetName val="FA"/>
      <sheetName val="GL"/>
      <sheetName val="BC"/>
      <sheetName val="Pay Ops"/>
      <sheetName val="PR"/>
      <sheetName val="AP"/>
      <sheetName val="PS"/>
      <sheetName val="Spp Ops"/>
      <sheetName val="BSS"/>
      <sheetName val="CC"/>
      <sheetName val="PMO"/>
      <sheetName val="RPA"/>
      <sheetName val="HR Ops"/>
      <sheetName val="ADJ"/>
      <sheetName val="HH"/>
      <sheetName val="HRSO"/>
      <sheetName val="SC"/>
      <sheetName val="HRT"/>
      <sheetName val="TA Ops"/>
      <sheetName val=" TA"/>
      <sheetName val="MyTC"/>
      <sheetName val="MyCC"/>
      <sheetName val="MyOR"/>
    </sheetNames>
    <sheetDataSet>
      <sheetData sheetId="0" refreshError="1"/>
      <sheetData sheetId="1" refreshError="1"/>
      <sheetData sheetId="2" refreshError="1"/>
      <sheetData sheetId="3" refreshError="1"/>
      <sheetData sheetId="4" refreshError="1"/>
      <sheetData sheetId="5" refreshError="1"/>
      <sheetData sheetId="6">
        <row r="44">
          <cell r="C44" t="str">
            <v>MAY FY-20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persons/person.xml><?xml version="1.0" encoding="utf-8"?>
<personList xmlns="http://schemas.microsoft.com/office/spreadsheetml/2018/threadedcomments" xmlns:x="http://schemas.openxmlformats.org/spreadsheetml/2006/main">
  <person displayName="Stott, Graham" id="{F2518B30-A425-4620-B097-D4474EE8D836}" userId="S::stott-graham@aramark.com::b4a88c55-b4c1-42ef-8697-19dabcc36695" providerId="AD"/>
  <person displayName="Barham, Candace" id="{67053430-D6E1-412B-A3F8-CE75B57121BC}" userId="S::barham-candace@aramark.com::a279d7ba-e7bb-4d8b-95ca-d2e79dfe76a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BJ7" dT="2023-10-09T15:46:21.85" personId="{67053430-D6E1-412B-A3F8-CE75B57121BC}" id="{A18E7F28-D7F0-4DE6-98C6-CE4372EDA437}">
    <text>Shiren Tahir</text>
  </threadedComment>
  <threadedComment ref="BJ8" dT="2023-10-09T15:47:40.27" personId="{67053430-D6E1-412B-A3F8-CE75B57121BC}" id="{44057AA8-8BA4-4BE5-AB21-D3959678804D}">
    <text>Micah Eppinger</text>
  </threadedComment>
  <threadedComment ref="BK8" dT="2023-11-10T19:36:54.08" personId="{67053430-D6E1-412B-A3F8-CE75B57121BC}" id="{D3479E82-B4A2-4778-A320-5FA4ADCCD5AD}">
    <text>Leisha Jones &amp; Laura Caprio</text>
  </threadedComment>
</ThreadedComments>
</file>

<file path=xl/threadedComments/threadedComment2.xml><?xml version="1.0" encoding="utf-8"?>
<ThreadedComments xmlns="http://schemas.microsoft.com/office/spreadsheetml/2018/threadedcomments" xmlns:x="http://schemas.openxmlformats.org/spreadsheetml/2006/main">
  <threadedComment ref="BJ10" dT="2023-11-10T15:22:41.07" personId="{F2518B30-A425-4620-B097-D4474EE8D836}" id="{9942193F-B124-4659-8C8B-DB5469C62713}">
    <text>Monica Yamauchi</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8.bin"/><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11.bin"/><Relationship Id="rId5" Type="http://schemas.microsoft.com/office/2017/10/relationships/threadedComment" Target="../threadedComments/threadedComment1.xml"/><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7.xml"/><Relationship Id="rId1" Type="http://schemas.openxmlformats.org/officeDocument/2006/relationships/printerSettings" Target="../printerSettings/printerSettings14.bin"/><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20.xml"/><Relationship Id="rId1" Type="http://schemas.openxmlformats.org/officeDocument/2006/relationships/printerSettings" Target="../printerSettings/printerSettings16.bin"/><Relationship Id="rId5" Type="http://schemas.microsoft.com/office/2017/10/relationships/threadedComment" Target="../threadedComments/threadedComment2.xml"/><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26.xml"/><Relationship Id="rId1" Type="http://schemas.openxmlformats.org/officeDocument/2006/relationships/printerSettings" Target="../printerSettings/printerSettings17.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31.xml"/><Relationship Id="rId1" Type="http://schemas.openxmlformats.org/officeDocument/2006/relationships/printerSettings" Target="../printerSettings/printerSettings19.bin"/><Relationship Id="rId4" Type="http://schemas.openxmlformats.org/officeDocument/2006/relationships/comments" Target="../comments10.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32.xml"/><Relationship Id="rId1" Type="http://schemas.openxmlformats.org/officeDocument/2006/relationships/printerSettings" Target="../printerSettings/printerSettings20.bin"/><Relationship Id="rId4" Type="http://schemas.openxmlformats.org/officeDocument/2006/relationships/comments" Target="../comments11.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7.xml"/><Relationship Id="rId1" Type="http://schemas.openxmlformats.org/officeDocument/2006/relationships/printerSettings" Target="../printerSettings/printerSettings21.bin"/><Relationship Id="rId4" Type="http://schemas.openxmlformats.org/officeDocument/2006/relationships/comments" Target="../comments12.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44.xml"/><Relationship Id="rId1" Type="http://schemas.openxmlformats.org/officeDocument/2006/relationships/printerSettings" Target="../printerSettings/printerSettings22.bin"/><Relationship Id="rId4" Type="http://schemas.openxmlformats.org/officeDocument/2006/relationships/comments" Target="../comments13.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46.xml"/><Relationship Id="rId1" Type="http://schemas.openxmlformats.org/officeDocument/2006/relationships/printerSettings" Target="../printerSettings/printerSettings23.bin"/><Relationship Id="rId4" Type="http://schemas.openxmlformats.org/officeDocument/2006/relationships/comments" Target="../comments14.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51.xml"/><Relationship Id="rId1" Type="http://schemas.openxmlformats.org/officeDocument/2006/relationships/printerSettings" Target="../printerSettings/printerSettings24.bin"/><Relationship Id="rId4" Type="http://schemas.openxmlformats.org/officeDocument/2006/relationships/comments" Target="../comments15.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58.xml"/><Relationship Id="rId1" Type="http://schemas.openxmlformats.org/officeDocument/2006/relationships/printerSettings" Target="../printerSettings/printerSettings25.bin"/><Relationship Id="rId4" Type="http://schemas.openxmlformats.org/officeDocument/2006/relationships/comments" Target="../comments16.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68.xml"/><Relationship Id="rId1" Type="http://schemas.openxmlformats.org/officeDocument/2006/relationships/printerSettings" Target="../printerSettings/printerSettings29.bin"/><Relationship Id="rId4" Type="http://schemas.openxmlformats.org/officeDocument/2006/relationships/comments" Target="../comments17.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69.xml"/><Relationship Id="rId1" Type="http://schemas.openxmlformats.org/officeDocument/2006/relationships/printerSettings" Target="../printerSettings/printerSettings30.bin"/><Relationship Id="rId4" Type="http://schemas.openxmlformats.org/officeDocument/2006/relationships/comments" Target="../comments18.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73.xml"/><Relationship Id="rId1" Type="http://schemas.openxmlformats.org/officeDocument/2006/relationships/printerSettings" Target="../printerSettings/printerSettings31.bin"/><Relationship Id="rId4" Type="http://schemas.openxmlformats.org/officeDocument/2006/relationships/comments" Target="../comments1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dimension ref="B2:R88"/>
  <sheetViews>
    <sheetView zoomScale="80" zoomScaleNormal="80" workbookViewId="0">
      <pane xSplit="2" ySplit="7" topLeftCell="C43" activePane="bottomRight" state="frozen"/>
      <selection pane="topRight" activeCell="J127" sqref="J127"/>
      <selection pane="bottomLeft" activeCell="J127" sqref="J127"/>
      <selection pane="bottomRight" activeCell="D11" sqref="D11"/>
    </sheetView>
  </sheetViews>
  <sheetFormatPr defaultColWidth="12.7109375" defaultRowHeight="15"/>
  <cols>
    <col min="1" max="1" width="3.28515625" style="68" customWidth="1"/>
    <col min="2" max="2" width="44.7109375" style="68" bestFit="1" customWidth="1"/>
    <col min="3" max="3" width="13.7109375" style="68" customWidth="1"/>
    <col min="4" max="4" width="14.28515625" style="68" customWidth="1"/>
    <col min="5" max="5" width="14.42578125" style="68" customWidth="1"/>
    <col min="6" max="6" width="14" style="68" customWidth="1"/>
    <col min="7" max="7" width="17.42578125" style="68" customWidth="1"/>
    <col min="8" max="15" width="12.7109375" style="68" customWidth="1"/>
    <col min="16" max="16" width="3.28515625" style="68" customWidth="1"/>
    <col min="17" max="17" width="39.28515625" bestFit="1" customWidth="1"/>
    <col min="18" max="18" width="20.85546875" style="68" customWidth="1"/>
    <col min="19" max="16384" width="12.7109375" style="68"/>
  </cols>
  <sheetData>
    <row r="2" spans="2:18">
      <c r="G2" s="56" t="s">
        <v>0</v>
      </c>
      <c r="H2" s="56" t="s">
        <v>1</v>
      </c>
      <c r="I2" s="56" t="s">
        <v>2</v>
      </c>
      <c r="J2" s="56" t="s">
        <v>3</v>
      </c>
      <c r="K2" s="56" t="s">
        <v>4</v>
      </c>
      <c r="L2" s="56" t="s">
        <v>5</v>
      </c>
      <c r="M2" s="56" t="s">
        <v>6</v>
      </c>
    </row>
    <row r="3" spans="2:18">
      <c r="G3" s="56" t="s">
        <v>7</v>
      </c>
      <c r="H3" s="56" t="s">
        <v>8</v>
      </c>
      <c r="I3" s="56" t="s">
        <v>9</v>
      </c>
      <c r="J3" s="56" t="s">
        <v>10</v>
      </c>
      <c r="K3" s="56" t="s">
        <v>11</v>
      </c>
      <c r="L3" s="56" t="s">
        <v>12</v>
      </c>
      <c r="M3" s="56" t="s">
        <v>13</v>
      </c>
    </row>
    <row r="4" spans="2:18" ht="18" thickBot="1">
      <c r="B4" s="76" t="s">
        <v>14</v>
      </c>
      <c r="C4" s="76"/>
      <c r="D4" s="76"/>
      <c r="E4" s="76"/>
      <c r="G4" s="56" t="s">
        <v>15</v>
      </c>
      <c r="H4" s="56" t="s">
        <v>16</v>
      </c>
      <c r="I4" s="56" t="s">
        <v>17</v>
      </c>
      <c r="J4" s="56" t="s">
        <v>18</v>
      </c>
      <c r="K4" s="56" t="s">
        <v>19</v>
      </c>
      <c r="L4" s="56" t="s">
        <v>20</v>
      </c>
      <c r="M4" s="56" t="s">
        <v>21</v>
      </c>
    </row>
    <row r="5" spans="2:18" ht="15.75" thickTop="1">
      <c r="G5" s="161" t="s">
        <v>22</v>
      </c>
      <c r="H5" s="161"/>
    </row>
    <row r="6" spans="2:18">
      <c r="B6" s="74" t="s">
        <v>23</v>
      </c>
      <c r="C6" s="74" t="s">
        <v>36</v>
      </c>
      <c r="D6" s="74" t="s">
        <v>698</v>
      </c>
      <c r="E6" s="74" t="s">
        <v>699</v>
      </c>
      <c r="F6" s="74" t="s">
        <v>700</v>
      </c>
      <c r="G6" s="74" t="s">
        <v>701</v>
      </c>
      <c r="H6" s="74" t="s">
        <v>702</v>
      </c>
      <c r="I6" s="74" t="s">
        <v>703</v>
      </c>
      <c r="J6" s="74" t="s">
        <v>704</v>
      </c>
      <c r="K6" s="74" t="s">
        <v>705</v>
      </c>
      <c r="L6" s="74" t="s">
        <v>706</v>
      </c>
      <c r="M6" s="74" t="s">
        <v>707</v>
      </c>
      <c r="N6" s="74" t="s">
        <v>708</v>
      </c>
      <c r="O6" s="74" t="s">
        <v>709</v>
      </c>
    </row>
    <row r="7" spans="2:18">
      <c r="B7" s="74" t="s">
        <v>37</v>
      </c>
      <c r="C7" s="74">
        <v>-1</v>
      </c>
      <c r="D7" s="74">
        <v>1</v>
      </c>
      <c r="E7" s="74">
        <v>2</v>
      </c>
      <c r="F7" s="74">
        <v>3</v>
      </c>
      <c r="G7" s="74">
        <v>4</v>
      </c>
      <c r="H7" s="74">
        <v>5</v>
      </c>
      <c r="I7" s="74">
        <v>6</v>
      </c>
      <c r="J7" s="74">
        <v>7</v>
      </c>
      <c r="K7" s="74">
        <v>8</v>
      </c>
      <c r="L7" s="74">
        <v>9</v>
      </c>
      <c r="M7" s="74">
        <v>10</v>
      </c>
      <c r="N7" s="74">
        <v>11</v>
      </c>
      <c r="O7" s="74">
        <v>12</v>
      </c>
    </row>
    <row r="8" spans="2:18" ht="15.75" thickBot="1">
      <c r="B8" s="75" t="s">
        <v>38</v>
      </c>
      <c r="C8" s="219"/>
      <c r="D8" s="219"/>
      <c r="E8" s="219"/>
      <c r="R8" s="68">
        <v>7976</v>
      </c>
    </row>
    <row r="9" spans="2:18">
      <c r="B9" s="68" t="s">
        <v>39</v>
      </c>
      <c r="C9" s="604">
        <v>18</v>
      </c>
      <c r="D9" s="584">
        <v>18</v>
      </c>
      <c r="E9" s="584">
        <v>18</v>
      </c>
      <c r="F9" s="584">
        <v>18</v>
      </c>
      <c r="G9" s="584">
        <v>18</v>
      </c>
      <c r="H9" s="584">
        <v>18</v>
      </c>
      <c r="I9" s="584">
        <v>18</v>
      </c>
      <c r="J9" s="584">
        <v>18</v>
      </c>
      <c r="K9" s="584">
        <v>18</v>
      </c>
      <c r="L9" s="584">
        <v>18</v>
      </c>
      <c r="M9" s="584">
        <v>18</v>
      </c>
      <c r="N9" s="584">
        <v>18</v>
      </c>
      <c r="O9" s="584">
        <v>18</v>
      </c>
      <c r="Q9" s="68" t="s">
        <v>38</v>
      </c>
    </row>
    <row r="10" spans="2:18">
      <c r="B10" s="68" t="s">
        <v>40</v>
      </c>
      <c r="C10" s="604">
        <v>18</v>
      </c>
      <c r="D10" s="584">
        <v>18</v>
      </c>
      <c r="E10" s="584">
        <v>18</v>
      </c>
      <c r="F10" s="584">
        <v>18</v>
      </c>
      <c r="G10" s="584">
        <v>18</v>
      </c>
      <c r="H10" s="584">
        <v>18</v>
      </c>
      <c r="I10" s="584">
        <v>18</v>
      </c>
      <c r="J10" s="584">
        <v>18</v>
      </c>
      <c r="K10" s="584">
        <v>18</v>
      </c>
      <c r="L10" s="584">
        <v>18</v>
      </c>
      <c r="M10" s="584">
        <v>18</v>
      </c>
      <c r="N10" s="584">
        <v>18</v>
      </c>
      <c r="O10" s="584">
        <v>18</v>
      </c>
      <c r="Q10" s="68" t="s">
        <v>38</v>
      </c>
    </row>
    <row r="11" spans="2:18">
      <c r="B11" s="68" t="s">
        <v>41</v>
      </c>
      <c r="C11" s="594">
        <v>15</v>
      </c>
      <c r="D11" s="594">
        <v>17</v>
      </c>
      <c r="E11" s="594"/>
      <c r="F11" s="594"/>
      <c r="G11" s="594"/>
      <c r="H11" s="594"/>
      <c r="I11" s="594"/>
      <c r="J11" s="594"/>
      <c r="K11" s="594"/>
      <c r="L11" s="594"/>
      <c r="M11" s="594"/>
      <c r="N11" s="594"/>
      <c r="O11" s="594"/>
      <c r="Q11" s="68" t="s">
        <v>38</v>
      </c>
    </row>
    <row r="12" spans="2:18">
      <c r="C12" s="606"/>
      <c r="D12" s="607"/>
      <c r="E12" s="607"/>
      <c r="F12" s="607"/>
      <c r="G12" s="607"/>
      <c r="H12" s="606"/>
      <c r="I12" s="606"/>
      <c r="J12" s="606"/>
      <c r="K12" s="606"/>
      <c r="L12" s="606"/>
      <c r="M12" s="606"/>
      <c r="N12" s="606"/>
      <c r="O12" s="606"/>
    </row>
    <row r="13" spans="2:18" ht="15.75" thickBot="1">
      <c r="B13" s="75" t="s">
        <v>42</v>
      </c>
      <c r="C13" s="205"/>
      <c r="D13" s="219"/>
      <c r="E13" s="219"/>
      <c r="G13"/>
      <c r="H13" s="205"/>
      <c r="I13" s="205"/>
      <c r="J13" s="205"/>
      <c r="K13" s="205"/>
      <c r="L13" s="205"/>
      <c r="M13" s="205"/>
      <c r="N13" s="205"/>
      <c r="O13" s="205"/>
      <c r="R13" s="68">
        <v>7974</v>
      </c>
    </row>
    <row r="14" spans="2:18">
      <c r="B14" s="68" t="s">
        <v>39</v>
      </c>
      <c r="C14" s="582">
        <v>28</v>
      </c>
      <c r="D14" s="580">
        <v>28</v>
      </c>
      <c r="E14" s="580">
        <v>28</v>
      </c>
      <c r="F14" s="580">
        <v>28</v>
      </c>
      <c r="G14" s="580">
        <v>28</v>
      </c>
      <c r="H14" s="580">
        <v>28</v>
      </c>
      <c r="I14" s="580">
        <v>28</v>
      </c>
      <c r="J14" s="580">
        <v>28</v>
      </c>
      <c r="K14" s="580">
        <v>28</v>
      </c>
      <c r="L14" s="580">
        <v>28</v>
      </c>
      <c r="M14" s="580">
        <v>28</v>
      </c>
      <c r="N14" s="580">
        <v>28</v>
      </c>
      <c r="O14" s="580">
        <v>28</v>
      </c>
      <c r="Q14" s="68" t="s">
        <v>42</v>
      </c>
    </row>
    <row r="15" spans="2:18">
      <c r="B15" s="68" t="s">
        <v>40</v>
      </c>
      <c r="C15" s="598">
        <v>28</v>
      </c>
      <c r="D15" s="599">
        <v>28</v>
      </c>
      <c r="E15" s="599">
        <v>28</v>
      </c>
      <c r="F15" s="599">
        <v>28</v>
      </c>
      <c r="G15" s="599">
        <v>28</v>
      </c>
      <c r="H15" s="599">
        <v>28</v>
      </c>
      <c r="I15" s="599">
        <v>28</v>
      </c>
      <c r="J15" s="599">
        <v>28</v>
      </c>
      <c r="K15" s="599">
        <v>28</v>
      </c>
      <c r="L15" s="599">
        <v>28</v>
      </c>
      <c r="M15" s="599">
        <v>28</v>
      </c>
      <c r="N15" s="599">
        <v>28</v>
      </c>
      <c r="O15" s="599">
        <v>28</v>
      </c>
      <c r="Q15" s="68" t="s">
        <v>42</v>
      </c>
    </row>
    <row r="16" spans="2:18">
      <c r="B16" s="68" t="s">
        <v>41</v>
      </c>
      <c r="C16" s="594">
        <v>25</v>
      </c>
      <c r="D16" s="594">
        <v>27</v>
      </c>
      <c r="E16" s="594"/>
      <c r="F16" s="594"/>
      <c r="G16" s="594"/>
      <c r="H16" s="594"/>
      <c r="I16" s="594"/>
      <c r="J16" s="594"/>
      <c r="K16" s="594"/>
      <c r="L16" s="594"/>
      <c r="M16" s="594"/>
      <c r="N16" s="594"/>
      <c r="O16" s="594"/>
      <c r="Q16" s="68" t="s">
        <v>42</v>
      </c>
    </row>
    <row r="17" spans="2:18">
      <c r="C17" s="606"/>
      <c r="D17" s="607"/>
      <c r="E17" s="607"/>
      <c r="F17" s="607"/>
      <c r="G17" s="607"/>
      <c r="H17" s="606"/>
      <c r="I17" s="606"/>
      <c r="J17" s="606"/>
      <c r="K17" s="606"/>
      <c r="L17" s="606"/>
      <c r="M17" s="606"/>
      <c r="N17" s="606"/>
      <c r="O17" s="606"/>
    </row>
    <row r="18" spans="2:18" ht="15.75" thickBot="1">
      <c r="B18" s="75" t="s">
        <v>43</v>
      </c>
      <c r="C18" s="205"/>
      <c r="D18" s="601"/>
      <c r="E18" s="601"/>
      <c r="F18" s="213"/>
      <c r="G18" s="213"/>
      <c r="H18" s="205"/>
      <c r="I18" s="205"/>
      <c r="J18" s="205"/>
      <c r="K18" s="205"/>
      <c r="L18" s="205"/>
      <c r="M18" s="205"/>
      <c r="N18" s="205"/>
      <c r="O18" s="205"/>
      <c r="R18" s="68">
        <v>7972</v>
      </c>
    </row>
    <row r="19" spans="2:18">
      <c r="B19" s="68" t="s">
        <v>39</v>
      </c>
      <c r="C19" s="604">
        <v>16</v>
      </c>
      <c r="D19" s="584">
        <v>16</v>
      </c>
      <c r="E19" s="584">
        <v>16</v>
      </c>
      <c r="F19" s="584">
        <v>16</v>
      </c>
      <c r="G19" s="584">
        <v>16</v>
      </c>
      <c r="H19" s="584">
        <v>16</v>
      </c>
      <c r="I19" s="584">
        <v>16</v>
      </c>
      <c r="J19" s="584">
        <v>16</v>
      </c>
      <c r="K19" s="584">
        <v>16</v>
      </c>
      <c r="L19" s="584">
        <v>16</v>
      </c>
      <c r="M19" s="584">
        <v>16</v>
      </c>
      <c r="N19" s="584">
        <v>16</v>
      </c>
      <c r="O19" s="584">
        <v>16</v>
      </c>
      <c r="Q19" s="68" t="s">
        <v>43</v>
      </c>
    </row>
    <row r="20" spans="2:18">
      <c r="B20" s="68" t="s">
        <v>40</v>
      </c>
      <c r="C20" s="604">
        <v>16</v>
      </c>
      <c r="D20" s="584">
        <v>16</v>
      </c>
      <c r="E20" s="584">
        <v>16</v>
      </c>
      <c r="F20" s="584">
        <v>16</v>
      </c>
      <c r="G20" s="584">
        <v>16</v>
      </c>
      <c r="H20" s="584">
        <v>16</v>
      </c>
      <c r="I20" s="584">
        <v>16</v>
      </c>
      <c r="J20" s="584">
        <v>16</v>
      </c>
      <c r="K20" s="584">
        <v>16</v>
      </c>
      <c r="L20" s="584">
        <v>16</v>
      </c>
      <c r="M20" s="584">
        <v>16</v>
      </c>
      <c r="N20" s="584">
        <v>16</v>
      </c>
      <c r="O20" s="584">
        <v>16</v>
      </c>
      <c r="Q20" s="68" t="s">
        <v>43</v>
      </c>
    </row>
    <row r="21" spans="2:18">
      <c r="B21" s="68" t="s">
        <v>41</v>
      </c>
      <c r="C21" s="594">
        <v>16</v>
      </c>
      <c r="D21" s="594">
        <v>15</v>
      </c>
      <c r="E21" s="594"/>
      <c r="F21" s="594"/>
      <c r="G21" s="594"/>
      <c r="H21" s="594"/>
      <c r="I21" s="594"/>
      <c r="J21" s="594"/>
      <c r="K21" s="594"/>
      <c r="L21" s="594"/>
      <c r="M21" s="594"/>
      <c r="N21" s="594"/>
      <c r="O21" s="594"/>
      <c r="Q21" s="68" t="s">
        <v>43</v>
      </c>
    </row>
    <row r="22" spans="2:18">
      <c r="C22" s="606"/>
      <c r="D22" s="607"/>
      <c r="E22" s="607"/>
      <c r="F22" s="607"/>
      <c r="G22" s="607"/>
      <c r="H22" s="606"/>
      <c r="I22" s="606"/>
      <c r="J22" s="606"/>
      <c r="K22" s="606"/>
      <c r="L22" s="606"/>
      <c r="M22" s="606"/>
      <c r="N22" s="606"/>
      <c r="O22" s="606"/>
    </row>
    <row r="23" spans="2:18" ht="15.75" thickBot="1">
      <c r="B23" s="75" t="s">
        <v>44</v>
      </c>
      <c r="C23" s="205"/>
      <c r="D23" s="219"/>
      <c r="E23" s="219"/>
      <c r="G23"/>
      <c r="H23" s="205"/>
      <c r="I23" s="205"/>
      <c r="J23" s="205"/>
      <c r="K23" s="205"/>
      <c r="L23" s="205"/>
      <c r="M23" s="205"/>
      <c r="N23" s="205"/>
      <c r="O23" s="205"/>
      <c r="R23" s="68">
        <v>7973</v>
      </c>
    </row>
    <row r="24" spans="2:18">
      <c r="B24" s="68" t="s">
        <v>39</v>
      </c>
      <c r="C24" s="604">
        <v>7</v>
      </c>
      <c r="D24" s="584">
        <v>7</v>
      </c>
      <c r="E24" s="584">
        <v>7</v>
      </c>
      <c r="F24" s="584">
        <v>7</v>
      </c>
      <c r="G24" s="584">
        <v>7</v>
      </c>
      <c r="H24" s="584">
        <v>7</v>
      </c>
      <c r="I24" s="584">
        <v>7</v>
      </c>
      <c r="J24" s="584">
        <v>7</v>
      </c>
      <c r="K24" s="584">
        <v>7</v>
      </c>
      <c r="L24" s="584">
        <v>7</v>
      </c>
      <c r="M24" s="584">
        <v>7</v>
      </c>
      <c r="N24" s="584">
        <v>7</v>
      </c>
      <c r="O24" s="584">
        <v>7</v>
      </c>
      <c r="Q24" s="68" t="s">
        <v>44</v>
      </c>
    </row>
    <row r="25" spans="2:18">
      <c r="B25" s="68" t="s">
        <v>40</v>
      </c>
      <c r="C25" s="604">
        <v>7</v>
      </c>
      <c r="D25" s="584">
        <v>7</v>
      </c>
      <c r="E25" s="584">
        <v>7</v>
      </c>
      <c r="F25" s="584">
        <v>7</v>
      </c>
      <c r="G25" s="584">
        <v>7</v>
      </c>
      <c r="H25" s="584">
        <v>7</v>
      </c>
      <c r="I25" s="584">
        <v>7</v>
      </c>
      <c r="J25" s="584">
        <v>7</v>
      </c>
      <c r="K25" s="584">
        <v>7</v>
      </c>
      <c r="L25" s="584">
        <v>7</v>
      </c>
      <c r="M25" s="584">
        <v>7</v>
      </c>
      <c r="N25" s="584">
        <v>7</v>
      </c>
      <c r="O25" s="584">
        <v>7</v>
      </c>
      <c r="Q25" s="68" t="s">
        <v>44</v>
      </c>
    </row>
    <row r="26" spans="2:18" ht="14.25" customHeight="1">
      <c r="B26" s="68" t="s">
        <v>41</v>
      </c>
      <c r="C26" s="594">
        <v>6</v>
      </c>
      <c r="D26" s="594">
        <v>7</v>
      </c>
      <c r="E26" s="594"/>
      <c r="F26" s="594"/>
      <c r="G26" s="594"/>
      <c r="H26" s="594"/>
      <c r="I26" s="594"/>
      <c r="J26" s="594"/>
      <c r="K26" s="594"/>
      <c r="L26" s="594"/>
      <c r="M26" s="594"/>
      <c r="N26" s="594"/>
      <c r="O26" s="594"/>
      <c r="Q26" s="68" t="s">
        <v>44</v>
      </c>
    </row>
    <row r="27" spans="2:18">
      <c r="C27" s="606"/>
      <c r="D27" s="607"/>
      <c r="E27" s="607"/>
      <c r="F27" s="607"/>
      <c r="G27" s="607"/>
      <c r="H27" s="606"/>
      <c r="I27" s="606"/>
      <c r="J27" s="606"/>
      <c r="K27" s="606"/>
      <c r="L27" s="606"/>
      <c r="M27" s="606"/>
      <c r="N27" s="606"/>
      <c r="O27" s="606"/>
    </row>
    <row r="28" spans="2:18" ht="15.75" thickBot="1">
      <c r="B28" s="75" t="s">
        <v>45</v>
      </c>
      <c r="C28" s="205"/>
      <c r="D28" s="219"/>
      <c r="E28" s="219"/>
      <c r="G28"/>
      <c r="H28" s="205"/>
      <c r="I28" s="205"/>
      <c r="J28" s="205"/>
      <c r="K28" s="205"/>
      <c r="L28" s="205"/>
      <c r="M28" s="205"/>
      <c r="N28" s="205"/>
      <c r="O28" s="205"/>
      <c r="R28" s="68" t="s">
        <v>46</v>
      </c>
    </row>
    <row r="29" spans="2:18">
      <c r="B29" s="68" t="s">
        <v>39</v>
      </c>
      <c r="C29" s="604">
        <v>35</v>
      </c>
      <c r="D29" s="584">
        <v>34</v>
      </c>
      <c r="E29" s="584">
        <v>34</v>
      </c>
      <c r="F29" s="584">
        <v>34</v>
      </c>
      <c r="G29" s="584">
        <v>34</v>
      </c>
      <c r="H29" s="584">
        <v>34</v>
      </c>
      <c r="I29" s="584">
        <v>34</v>
      </c>
      <c r="J29" s="584">
        <v>34</v>
      </c>
      <c r="K29" s="584">
        <v>34</v>
      </c>
      <c r="L29" s="584">
        <v>34</v>
      </c>
      <c r="M29" s="584">
        <v>34</v>
      </c>
      <c r="N29" s="584">
        <v>34</v>
      </c>
      <c r="O29" s="584">
        <v>34</v>
      </c>
      <c r="Q29" s="68" t="s">
        <v>45</v>
      </c>
    </row>
    <row r="30" spans="2:18">
      <c r="B30" s="68" t="s">
        <v>40</v>
      </c>
      <c r="C30" s="604">
        <v>35</v>
      </c>
      <c r="D30" s="584">
        <v>34</v>
      </c>
      <c r="E30" s="584">
        <v>34</v>
      </c>
      <c r="F30" s="584">
        <v>34</v>
      </c>
      <c r="G30" s="584">
        <v>34</v>
      </c>
      <c r="H30" s="584">
        <v>34</v>
      </c>
      <c r="I30" s="584">
        <v>34</v>
      </c>
      <c r="J30" s="584">
        <v>34</v>
      </c>
      <c r="K30" s="584">
        <v>34</v>
      </c>
      <c r="L30" s="584">
        <v>34</v>
      </c>
      <c r="M30" s="584">
        <v>34</v>
      </c>
      <c r="N30" s="584">
        <v>34</v>
      </c>
      <c r="O30" s="584">
        <v>34</v>
      </c>
      <c r="Q30" s="68" t="s">
        <v>45</v>
      </c>
    </row>
    <row r="31" spans="2:18">
      <c r="B31" s="68" t="s">
        <v>41</v>
      </c>
      <c r="C31" s="594">
        <v>33</v>
      </c>
      <c r="D31" s="594">
        <v>34</v>
      </c>
      <c r="E31" s="594"/>
      <c r="F31" s="220"/>
      <c r="G31" s="220"/>
      <c r="H31" s="220"/>
      <c r="I31" s="220"/>
      <c r="J31" s="220"/>
      <c r="K31" s="220"/>
      <c r="L31" s="220"/>
      <c r="M31" s="220"/>
      <c r="N31" s="220"/>
      <c r="O31" s="220"/>
      <c r="Q31" s="68" t="s">
        <v>45</v>
      </c>
    </row>
    <row r="32" spans="2:18">
      <c r="C32" s="606"/>
      <c r="D32" s="607"/>
      <c r="E32" s="607"/>
      <c r="H32" s="205"/>
      <c r="I32" s="205"/>
      <c r="J32" s="205"/>
      <c r="K32" s="205"/>
      <c r="L32" s="205"/>
      <c r="M32" s="205"/>
      <c r="N32" s="205"/>
      <c r="O32" s="205"/>
    </row>
    <row r="33" spans="2:18" ht="15.75" thickBot="1">
      <c r="B33" s="75" t="s">
        <v>47</v>
      </c>
      <c r="C33" s="205"/>
      <c r="D33" s="219"/>
      <c r="E33" s="219"/>
      <c r="G33"/>
      <c r="H33" s="205"/>
      <c r="I33" s="205"/>
      <c r="J33" s="205"/>
      <c r="K33" s="205"/>
      <c r="L33" s="205"/>
      <c r="M33" s="205"/>
      <c r="N33" s="205"/>
      <c r="O33" s="205"/>
      <c r="R33" s="68">
        <v>7979</v>
      </c>
    </row>
    <row r="34" spans="2:18">
      <c r="B34" s="68" t="s">
        <v>39</v>
      </c>
      <c r="C34" s="604">
        <v>40</v>
      </c>
      <c r="D34" s="584">
        <v>39</v>
      </c>
      <c r="E34" s="584">
        <v>39</v>
      </c>
      <c r="F34" s="584">
        <v>39</v>
      </c>
      <c r="G34" s="584">
        <v>39</v>
      </c>
      <c r="H34" s="584">
        <v>39</v>
      </c>
      <c r="I34" s="584">
        <v>39</v>
      </c>
      <c r="J34" s="584">
        <v>39</v>
      </c>
      <c r="K34" s="584">
        <v>39</v>
      </c>
      <c r="L34" s="584">
        <v>39</v>
      </c>
      <c r="M34" s="584">
        <v>39</v>
      </c>
      <c r="N34" s="584">
        <v>39</v>
      </c>
      <c r="O34" s="584">
        <v>39</v>
      </c>
      <c r="Q34" s="68" t="s">
        <v>47</v>
      </c>
    </row>
    <row r="35" spans="2:18">
      <c r="B35" s="68" t="s">
        <v>40</v>
      </c>
      <c r="C35" s="604">
        <v>40</v>
      </c>
      <c r="D35" s="584">
        <v>39</v>
      </c>
      <c r="E35" s="584">
        <v>39</v>
      </c>
      <c r="F35" s="584">
        <v>39</v>
      </c>
      <c r="G35" s="584">
        <v>39</v>
      </c>
      <c r="H35" s="584">
        <v>39</v>
      </c>
      <c r="I35" s="584">
        <v>39</v>
      </c>
      <c r="J35" s="584">
        <v>39</v>
      </c>
      <c r="K35" s="584">
        <v>39</v>
      </c>
      <c r="L35" s="584">
        <v>39</v>
      </c>
      <c r="M35" s="584">
        <v>39</v>
      </c>
      <c r="N35" s="584">
        <v>39</v>
      </c>
      <c r="O35" s="584">
        <v>39</v>
      </c>
      <c r="Q35" s="68" t="s">
        <v>47</v>
      </c>
    </row>
    <row r="36" spans="2:18">
      <c r="B36" s="68" t="s">
        <v>41</v>
      </c>
      <c r="C36" s="594">
        <v>36</v>
      </c>
      <c r="D36" s="594">
        <v>37</v>
      </c>
      <c r="E36" s="594"/>
      <c r="F36" s="220"/>
      <c r="G36" s="220"/>
      <c r="H36" s="220"/>
      <c r="I36" s="220"/>
      <c r="J36" s="220"/>
      <c r="K36" s="220"/>
      <c r="L36" s="220"/>
      <c r="M36" s="220"/>
      <c r="N36" s="220"/>
      <c r="O36" s="220"/>
      <c r="Q36" s="68" t="s">
        <v>47</v>
      </c>
    </row>
    <row r="37" spans="2:18">
      <c r="C37" s="606"/>
      <c r="D37" s="607"/>
      <c r="E37" s="607"/>
      <c r="H37" s="205"/>
      <c r="I37" s="205"/>
      <c r="J37" s="205"/>
      <c r="K37" s="205"/>
      <c r="L37" s="205"/>
      <c r="M37" s="205"/>
      <c r="N37" s="205"/>
      <c r="O37" s="205"/>
    </row>
    <row r="38" spans="2:18" ht="15.75" thickBot="1">
      <c r="B38" s="75" t="s">
        <v>48</v>
      </c>
      <c r="C38" s="205"/>
      <c r="D38" s="219"/>
      <c r="E38" s="219"/>
      <c r="G38"/>
      <c r="H38" s="205"/>
      <c r="I38" s="205"/>
      <c r="J38" s="205"/>
      <c r="K38" s="205"/>
      <c r="L38" s="205"/>
      <c r="M38" s="205"/>
      <c r="N38" s="205"/>
      <c r="O38" s="205"/>
      <c r="R38" s="68">
        <v>8545</v>
      </c>
    </row>
    <row r="39" spans="2:18">
      <c r="B39" s="68" t="s">
        <v>39</v>
      </c>
      <c r="C39" s="604">
        <v>60</v>
      </c>
      <c r="D39" s="584">
        <v>61</v>
      </c>
      <c r="E39" s="584">
        <v>61</v>
      </c>
      <c r="F39" s="584">
        <v>61</v>
      </c>
      <c r="G39" s="584">
        <v>61</v>
      </c>
      <c r="H39" s="584">
        <v>61</v>
      </c>
      <c r="I39" s="584">
        <v>61</v>
      </c>
      <c r="J39" s="584">
        <v>61</v>
      </c>
      <c r="K39" s="584">
        <v>61</v>
      </c>
      <c r="L39" s="584">
        <v>61</v>
      </c>
      <c r="M39" s="584">
        <v>61</v>
      </c>
      <c r="N39" s="584">
        <v>61</v>
      </c>
      <c r="O39" s="584">
        <v>61</v>
      </c>
      <c r="Q39" s="68" t="s">
        <v>48</v>
      </c>
    </row>
    <row r="40" spans="2:18">
      <c r="B40" s="68" t="s">
        <v>40</v>
      </c>
      <c r="C40" s="604">
        <v>60</v>
      </c>
      <c r="D40" s="584">
        <v>61</v>
      </c>
      <c r="E40" s="584">
        <v>61</v>
      </c>
      <c r="F40" s="584">
        <v>61</v>
      </c>
      <c r="G40" s="584">
        <v>61</v>
      </c>
      <c r="H40" s="584">
        <v>61</v>
      </c>
      <c r="I40" s="584">
        <v>61</v>
      </c>
      <c r="J40" s="584">
        <v>61</v>
      </c>
      <c r="K40" s="584">
        <v>61</v>
      </c>
      <c r="L40" s="584">
        <v>61</v>
      </c>
      <c r="M40" s="584">
        <v>61</v>
      </c>
      <c r="N40" s="584">
        <v>61</v>
      </c>
      <c r="O40" s="584">
        <v>61</v>
      </c>
      <c r="Q40" s="68" t="s">
        <v>48</v>
      </c>
    </row>
    <row r="41" spans="2:18">
      <c r="B41" s="68" t="s">
        <v>41</v>
      </c>
      <c r="C41" s="594">
        <v>62</v>
      </c>
      <c r="D41" s="594">
        <v>63</v>
      </c>
      <c r="E41" s="594"/>
      <c r="F41" s="220"/>
      <c r="G41" s="220"/>
      <c r="H41" s="220"/>
      <c r="I41" s="220"/>
      <c r="J41" s="220"/>
      <c r="K41" s="220"/>
      <c r="L41" s="220"/>
      <c r="M41" s="220"/>
      <c r="N41" s="220"/>
      <c r="O41" s="220"/>
      <c r="Q41" s="68" t="s">
        <v>48</v>
      </c>
    </row>
    <row r="42" spans="2:18">
      <c r="C42" s="606"/>
      <c r="D42" s="607"/>
      <c r="E42" s="607"/>
      <c r="H42" s="205"/>
      <c r="I42" s="205"/>
      <c r="J42" s="205"/>
      <c r="K42" s="205"/>
      <c r="L42" s="205"/>
      <c r="M42" s="205"/>
      <c r="N42" s="205"/>
      <c r="O42" s="205"/>
    </row>
    <row r="43" spans="2:18" ht="15.75" thickBot="1">
      <c r="B43" s="75" t="s">
        <v>49</v>
      </c>
      <c r="C43" s="205"/>
      <c r="D43" s="219"/>
      <c r="E43" s="219"/>
      <c r="G43"/>
      <c r="H43" s="205"/>
      <c r="I43" s="205"/>
      <c r="J43" s="205"/>
      <c r="K43" s="205"/>
      <c r="L43" s="205"/>
      <c r="M43" s="205"/>
      <c r="N43" s="205"/>
      <c r="O43" s="205"/>
      <c r="R43" s="68">
        <v>7850</v>
      </c>
    </row>
    <row r="44" spans="2:18">
      <c r="B44" s="68" t="s">
        <v>39</v>
      </c>
      <c r="C44" s="604">
        <v>7</v>
      </c>
      <c r="D44" s="584">
        <v>7</v>
      </c>
      <c r="E44" s="584">
        <v>7</v>
      </c>
      <c r="F44" s="584">
        <v>7</v>
      </c>
      <c r="G44" s="584">
        <v>7</v>
      </c>
      <c r="H44" s="584">
        <v>7</v>
      </c>
      <c r="I44" s="584">
        <v>7</v>
      </c>
      <c r="J44" s="584">
        <v>7</v>
      </c>
      <c r="K44" s="584">
        <v>7</v>
      </c>
      <c r="L44" s="584">
        <v>7</v>
      </c>
      <c r="M44" s="584">
        <v>7</v>
      </c>
      <c r="N44" s="584">
        <v>7</v>
      </c>
      <c r="O44" s="584">
        <v>7</v>
      </c>
      <c r="Q44" s="68" t="s">
        <v>49</v>
      </c>
    </row>
    <row r="45" spans="2:18">
      <c r="B45" s="68" t="s">
        <v>40</v>
      </c>
      <c r="C45" s="604">
        <v>7</v>
      </c>
      <c r="D45" s="584">
        <v>7</v>
      </c>
      <c r="E45" s="584">
        <v>7</v>
      </c>
      <c r="F45" s="584">
        <v>7</v>
      </c>
      <c r="G45" s="584">
        <v>7</v>
      </c>
      <c r="H45" s="584">
        <v>7</v>
      </c>
      <c r="I45" s="584">
        <v>7</v>
      </c>
      <c r="J45" s="584">
        <v>7</v>
      </c>
      <c r="K45" s="584">
        <v>7</v>
      </c>
      <c r="L45" s="584">
        <v>7</v>
      </c>
      <c r="M45" s="584">
        <v>7</v>
      </c>
      <c r="N45" s="584">
        <v>7</v>
      </c>
      <c r="O45" s="584">
        <v>7</v>
      </c>
      <c r="Q45" s="68" t="s">
        <v>49</v>
      </c>
    </row>
    <row r="46" spans="2:18">
      <c r="B46" s="68" t="s">
        <v>41</v>
      </c>
      <c r="C46" s="594">
        <v>7</v>
      </c>
      <c r="D46" s="594">
        <v>7</v>
      </c>
      <c r="E46" s="594"/>
      <c r="F46" s="220"/>
      <c r="G46" s="220"/>
      <c r="H46" s="220"/>
      <c r="I46" s="220"/>
      <c r="J46" s="220"/>
      <c r="K46" s="220"/>
      <c r="L46" s="220"/>
      <c r="M46" s="220"/>
      <c r="N46" s="220"/>
      <c r="O46" s="220"/>
      <c r="Q46" s="68" t="s">
        <v>49</v>
      </c>
    </row>
    <row r="47" spans="2:18">
      <c r="C47" s="606"/>
      <c r="D47" s="607"/>
      <c r="E47" s="607"/>
      <c r="H47" s="205"/>
      <c r="I47" s="205"/>
      <c r="J47" s="205"/>
      <c r="K47" s="205"/>
      <c r="L47" s="205"/>
      <c r="M47" s="205"/>
      <c r="N47" s="205"/>
      <c r="O47" s="205"/>
    </row>
    <row r="48" spans="2:18" ht="15.75" thickBot="1">
      <c r="B48" s="75" t="s">
        <v>50</v>
      </c>
      <c r="C48" s="205"/>
      <c r="D48" s="219"/>
      <c r="E48" s="219"/>
      <c r="G48"/>
      <c r="H48" s="205"/>
      <c r="I48" s="205"/>
      <c r="J48" s="205"/>
      <c r="K48" s="205"/>
      <c r="L48" s="205"/>
      <c r="M48" s="205"/>
      <c r="N48" s="205"/>
      <c r="O48" s="205"/>
      <c r="R48" s="68">
        <v>7988</v>
      </c>
    </row>
    <row r="49" spans="2:18">
      <c r="B49" s="68" t="s">
        <v>39</v>
      </c>
      <c r="C49" s="605">
        <v>0</v>
      </c>
      <c r="D49" s="605">
        <v>0</v>
      </c>
      <c r="E49" s="584">
        <v>0</v>
      </c>
      <c r="F49" s="584">
        <v>0</v>
      </c>
      <c r="G49" s="584">
        <v>0</v>
      </c>
      <c r="H49" s="584">
        <v>0</v>
      </c>
      <c r="I49" s="584">
        <v>0</v>
      </c>
      <c r="J49" s="584">
        <v>0</v>
      </c>
      <c r="K49" s="584">
        <v>0</v>
      </c>
      <c r="L49" s="584">
        <v>0</v>
      </c>
      <c r="M49" s="584">
        <v>0</v>
      </c>
      <c r="N49" s="584">
        <v>0</v>
      </c>
      <c r="O49" s="584">
        <v>0</v>
      </c>
      <c r="Q49" s="68" t="s">
        <v>50</v>
      </c>
    </row>
    <row r="50" spans="2:18">
      <c r="B50" s="68" t="s">
        <v>40</v>
      </c>
      <c r="C50" s="604">
        <v>0</v>
      </c>
      <c r="D50" s="605">
        <v>0</v>
      </c>
      <c r="E50" s="584">
        <v>0</v>
      </c>
      <c r="F50" s="584">
        <v>0</v>
      </c>
      <c r="G50" s="584">
        <v>0</v>
      </c>
      <c r="H50" s="584">
        <v>0</v>
      </c>
      <c r="I50" s="584">
        <v>0</v>
      </c>
      <c r="J50" s="584">
        <v>0</v>
      </c>
      <c r="K50" s="584">
        <v>0</v>
      </c>
      <c r="L50" s="584">
        <v>0</v>
      </c>
      <c r="M50" s="584">
        <v>0</v>
      </c>
      <c r="N50" s="584">
        <v>0</v>
      </c>
      <c r="O50" s="584">
        <v>0</v>
      </c>
      <c r="Q50" s="68" t="s">
        <v>50</v>
      </c>
    </row>
    <row r="51" spans="2:18">
      <c r="B51" s="68" t="s">
        <v>41</v>
      </c>
      <c r="C51" s="594">
        <v>0</v>
      </c>
      <c r="D51" s="594">
        <v>0</v>
      </c>
      <c r="E51" s="594"/>
      <c r="F51" s="220"/>
      <c r="G51" s="220"/>
      <c r="H51" s="220"/>
      <c r="I51" s="220"/>
      <c r="J51" s="220"/>
      <c r="K51" s="220"/>
      <c r="L51" s="220"/>
      <c r="M51" s="220"/>
      <c r="N51" s="220"/>
      <c r="O51" s="220"/>
      <c r="Q51" s="68" t="s">
        <v>50</v>
      </c>
    </row>
    <row r="52" spans="2:18">
      <c r="C52" s="606"/>
      <c r="D52" s="607"/>
      <c r="E52" s="607"/>
      <c r="H52" s="205"/>
      <c r="I52" s="205"/>
      <c r="J52" s="205"/>
      <c r="K52" s="205"/>
      <c r="L52" s="205"/>
      <c r="M52" s="205"/>
      <c r="N52" s="205"/>
      <c r="O52" s="205"/>
    </row>
    <row r="53" spans="2:18" ht="15.75" thickBot="1">
      <c r="B53" s="75" t="s">
        <v>51</v>
      </c>
      <c r="C53" s="205"/>
      <c r="D53" s="219"/>
      <c r="E53" s="219"/>
      <c r="G53"/>
      <c r="H53" s="205"/>
      <c r="I53" s="205"/>
      <c r="J53" s="205"/>
      <c r="K53" s="205"/>
      <c r="L53" s="205"/>
      <c r="M53" s="205"/>
      <c r="N53" s="205"/>
      <c r="O53" s="205"/>
      <c r="R53" s="68">
        <v>7971</v>
      </c>
    </row>
    <row r="54" spans="2:18">
      <c r="B54" s="68" t="s">
        <v>39</v>
      </c>
      <c r="C54" s="604">
        <v>6</v>
      </c>
      <c r="D54" s="584">
        <v>5</v>
      </c>
      <c r="E54" s="584">
        <v>5</v>
      </c>
      <c r="F54" s="584">
        <v>5</v>
      </c>
      <c r="G54" s="584">
        <v>5</v>
      </c>
      <c r="H54" s="584">
        <v>5</v>
      </c>
      <c r="I54" s="584">
        <v>5</v>
      </c>
      <c r="J54" s="584">
        <v>5</v>
      </c>
      <c r="K54" s="584">
        <v>5</v>
      </c>
      <c r="L54" s="584">
        <v>5</v>
      </c>
      <c r="M54" s="584">
        <v>5</v>
      </c>
      <c r="N54" s="584">
        <v>5</v>
      </c>
      <c r="O54" s="584">
        <v>5</v>
      </c>
      <c r="Q54" s="68" t="s">
        <v>51</v>
      </c>
    </row>
    <row r="55" spans="2:18">
      <c r="B55" s="68" t="s">
        <v>40</v>
      </c>
      <c r="C55" s="604">
        <v>6</v>
      </c>
      <c r="D55" s="584">
        <v>5</v>
      </c>
      <c r="E55" s="584">
        <v>5</v>
      </c>
      <c r="F55" s="584">
        <v>5</v>
      </c>
      <c r="G55" s="584">
        <v>5</v>
      </c>
      <c r="H55" s="584">
        <v>5</v>
      </c>
      <c r="I55" s="584">
        <v>5</v>
      </c>
      <c r="J55" s="584">
        <v>5</v>
      </c>
      <c r="K55" s="584">
        <v>5</v>
      </c>
      <c r="L55" s="584">
        <v>5</v>
      </c>
      <c r="M55" s="584">
        <v>5</v>
      </c>
      <c r="N55" s="584">
        <v>5</v>
      </c>
      <c r="O55" s="584">
        <v>5</v>
      </c>
      <c r="Q55" s="68" t="s">
        <v>51</v>
      </c>
    </row>
    <row r="56" spans="2:18">
      <c r="B56" s="68" t="s">
        <v>41</v>
      </c>
      <c r="C56" s="594">
        <v>6</v>
      </c>
      <c r="D56" s="594">
        <v>5</v>
      </c>
      <c r="E56" s="594"/>
      <c r="F56" s="220"/>
      <c r="G56" s="220"/>
      <c r="H56" s="220"/>
      <c r="I56" s="220"/>
      <c r="J56" s="220"/>
      <c r="K56" s="220"/>
      <c r="L56" s="220"/>
      <c r="M56" s="220"/>
      <c r="N56" s="220"/>
      <c r="O56" s="220"/>
      <c r="Q56" s="68" t="s">
        <v>51</v>
      </c>
    </row>
    <row r="57" spans="2:18">
      <c r="C57" s="606"/>
      <c r="D57" s="607"/>
      <c r="E57" s="607"/>
      <c r="H57" s="205"/>
      <c r="I57" s="205"/>
      <c r="J57" s="205"/>
      <c r="K57" s="205"/>
      <c r="L57" s="205"/>
      <c r="M57" s="205"/>
      <c r="N57" s="205"/>
      <c r="O57" s="205"/>
    </row>
    <row r="58" spans="2:18" ht="15.75" thickBot="1">
      <c r="B58" s="75" t="s">
        <v>52</v>
      </c>
      <c r="C58" s="205"/>
      <c r="D58" s="219"/>
      <c r="E58" s="219"/>
      <c r="G58"/>
      <c r="H58" s="205"/>
      <c r="I58" s="205"/>
      <c r="J58" s="205"/>
      <c r="K58" s="205"/>
      <c r="L58" s="205"/>
      <c r="M58" s="205"/>
      <c r="N58" s="205"/>
      <c r="O58" s="205"/>
      <c r="R58" s="68">
        <v>7987</v>
      </c>
    </row>
    <row r="59" spans="2:18">
      <c r="B59" s="68" t="s">
        <v>39</v>
      </c>
      <c r="C59" s="604">
        <v>2</v>
      </c>
      <c r="D59" s="584">
        <v>2</v>
      </c>
      <c r="E59" s="584">
        <v>2</v>
      </c>
      <c r="F59" s="584">
        <v>2</v>
      </c>
      <c r="G59" s="584">
        <v>2</v>
      </c>
      <c r="H59" s="584">
        <v>2</v>
      </c>
      <c r="I59" s="584">
        <v>2</v>
      </c>
      <c r="J59" s="584">
        <v>2</v>
      </c>
      <c r="K59" s="584">
        <v>2</v>
      </c>
      <c r="L59" s="584">
        <v>2</v>
      </c>
      <c r="M59" s="584">
        <v>2</v>
      </c>
      <c r="N59" s="584">
        <v>2</v>
      </c>
      <c r="O59" s="584">
        <v>2</v>
      </c>
      <c r="Q59" s="68" t="s">
        <v>52</v>
      </c>
    </row>
    <row r="60" spans="2:18">
      <c r="B60" s="68" t="s">
        <v>40</v>
      </c>
      <c r="C60" s="604">
        <v>2</v>
      </c>
      <c r="D60" s="584">
        <v>2</v>
      </c>
      <c r="E60" s="584">
        <v>2</v>
      </c>
      <c r="F60" s="584">
        <v>2</v>
      </c>
      <c r="G60" s="584">
        <v>2</v>
      </c>
      <c r="H60" s="584">
        <v>2</v>
      </c>
      <c r="I60" s="584">
        <v>2</v>
      </c>
      <c r="J60" s="584">
        <v>2</v>
      </c>
      <c r="K60" s="584">
        <v>2</v>
      </c>
      <c r="L60" s="584">
        <v>2</v>
      </c>
      <c r="M60" s="584">
        <v>2</v>
      </c>
      <c r="N60" s="584">
        <v>2</v>
      </c>
      <c r="O60" s="584">
        <v>2</v>
      </c>
      <c r="Q60" s="68" t="s">
        <v>52</v>
      </c>
    </row>
    <row r="61" spans="2:18">
      <c r="B61" s="68" t="s">
        <v>41</v>
      </c>
      <c r="C61" s="594">
        <v>2</v>
      </c>
      <c r="D61" s="594">
        <v>2</v>
      </c>
      <c r="E61" s="594"/>
      <c r="F61" s="220"/>
      <c r="G61" s="220"/>
      <c r="H61" s="220"/>
      <c r="I61" s="220"/>
      <c r="J61" s="220"/>
      <c r="K61" s="220"/>
      <c r="L61" s="220"/>
      <c r="M61" s="220"/>
      <c r="N61" s="220"/>
      <c r="O61" s="220"/>
      <c r="Q61" s="68" t="s">
        <v>52</v>
      </c>
    </row>
    <row r="62" spans="2:18">
      <c r="C62" s="606"/>
      <c r="D62" s="607"/>
      <c r="E62" s="607"/>
      <c r="H62" s="205"/>
      <c r="I62" s="205"/>
      <c r="J62" s="205"/>
      <c r="K62" s="205"/>
      <c r="L62" s="205"/>
      <c r="M62" s="205"/>
      <c r="N62" s="205"/>
      <c r="O62" s="205"/>
    </row>
    <row r="63" spans="2:18" ht="15.75" thickBot="1">
      <c r="B63" s="75" t="s">
        <v>53</v>
      </c>
      <c r="C63" s="205"/>
      <c r="D63" s="600"/>
      <c r="E63" s="600"/>
      <c r="H63" s="205"/>
      <c r="I63" s="205"/>
      <c r="J63" s="205"/>
      <c r="K63" s="205"/>
      <c r="L63" s="205"/>
      <c r="M63" s="205"/>
      <c r="N63" s="205"/>
      <c r="O63" s="205"/>
      <c r="R63" s="68">
        <v>17643</v>
      </c>
    </row>
    <row r="64" spans="2:18">
      <c r="B64" s="68" t="s">
        <v>39</v>
      </c>
      <c r="C64" s="604">
        <v>5</v>
      </c>
      <c r="D64" s="584">
        <v>5</v>
      </c>
      <c r="E64" s="584">
        <v>5</v>
      </c>
      <c r="F64" s="584">
        <v>5</v>
      </c>
      <c r="G64" s="584">
        <v>5</v>
      </c>
      <c r="H64" s="584">
        <v>5</v>
      </c>
      <c r="I64" s="584">
        <v>5</v>
      </c>
      <c r="J64" s="584">
        <v>5</v>
      </c>
      <c r="K64" s="584">
        <v>5</v>
      </c>
      <c r="L64" s="584">
        <v>5</v>
      </c>
      <c r="M64" s="584">
        <v>5</v>
      </c>
      <c r="N64" s="584">
        <v>5</v>
      </c>
      <c r="O64" s="584">
        <v>5</v>
      </c>
      <c r="Q64" t="s">
        <v>53</v>
      </c>
    </row>
    <row r="65" spans="2:18">
      <c r="B65" s="68" t="s">
        <v>40</v>
      </c>
      <c r="C65" s="604">
        <v>5</v>
      </c>
      <c r="D65" s="584">
        <v>5</v>
      </c>
      <c r="E65" s="584">
        <v>5</v>
      </c>
      <c r="F65" s="584">
        <v>5</v>
      </c>
      <c r="G65" s="584">
        <v>5</v>
      </c>
      <c r="H65" s="584">
        <v>5</v>
      </c>
      <c r="I65" s="584">
        <v>5</v>
      </c>
      <c r="J65" s="584">
        <v>5</v>
      </c>
      <c r="K65" s="584">
        <v>5</v>
      </c>
      <c r="L65" s="584">
        <v>5</v>
      </c>
      <c r="M65" s="584">
        <v>5</v>
      </c>
      <c r="N65" s="584">
        <v>5</v>
      </c>
      <c r="O65" s="584">
        <v>5</v>
      </c>
      <c r="Q65" t="s">
        <v>53</v>
      </c>
    </row>
    <row r="66" spans="2:18">
      <c r="B66" s="68" t="s">
        <v>41</v>
      </c>
      <c r="C66" s="594">
        <v>4</v>
      </c>
      <c r="D66" s="594">
        <v>4</v>
      </c>
      <c r="E66" s="594"/>
      <c r="F66" s="220"/>
      <c r="G66" s="220"/>
      <c r="H66" s="220"/>
      <c r="I66" s="220"/>
      <c r="J66" s="220"/>
      <c r="K66" s="220"/>
      <c r="L66" s="220"/>
      <c r="M66" s="220"/>
      <c r="N66" s="220"/>
      <c r="O66" s="220"/>
      <c r="Q66" t="s">
        <v>53</v>
      </c>
    </row>
    <row r="67" spans="2:18">
      <c r="C67" s="606"/>
      <c r="D67" s="608"/>
      <c r="E67" s="607"/>
      <c r="G67"/>
      <c r="H67" s="205"/>
      <c r="I67" s="205"/>
      <c r="J67" s="205"/>
      <c r="K67" s="205"/>
      <c r="L67" s="205"/>
      <c r="M67" s="205"/>
      <c r="N67" s="205"/>
      <c r="O67" s="205"/>
      <c r="Q67" s="68"/>
    </row>
    <row r="68" spans="2:18" ht="15.75" thickBot="1">
      <c r="B68" s="75" t="s">
        <v>54</v>
      </c>
      <c r="C68" s="205"/>
      <c r="D68" s="600"/>
      <c r="E68" s="600"/>
      <c r="G68"/>
      <c r="H68" s="205"/>
      <c r="I68" s="205"/>
      <c r="J68" s="205"/>
      <c r="K68" s="205"/>
      <c r="L68" s="205"/>
      <c r="M68" s="205"/>
      <c r="N68" s="205"/>
      <c r="O68" s="205"/>
      <c r="R68" s="68">
        <v>5938</v>
      </c>
    </row>
    <row r="69" spans="2:18">
      <c r="B69" s="68" t="s">
        <v>39</v>
      </c>
      <c r="C69" s="604">
        <v>0</v>
      </c>
      <c r="D69" s="584">
        <v>0</v>
      </c>
      <c r="E69" s="584">
        <v>0</v>
      </c>
      <c r="F69" s="584">
        <v>0</v>
      </c>
      <c r="G69" s="584">
        <v>0</v>
      </c>
      <c r="H69" s="584">
        <v>0</v>
      </c>
      <c r="I69" s="584">
        <v>0</v>
      </c>
      <c r="J69" s="584">
        <v>0</v>
      </c>
      <c r="K69" s="584">
        <v>0</v>
      </c>
      <c r="L69" s="584">
        <v>0</v>
      </c>
      <c r="M69" s="584">
        <v>0</v>
      </c>
      <c r="N69" s="584">
        <v>0</v>
      </c>
      <c r="O69" s="584">
        <v>0</v>
      </c>
      <c r="Q69" t="s">
        <v>54</v>
      </c>
    </row>
    <row r="70" spans="2:18">
      <c r="B70" s="68" t="s">
        <v>40</v>
      </c>
      <c r="C70" s="604">
        <v>0</v>
      </c>
      <c r="D70" s="584">
        <v>0</v>
      </c>
      <c r="E70" s="584">
        <v>0</v>
      </c>
      <c r="F70" s="584">
        <v>0</v>
      </c>
      <c r="G70" s="584">
        <v>0</v>
      </c>
      <c r="H70" s="584">
        <v>0</v>
      </c>
      <c r="I70" s="584">
        <v>0</v>
      </c>
      <c r="J70" s="584">
        <v>0</v>
      </c>
      <c r="K70" s="584">
        <v>0</v>
      </c>
      <c r="L70" s="584">
        <v>0</v>
      </c>
      <c r="M70" s="584">
        <v>0</v>
      </c>
      <c r="N70" s="584">
        <v>0</v>
      </c>
      <c r="O70" s="584">
        <v>0</v>
      </c>
      <c r="Q70" t="s">
        <v>54</v>
      </c>
    </row>
    <row r="71" spans="2:18">
      <c r="B71" s="68" t="s">
        <v>41</v>
      </c>
      <c r="C71" s="594">
        <v>0</v>
      </c>
      <c r="D71" s="594">
        <v>0</v>
      </c>
      <c r="E71" s="594"/>
      <c r="F71" s="220"/>
      <c r="G71" s="220"/>
      <c r="H71" s="220"/>
      <c r="I71" s="220"/>
      <c r="J71" s="220"/>
      <c r="K71" s="220"/>
      <c r="L71" s="220"/>
      <c r="M71" s="220"/>
      <c r="N71" s="220"/>
      <c r="O71" s="220"/>
      <c r="Q71" t="s">
        <v>54</v>
      </c>
    </row>
    <row r="72" spans="2:18">
      <c r="C72" s="606"/>
      <c r="D72" s="608"/>
      <c r="E72" s="607"/>
      <c r="G72"/>
      <c r="H72" s="205"/>
      <c r="I72" s="205"/>
      <c r="J72" s="205"/>
      <c r="K72" s="205"/>
      <c r="L72" s="205"/>
      <c r="M72" s="205"/>
      <c r="N72" s="205"/>
      <c r="O72" s="205"/>
      <c r="Q72" s="68"/>
    </row>
    <row r="73" spans="2:18" ht="15.75" thickBot="1">
      <c r="B73" s="75" t="s">
        <v>55</v>
      </c>
      <c r="C73" s="205"/>
      <c r="D73" s="600"/>
      <c r="E73" s="600"/>
      <c r="G73"/>
      <c r="H73" s="205"/>
      <c r="I73" s="205"/>
      <c r="J73" s="205"/>
      <c r="K73" s="205"/>
      <c r="L73" s="205"/>
      <c r="M73" s="205"/>
      <c r="N73" s="205"/>
      <c r="O73" s="205"/>
      <c r="R73" s="68">
        <v>5968</v>
      </c>
    </row>
    <row r="74" spans="2:18">
      <c r="B74" s="68" t="s">
        <v>39</v>
      </c>
      <c r="C74" s="604">
        <v>10</v>
      </c>
      <c r="D74" s="584">
        <v>10</v>
      </c>
      <c r="E74" s="584">
        <v>10</v>
      </c>
      <c r="F74" s="584">
        <v>10</v>
      </c>
      <c r="G74" s="584">
        <v>10</v>
      </c>
      <c r="H74" s="584">
        <v>10</v>
      </c>
      <c r="I74" s="584">
        <v>10</v>
      </c>
      <c r="J74" s="584">
        <v>10</v>
      </c>
      <c r="K74" s="584">
        <v>10</v>
      </c>
      <c r="L74" s="584">
        <v>10</v>
      </c>
      <c r="M74" s="584">
        <v>10</v>
      </c>
      <c r="N74" s="584">
        <v>10</v>
      </c>
      <c r="O74" s="584">
        <v>10</v>
      </c>
      <c r="Q74" t="s">
        <v>55</v>
      </c>
    </row>
    <row r="75" spans="2:18">
      <c r="B75" s="68" t="s">
        <v>40</v>
      </c>
      <c r="C75" s="604">
        <v>10</v>
      </c>
      <c r="D75" s="584">
        <v>10</v>
      </c>
      <c r="E75" s="584">
        <v>10</v>
      </c>
      <c r="F75" s="584">
        <v>10</v>
      </c>
      <c r="G75" s="584">
        <v>10</v>
      </c>
      <c r="H75" s="584">
        <v>10</v>
      </c>
      <c r="I75" s="584">
        <v>10</v>
      </c>
      <c r="J75" s="584">
        <v>10</v>
      </c>
      <c r="K75" s="584">
        <v>10</v>
      </c>
      <c r="L75" s="584">
        <v>10</v>
      </c>
      <c r="M75" s="584">
        <v>10</v>
      </c>
      <c r="N75" s="584">
        <v>10</v>
      </c>
      <c r="O75" s="584">
        <v>10</v>
      </c>
      <c r="Q75" t="s">
        <v>55</v>
      </c>
    </row>
    <row r="76" spans="2:18">
      <c r="B76" s="68" t="s">
        <v>41</v>
      </c>
      <c r="C76" s="594">
        <v>10</v>
      </c>
      <c r="D76" s="594">
        <v>10</v>
      </c>
      <c r="E76" s="594"/>
      <c r="F76" s="220"/>
      <c r="G76" s="220"/>
      <c r="H76" s="220"/>
      <c r="I76" s="220"/>
      <c r="J76" s="220"/>
      <c r="K76" s="220"/>
      <c r="L76" s="220"/>
      <c r="M76" s="220"/>
      <c r="N76" s="220"/>
      <c r="O76" s="220"/>
      <c r="Q76" t="s">
        <v>55</v>
      </c>
    </row>
    <row r="77" spans="2:18">
      <c r="C77" s="606"/>
      <c r="D77" s="608"/>
      <c r="E77" s="607"/>
      <c r="G77"/>
      <c r="H77" s="205"/>
      <c r="I77" s="205"/>
      <c r="J77" s="205"/>
      <c r="K77" s="205"/>
      <c r="L77" s="205"/>
      <c r="M77" s="205"/>
      <c r="N77" s="205"/>
      <c r="O77" s="205"/>
      <c r="Q77" s="68"/>
    </row>
    <row r="78" spans="2:18" ht="15.75" thickBot="1">
      <c r="B78" s="75" t="s">
        <v>56</v>
      </c>
      <c r="C78" s="205"/>
      <c r="D78" s="600"/>
      <c r="E78" s="600"/>
      <c r="G78"/>
      <c r="H78" s="205"/>
      <c r="I78" s="205"/>
      <c r="J78" s="205"/>
      <c r="K78" s="205"/>
      <c r="L78" s="205"/>
      <c r="M78" s="205"/>
      <c r="N78" s="205"/>
      <c r="O78" s="205"/>
      <c r="R78" s="882" t="s">
        <v>94</v>
      </c>
    </row>
    <row r="79" spans="2:18">
      <c r="B79" s="68" t="s">
        <v>39</v>
      </c>
      <c r="C79" s="604">
        <v>6</v>
      </c>
      <c r="D79" s="584">
        <v>7</v>
      </c>
      <c r="E79" s="584">
        <v>7</v>
      </c>
      <c r="F79" s="584">
        <v>7</v>
      </c>
      <c r="G79" s="584">
        <v>7</v>
      </c>
      <c r="H79" s="584">
        <v>7</v>
      </c>
      <c r="I79" s="584">
        <v>7</v>
      </c>
      <c r="J79" s="584">
        <v>7</v>
      </c>
      <c r="K79" s="584">
        <v>7</v>
      </c>
      <c r="L79" s="584">
        <v>7</v>
      </c>
      <c r="M79" s="584">
        <v>7</v>
      </c>
      <c r="N79" s="584">
        <v>7</v>
      </c>
      <c r="O79" s="584">
        <v>7</v>
      </c>
      <c r="Q79" t="s">
        <v>56</v>
      </c>
    </row>
    <row r="80" spans="2:18">
      <c r="B80" s="68" t="s">
        <v>40</v>
      </c>
      <c r="C80" s="604">
        <v>6</v>
      </c>
      <c r="D80" s="584">
        <v>7</v>
      </c>
      <c r="E80" s="584">
        <v>7</v>
      </c>
      <c r="F80" s="584">
        <v>7</v>
      </c>
      <c r="G80" s="584">
        <v>7</v>
      </c>
      <c r="H80" s="584">
        <v>7</v>
      </c>
      <c r="I80" s="584">
        <v>7</v>
      </c>
      <c r="J80" s="584">
        <v>7</v>
      </c>
      <c r="K80" s="584">
        <v>7</v>
      </c>
      <c r="L80" s="584">
        <v>7</v>
      </c>
      <c r="M80" s="584">
        <v>7</v>
      </c>
      <c r="N80" s="584">
        <v>7</v>
      </c>
      <c r="O80" s="584">
        <v>7</v>
      </c>
      <c r="Q80" t="s">
        <v>56</v>
      </c>
    </row>
    <row r="81" spans="2:17">
      <c r="B81" s="68" t="s">
        <v>41</v>
      </c>
      <c r="C81" s="594">
        <v>7</v>
      </c>
      <c r="D81" s="594">
        <v>7</v>
      </c>
      <c r="E81" s="594"/>
      <c r="F81" s="220"/>
      <c r="G81" s="220"/>
      <c r="H81" s="220"/>
      <c r="I81" s="220"/>
      <c r="J81" s="220"/>
      <c r="K81" s="220"/>
      <c r="L81" s="220"/>
      <c r="M81" s="220"/>
      <c r="N81" s="220"/>
      <c r="O81" s="220"/>
      <c r="Q81" t="s">
        <v>56</v>
      </c>
    </row>
    <row r="82" spans="2:17">
      <c r="C82" s="606"/>
      <c r="D82" s="607"/>
      <c r="E82" s="607"/>
      <c r="H82" s="205"/>
      <c r="I82" s="205"/>
      <c r="J82" s="205"/>
      <c r="K82" s="205"/>
      <c r="L82" s="205"/>
      <c r="M82" s="205"/>
      <c r="N82" s="205"/>
      <c r="O82" s="205"/>
    </row>
    <row r="83" spans="2:17">
      <c r="C83" s="218"/>
      <c r="D83" s="218"/>
      <c r="E83" s="218"/>
      <c r="F83" s="218"/>
      <c r="G83" s="218"/>
      <c r="H83" s="218"/>
      <c r="I83" s="218"/>
      <c r="J83" s="218"/>
      <c r="K83" s="218"/>
      <c r="L83" s="218"/>
      <c r="M83" s="218"/>
      <c r="N83" s="218"/>
      <c r="O83" s="218"/>
    </row>
    <row r="84" spans="2:17">
      <c r="B84" s="68" t="s">
        <v>57</v>
      </c>
      <c r="D84" s="171"/>
      <c r="E84" s="171"/>
      <c r="F84" s="171"/>
      <c r="G84" s="171"/>
      <c r="H84" s="171"/>
      <c r="I84" s="171"/>
      <c r="J84" s="171"/>
      <c r="K84" s="171"/>
      <c r="L84" s="171"/>
      <c r="M84" s="171"/>
      <c r="N84" s="171"/>
      <c r="O84" s="171"/>
    </row>
    <row r="85" spans="2:17">
      <c r="B85" s="68" t="s">
        <v>39</v>
      </c>
      <c r="C85" s="243">
        <f>C69+C64+C59+C49+C44+C39+C34+C29+C24+C19+C14+C9+C54+C74+C79</f>
        <v>240</v>
      </c>
      <c r="D85" s="243">
        <f t="shared" ref="D85:O85" si="0">D69+D64+D59+D49+D44+D39+D34+D29+D24+D19+D14+D9+D54+D74+D79</f>
        <v>239</v>
      </c>
      <c r="E85" s="243">
        <f t="shared" si="0"/>
        <v>239</v>
      </c>
      <c r="F85" s="243">
        <f t="shared" si="0"/>
        <v>239</v>
      </c>
      <c r="G85" s="243">
        <f t="shared" si="0"/>
        <v>239</v>
      </c>
      <c r="H85" s="243">
        <f t="shared" si="0"/>
        <v>239</v>
      </c>
      <c r="I85" s="243">
        <f t="shared" si="0"/>
        <v>239</v>
      </c>
      <c r="J85" s="243">
        <f t="shared" si="0"/>
        <v>239</v>
      </c>
      <c r="K85" s="243">
        <f t="shared" si="0"/>
        <v>239</v>
      </c>
      <c r="L85" s="243">
        <f t="shared" si="0"/>
        <v>239</v>
      </c>
      <c r="M85" s="243">
        <f t="shared" si="0"/>
        <v>239</v>
      </c>
      <c r="N85" s="243">
        <f t="shared" si="0"/>
        <v>239</v>
      </c>
      <c r="O85" s="243">
        <f t="shared" si="0"/>
        <v>239</v>
      </c>
      <c r="Q85" t="s">
        <v>58</v>
      </c>
    </row>
    <row r="86" spans="2:17">
      <c r="B86" s="68" t="s">
        <v>40</v>
      </c>
      <c r="C86" s="243">
        <f>C70+C65+C60+C50+C45+C40+C35+C30+C25+C20+C15+C10+C55+C75+C80</f>
        <v>240</v>
      </c>
      <c r="D86" s="243">
        <f t="shared" ref="D86:O86" si="1">D70+D65+D60+D50+D45+D40+D35+D30+D25+D20+D15+D10+D55+D75+D80</f>
        <v>239</v>
      </c>
      <c r="E86" s="243">
        <f t="shared" si="1"/>
        <v>239</v>
      </c>
      <c r="F86" s="243">
        <f t="shared" si="1"/>
        <v>239</v>
      </c>
      <c r="G86" s="243">
        <f t="shared" si="1"/>
        <v>239</v>
      </c>
      <c r="H86" s="243">
        <f t="shared" si="1"/>
        <v>239</v>
      </c>
      <c r="I86" s="243">
        <f t="shared" si="1"/>
        <v>239</v>
      </c>
      <c r="J86" s="243">
        <f t="shared" si="1"/>
        <v>239</v>
      </c>
      <c r="K86" s="243">
        <f t="shared" si="1"/>
        <v>239</v>
      </c>
      <c r="L86" s="243">
        <f t="shared" si="1"/>
        <v>239</v>
      </c>
      <c r="M86" s="243">
        <f t="shared" si="1"/>
        <v>239</v>
      </c>
      <c r="N86" s="243">
        <f t="shared" si="1"/>
        <v>239</v>
      </c>
      <c r="O86" s="243">
        <f t="shared" si="1"/>
        <v>239</v>
      </c>
      <c r="Q86" t="s">
        <v>58</v>
      </c>
    </row>
    <row r="87" spans="2:17">
      <c r="B87" s="68" t="s">
        <v>41</v>
      </c>
      <c r="C87" s="243">
        <f>C71+C66+C61+C51+C46+C41+C36+C31+C26+C21+C16+C11+C56+C76+C81</f>
        <v>229</v>
      </c>
      <c r="D87" s="243">
        <f>D71+D66+D61+D51+D46+D41+D36+D31+D26+D21+D16+D11+D56+D76+D81</f>
        <v>235</v>
      </c>
      <c r="E87" s="243">
        <f t="shared" ref="E87:O87" si="2">E71+E66+E61+E51+E46+E41+E36+E31+E26+E21+E16+E11+E56+E76+E81</f>
        <v>0</v>
      </c>
      <c r="F87" s="243">
        <f t="shared" si="2"/>
        <v>0</v>
      </c>
      <c r="G87" s="243">
        <f t="shared" si="2"/>
        <v>0</v>
      </c>
      <c r="H87" s="243">
        <f t="shared" si="2"/>
        <v>0</v>
      </c>
      <c r="I87" s="243">
        <f t="shared" si="2"/>
        <v>0</v>
      </c>
      <c r="J87" s="243">
        <f t="shared" si="2"/>
        <v>0</v>
      </c>
      <c r="K87" s="243">
        <f t="shared" si="2"/>
        <v>0</v>
      </c>
      <c r="L87" s="243">
        <f t="shared" si="2"/>
        <v>0</v>
      </c>
      <c r="M87" s="243">
        <f t="shared" si="2"/>
        <v>0</v>
      </c>
      <c r="N87" s="243">
        <f t="shared" si="2"/>
        <v>0</v>
      </c>
      <c r="O87" s="243">
        <f t="shared" si="2"/>
        <v>0</v>
      </c>
      <c r="Q87" t="s">
        <v>58</v>
      </c>
    </row>
    <row r="88" spans="2:17">
      <c r="D88" s="171"/>
      <c r="E88" s="243"/>
    </row>
  </sheetData>
  <dataValidations count="1">
    <dataValidation type="whole" operator="greaterThanOrEqual" allowBlank="1" showInputMessage="1" showErrorMessage="1" errorTitle="Positive Value" error="This value must be entered as a positive number." sqref="C50:C51 C39:O41 C14:O16 C9:O11 C54:O56 C59:O61 E49:O51 C19:O21 C34:O36 C29:O31 C64:O66 C83:O83 C44:O46 C24:O26 C69:O71 C74:O76 C79:O81" xr:uid="{00000000-0002-0000-0300-000000000000}">
      <formula1>0</formula1>
    </dataValidation>
  </dataValidations>
  <hyperlinks>
    <hyperlink ref="G2" location="Admin2!B8" display="AR" xr:uid="{00000000-0004-0000-0300-000000000000}"/>
    <hyperlink ref="H2" location="Admin2!B12" display="CB" xr:uid="{00000000-0004-0000-0300-000001000000}"/>
    <hyperlink ref="I2" location="Admin2!B18" display="FA" xr:uid="{00000000-0004-0000-0300-000002000000}"/>
    <hyperlink ref="J2" location="Admin2!B20" display="GL" xr:uid="{00000000-0004-0000-0300-000003000000}"/>
    <hyperlink ref="K2" location="Admin2!B24" display="AP" xr:uid="{00000000-0004-0000-0300-000004000000}"/>
    <hyperlink ref="L2" location="Admin2!B28" display="PR" xr:uid="{00000000-0004-0000-0300-000005000000}"/>
    <hyperlink ref="M2" location="Admin2!B32" display="PS" xr:uid="{00000000-0004-0000-0300-000006000000}"/>
    <hyperlink ref="G3" location="Admin2!B36" display="BSS" xr:uid="{00000000-0004-0000-0300-000007000000}"/>
    <hyperlink ref="H3" location="Admin2!B40" display="PMO" xr:uid="{00000000-0004-0000-0300-000008000000}"/>
    <hyperlink ref="I3" location="Admin2!B44" display="ADJ" xr:uid="{00000000-0004-0000-0300-000009000000}"/>
    <hyperlink ref="J3" location="Admin2!B48" display="HH" xr:uid="{00000000-0004-0000-0300-00000A000000}"/>
    <hyperlink ref="K3" location="Admin2!B52" display="HRSO" xr:uid="{00000000-0004-0000-0300-00000B000000}"/>
    <hyperlink ref="L3" location="Admin2!B56" display="SC" xr:uid="{00000000-0004-0000-0300-00000C000000}"/>
    <hyperlink ref="M3" location="Admin2!B60" display="ES" xr:uid="{00000000-0004-0000-0300-00000D000000}"/>
    <hyperlink ref="G4" location="Admin2!B64" display="MyHR" xr:uid="{00000000-0004-0000-0300-00000E000000}"/>
    <hyperlink ref="H4" location="Admin2!B68" display="HTA" xr:uid="{00000000-0004-0000-0300-00000F000000}"/>
    <hyperlink ref="I4" location="Admin2!B72" display="HTA" xr:uid="{00000000-0004-0000-0300-000010000000}"/>
    <hyperlink ref="J4" location="Admin2!A76" display="OA" xr:uid="{00000000-0004-0000-0300-000011000000}"/>
    <hyperlink ref="K4" location="Admin2!A80" display="GBS OH" xr:uid="{00000000-0004-0000-0300-000012000000}"/>
    <hyperlink ref="L4" location="Admin2!A84" display="GBS OH HR" xr:uid="{00000000-0004-0000-0300-000013000000}"/>
    <hyperlink ref="M4" location="Admin2!A88" display="HR DET" xr:uid="{00000000-0004-0000-0300-000014000000}"/>
    <hyperlink ref="G5" location="Admin2!B92" display="GBS Compliance" xr:uid="{00000000-0004-0000-0300-000015000000}"/>
  </hyperlinks>
  <printOptions horizontalCentered="1"/>
  <pageMargins left="0.2" right="0.2" top="0.5" bottom="0.5" header="0.3" footer="0.3"/>
  <pageSetup scale="70" orientation="landscape" r:id="rId1"/>
  <headerFooter>
    <oddFooter>&amp;R&amp;F | &amp;A
Printed &amp;D at &amp;T</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T657"/>
  <sheetViews>
    <sheetView topLeftCell="A136" zoomScale="70" zoomScaleNormal="70" workbookViewId="0">
      <pane xSplit="2" topLeftCell="C1" activePane="topRight" state="frozen"/>
      <selection pane="topRight" activeCell="F635" sqref="F634:F635"/>
    </sheetView>
  </sheetViews>
  <sheetFormatPr defaultColWidth="12.7109375" defaultRowHeight="15" customHeight="1"/>
  <cols>
    <col min="1" max="1" width="3.28515625" style="68" customWidth="1"/>
    <col min="2" max="2" width="17.5703125" style="68" customWidth="1"/>
    <col min="3" max="15" width="16.7109375" style="68" customWidth="1"/>
    <col min="16" max="16" width="5.42578125" style="68" customWidth="1"/>
    <col min="17" max="17" width="41.28515625" style="899" bestFit="1" customWidth="1"/>
    <col min="18" max="18" width="15" style="68" bestFit="1" customWidth="1"/>
    <col min="19" max="19" width="12.7109375" style="68" customWidth="1"/>
    <col min="20" max="16384" width="12.7109375" style="68"/>
  </cols>
  <sheetData>
    <row r="1" spans="1:18" ht="15" customHeight="1">
      <c r="G1" s="161"/>
      <c r="H1" s="161"/>
      <c r="I1" s="161"/>
      <c r="J1" s="161"/>
      <c r="K1" s="161"/>
      <c r="L1" s="161"/>
      <c r="M1" s="161"/>
      <c r="N1" s="203"/>
    </row>
    <row r="2" spans="1:18" ht="15" customHeight="1">
      <c r="A2" s="68">
        <f>MATCH(Cover!M34,Admin3!A8:O8,0)</f>
        <v>4</v>
      </c>
      <c r="G2" s="161"/>
      <c r="H2" s="161"/>
      <c r="I2" s="161"/>
      <c r="J2" s="161"/>
      <c r="K2" s="161"/>
      <c r="L2" s="161"/>
      <c r="M2" s="161"/>
    </row>
    <row r="3" spans="1:18" ht="15" customHeight="1">
      <c r="G3" s="161"/>
      <c r="H3" s="161"/>
      <c r="I3" s="161"/>
      <c r="J3" s="161"/>
      <c r="K3" s="161"/>
      <c r="L3" s="161"/>
      <c r="M3" s="161"/>
    </row>
    <row r="4" spans="1:18" ht="15" customHeight="1" thickBot="1">
      <c r="B4" s="76" t="s">
        <v>59</v>
      </c>
      <c r="C4" s="76"/>
      <c r="D4" s="76"/>
      <c r="E4" s="76"/>
      <c r="G4" s="161"/>
      <c r="H4" s="161"/>
      <c r="I4" s="203"/>
      <c r="J4" s="203"/>
      <c r="K4" s="203"/>
      <c r="M4" s="161"/>
    </row>
    <row r="5" spans="1:18" ht="15" customHeight="1" thickTop="1"/>
    <row r="6" spans="1:18" ht="15" customHeight="1" thickBot="1">
      <c r="B6" s="75" t="s">
        <v>38</v>
      </c>
      <c r="C6" s="75"/>
      <c r="D6" s="75"/>
      <c r="E6" s="163" t="s">
        <v>60</v>
      </c>
      <c r="N6" s="103"/>
      <c r="O6" s="151"/>
    </row>
    <row r="8" spans="1:18" ht="15" customHeight="1">
      <c r="B8" s="74" t="s">
        <v>23</v>
      </c>
      <c r="C8" s="74" t="s">
        <v>36</v>
      </c>
      <c r="D8" s="74" t="s">
        <v>698</v>
      </c>
      <c r="E8" s="74" t="s">
        <v>699</v>
      </c>
      <c r="F8" s="74" t="s">
        <v>700</v>
      </c>
      <c r="G8" s="74" t="s">
        <v>701</v>
      </c>
      <c r="H8" s="74" t="s">
        <v>702</v>
      </c>
      <c r="I8" s="74" t="s">
        <v>703</v>
      </c>
      <c r="J8" s="74" t="s">
        <v>704</v>
      </c>
      <c r="K8" s="74" t="s">
        <v>705</v>
      </c>
      <c r="L8" s="74" t="s">
        <v>706</v>
      </c>
      <c r="M8" s="74" t="s">
        <v>707</v>
      </c>
      <c r="N8" s="74" t="s">
        <v>708</v>
      </c>
      <c r="O8" s="74" t="s">
        <v>709</v>
      </c>
    </row>
    <row r="9" spans="1:18" ht="15" customHeight="1">
      <c r="B9" s="74" t="s">
        <v>37</v>
      </c>
      <c r="C9" s="74">
        <v>-1</v>
      </c>
      <c r="D9" s="74">
        <v>1</v>
      </c>
      <c r="E9" s="74">
        <v>2</v>
      </c>
      <c r="F9" s="74">
        <v>3</v>
      </c>
      <c r="G9" s="74">
        <v>4</v>
      </c>
      <c r="H9" s="74">
        <v>5</v>
      </c>
      <c r="I9" s="74">
        <v>6</v>
      </c>
      <c r="J9" s="74">
        <v>7</v>
      </c>
      <c r="K9" s="74">
        <v>8</v>
      </c>
      <c r="L9" s="74">
        <v>9</v>
      </c>
      <c r="M9" s="74">
        <v>10</v>
      </c>
      <c r="N9" s="74">
        <v>11</v>
      </c>
      <c r="O9" s="74">
        <v>12</v>
      </c>
    </row>
    <row r="10" spans="1:18" ht="15" customHeight="1">
      <c r="B10" s="99" t="s">
        <v>61</v>
      </c>
      <c r="C10" s="102"/>
      <c r="D10" s="102"/>
      <c r="E10" s="102"/>
      <c r="F10" s="102"/>
      <c r="G10" s="102"/>
      <c r="H10" s="102"/>
      <c r="I10" s="102"/>
      <c r="J10" s="102"/>
      <c r="K10" s="102"/>
      <c r="L10" s="102"/>
      <c r="M10" s="102"/>
      <c r="N10" s="102"/>
      <c r="O10" s="102"/>
    </row>
    <row r="11" spans="1:18" ht="15" customHeight="1">
      <c r="B11" s="99" t="s">
        <v>62</v>
      </c>
      <c r="C11" s="102"/>
      <c r="D11" s="102"/>
      <c r="E11" s="102"/>
      <c r="F11" s="102"/>
      <c r="G11" s="102"/>
      <c r="H11" s="102"/>
      <c r="I11" s="102"/>
      <c r="J11" s="102"/>
      <c r="K11" s="102"/>
      <c r="L11" s="102"/>
      <c r="M11" s="102"/>
      <c r="N11" s="102"/>
      <c r="O11" s="102"/>
    </row>
    <row r="12" spans="1:18" ht="15" customHeight="1">
      <c r="B12" s="97" t="s">
        <v>63</v>
      </c>
      <c r="C12" s="100"/>
      <c r="D12" s="100"/>
      <c r="E12" s="100"/>
      <c r="F12" s="100"/>
      <c r="G12" s="100"/>
      <c r="H12" s="100"/>
      <c r="I12" s="100"/>
      <c r="J12" s="100"/>
      <c r="K12" s="100"/>
      <c r="L12" s="100"/>
      <c r="M12" s="100"/>
      <c r="N12" s="100"/>
      <c r="O12" s="100"/>
      <c r="Q12" s="899" t="s">
        <v>38</v>
      </c>
    </row>
    <row r="13" spans="1:18" ht="15" customHeight="1">
      <c r="B13" s="97" t="s">
        <v>64</v>
      </c>
      <c r="C13" s="101"/>
      <c r="D13" s="101"/>
      <c r="E13" s="101"/>
      <c r="F13" s="101"/>
      <c r="G13" s="101"/>
      <c r="H13" s="101"/>
      <c r="I13" s="101"/>
      <c r="J13" s="101"/>
      <c r="K13" s="101"/>
      <c r="L13" s="101"/>
      <c r="M13" s="101"/>
      <c r="N13" s="101"/>
      <c r="O13" s="101"/>
      <c r="Q13" s="899" t="s">
        <v>38</v>
      </c>
    </row>
    <row r="14" spans="1:18" ht="15" customHeight="1">
      <c r="A14" s="129"/>
      <c r="B14" s="97" t="s">
        <v>65</v>
      </c>
      <c r="C14" s="100"/>
      <c r="D14" s="100"/>
      <c r="E14" s="100"/>
      <c r="F14" s="100"/>
      <c r="G14" s="100"/>
      <c r="H14" s="100"/>
      <c r="I14" s="100"/>
      <c r="J14" s="100"/>
      <c r="K14" s="100"/>
      <c r="L14" s="100"/>
      <c r="M14" s="100"/>
      <c r="N14" s="100"/>
      <c r="O14" s="100"/>
      <c r="Q14" s="899" t="s">
        <v>38</v>
      </c>
      <c r="R14" s="68" t="s">
        <v>66</v>
      </c>
    </row>
    <row r="15" spans="1:18" ht="15" customHeight="1">
      <c r="B15" s="99" t="s">
        <v>67</v>
      </c>
      <c r="C15" s="102"/>
      <c r="D15" s="102"/>
      <c r="E15" s="102"/>
      <c r="F15" s="102"/>
      <c r="G15" s="102"/>
      <c r="H15" s="102"/>
      <c r="I15" s="102"/>
      <c r="J15" s="102"/>
      <c r="K15" s="102"/>
      <c r="L15" s="102"/>
      <c r="M15" s="102"/>
      <c r="N15" s="102"/>
      <c r="O15" s="102"/>
      <c r="Q15" s="899" t="s">
        <v>38</v>
      </c>
    </row>
    <row r="16" spans="1:18" ht="15" customHeight="1">
      <c r="B16" s="97" t="s">
        <v>63</v>
      </c>
      <c r="C16" s="100"/>
      <c r="D16" s="100"/>
      <c r="E16" s="100"/>
      <c r="F16" s="100"/>
      <c r="G16" s="100"/>
      <c r="H16" s="100"/>
      <c r="I16" s="100"/>
      <c r="J16" s="100"/>
      <c r="K16" s="100"/>
      <c r="L16" s="100"/>
      <c r="M16" s="100"/>
      <c r="N16" s="100"/>
      <c r="O16" s="100"/>
      <c r="Q16" s="899" t="s">
        <v>38</v>
      </c>
    </row>
    <row r="17" spans="2:18" ht="15" customHeight="1">
      <c r="B17" s="97" t="s">
        <v>64</v>
      </c>
      <c r="C17" s="101"/>
      <c r="D17" s="101"/>
      <c r="E17" s="101"/>
      <c r="F17" s="101"/>
      <c r="G17" s="101"/>
      <c r="H17" s="101"/>
      <c r="I17" s="101"/>
      <c r="J17" s="101"/>
      <c r="K17" s="101"/>
      <c r="L17" s="101"/>
      <c r="M17" s="101"/>
      <c r="N17" s="101"/>
      <c r="O17" s="101"/>
      <c r="Q17" s="899" t="s">
        <v>38</v>
      </c>
    </row>
    <row r="18" spans="2:18" ht="15" customHeight="1">
      <c r="B18" s="97" t="s">
        <v>65</v>
      </c>
      <c r="C18" s="100"/>
      <c r="D18" s="100"/>
      <c r="E18" s="100"/>
      <c r="F18" s="100"/>
      <c r="G18" s="100"/>
      <c r="H18" s="100"/>
      <c r="I18" s="100"/>
      <c r="J18" s="100"/>
      <c r="K18" s="100"/>
      <c r="L18" s="100"/>
      <c r="M18" s="100"/>
      <c r="N18" s="100"/>
      <c r="O18" s="100"/>
      <c r="Q18" s="899" t="s">
        <v>38</v>
      </c>
      <c r="R18" s="68" t="s">
        <v>68</v>
      </c>
    </row>
    <row r="19" spans="2:18" ht="15" customHeight="1">
      <c r="B19" s="99" t="s">
        <v>40</v>
      </c>
      <c r="C19" s="102"/>
      <c r="D19" s="102"/>
      <c r="E19" s="102"/>
      <c r="F19" s="102"/>
      <c r="G19" s="102"/>
      <c r="H19" s="102"/>
      <c r="I19" s="102"/>
      <c r="J19" s="102"/>
      <c r="K19" s="102"/>
      <c r="L19" s="102"/>
      <c r="M19" s="102"/>
      <c r="N19" s="102"/>
      <c r="O19" s="102"/>
      <c r="Q19" s="899" t="s">
        <v>38</v>
      </c>
    </row>
    <row r="20" spans="2:18" ht="15" customHeight="1">
      <c r="B20" s="97" t="s">
        <v>63</v>
      </c>
      <c r="C20" s="100"/>
      <c r="D20" s="100"/>
      <c r="E20" s="100"/>
      <c r="F20" s="100"/>
      <c r="G20" s="100"/>
      <c r="H20" s="100"/>
      <c r="I20" s="100"/>
      <c r="J20" s="100"/>
      <c r="K20" s="100"/>
      <c r="L20" s="100"/>
      <c r="M20" s="100"/>
      <c r="N20" s="100"/>
      <c r="O20" s="100"/>
      <c r="Q20" s="899" t="s">
        <v>38</v>
      </c>
    </row>
    <row r="21" spans="2:18" ht="15" customHeight="1">
      <c r="B21" s="97" t="s">
        <v>64</v>
      </c>
      <c r="C21" s="101"/>
      <c r="D21" s="101"/>
      <c r="E21" s="101"/>
      <c r="F21" s="101"/>
      <c r="G21" s="101"/>
      <c r="H21" s="101"/>
      <c r="I21" s="101"/>
      <c r="J21" s="101"/>
      <c r="K21" s="101"/>
      <c r="L21" s="101"/>
      <c r="M21" s="101"/>
      <c r="N21" s="101"/>
      <c r="O21" s="101"/>
      <c r="Q21" s="899" t="s">
        <v>38</v>
      </c>
    </row>
    <row r="22" spans="2:18" ht="15" customHeight="1">
      <c r="B22" s="97" t="s">
        <v>65</v>
      </c>
      <c r="C22" s="100"/>
      <c r="D22" s="100"/>
      <c r="E22" s="100"/>
      <c r="F22" s="100"/>
      <c r="G22" s="100"/>
      <c r="H22" s="100"/>
      <c r="I22" s="100"/>
      <c r="J22" s="100"/>
      <c r="K22" s="100"/>
      <c r="L22" s="100"/>
      <c r="M22" s="100"/>
      <c r="N22" s="100"/>
      <c r="O22" s="100"/>
      <c r="Q22" s="899" t="s">
        <v>38</v>
      </c>
      <c r="R22" s="68" t="s">
        <v>69</v>
      </c>
    </row>
    <row r="23" spans="2:18" ht="15" customHeight="1">
      <c r="B23" s="99" t="s">
        <v>23</v>
      </c>
      <c r="C23" s="102"/>
      <c r="D23" s="102"/>
      <c r="E23" s="102"/>
      <c r="F23" s="102"/>
      <c r="G23" s="102"/>
      <c r="H23" s="102"/>
      <c r="I23" s="102"/>
      <c r="J23" s="102"/>
      <c r="K23" s="102"/>
      <c r="L23" s="102"/>
      <c r="M23" s="102"/>
      <c r="N23" s="102"/>
      <c r="O23" s="102"/>
      <c r="Q23" s="899" t="s">
        <v>38</v>
      </c>
    </row>
    <row r="24" spans="2:18" ht="15" customHeight="1">
      <c r="B24" s="99" t="s">
        <v>62</v>
      </c>
      <c r="C24" s="102"/>
      <c r="D24" s="102"/>
      <c r="E24" s="102"/>
      <c r="F24" s="102"/>
      <c r="G24" s="102"/>
      <c r="H24" s="102"/>
      <c r="I24" s="102"/>
      <c r="J24" s="102"/>
      <c r="K24" s="102"/>
      <c r="L24" s="102"/>
      <c r="M24" s="102"/>
      <c r="N24" s="102"/>
      <c r="O24" s="102"/>
      <c r="Q24" s="899" t="s">
        <v>38</v>
      </c>
    </row>
    <row r="25" spans="2:18" ht="15" customHeight="1">
      <c r="B25" s="97" t="s">
        <v>63</v>
      </c>
      <c r="C25" s="100"/>
      <c r="D25" s="100"/>
      <c r="E25" s="100"/>
      <c r="F25" s="100"/>
      <c r="G25" s="100"/>
      <c r="H25" s="100"/>
      <c r="I25" s="100"/>
      <c r="J25" s="100"/>
      <c r="K25" s="100"/>
      <c r="L25" s="100"/>
      <c r="M25" s="100"/>
      <c r="N25" s="100"/>
      <c r="O25" s="100"/>
      <c r="Q25" s="899" t="s">
        <v>38</v>
      </c>
    </row>
    <row r="26" spans="2:18" ht="15" customHeight="1">
      <c r="B26" s="97" t="s">
        <v>64</v>
      </c>
      <c r="C26" s="101"/>
      <c r="D26" s="101"/>
      <c r="E26" s="101"/>
      <c r="F26" s="101"/>
      <c r="G26" s="101"/>
      <c r="H26" s="101"/>
      <c r="I26" s="101"/>
      <c r="J26" s="101"/>
      <c r="K26" s="101"/>
      <c r="L26" s="101"/>
      <c r="M26" s="101"/>
      <c r="N26" s="101"/>
      <c r="O26" s="101"/>
      <c r="Q26" s="899" t="s">
        <v>38</v>
      </c>
    </row>
    <row r="27" spans="2:18" ht="15" customHeight="1">
      <c r="B27" s="97" t="s">
        <v>65</v>
      </c>
      <c r="C27" s="100"/>
      <c r="D27" s="100"/>
      <c r="E27" s="100"/>
      <c r="F27" s="100"/>
      <c r="G27" s="100"/>
      <c r="H27" s="100"/>
      <c r="I27" s="100"/>
      <c r="J27" s="100"/>
      <c r="K27" s="100"/>
      <c r="L27" s="100"/>
      <c r="M27" s="100"/>
      <c r="N27" s="100"/>
      <c r="O27" s="100"/>
      <c r="Q27" s="899" t="s">
        <v>38</v>
      </c>
      <c r="R27" s="68" t="s">
        <v>70</v>
      </c>
    </row>
    <row r="28" spans="2:18" ht="15" customHeight="1">
      <c r="B28" s="99" t="s">
        <v>67</v>
      </c>
      <c r="C28" s="102"/>
      <c r="D28" s="102"/>
      <c r="E28" s="102"/>
      <c r="F28" s="102"/>
      <c r="G28" s="102"/>
      <c r="H28" s="102"/>
      <c r="I28" s="102"/>
      <c r="J28" s="102"/>
      <c r="K28" s="102"/>
      <c r="L28" s="102"/>
      <c r="M28" s="102"/>
      <c r="N28" s="102"/>
      <c r="O28" s="102"/>
      <c r="Q28" s="899" t="s">
        <v>38</v>
      </c>
    </row>
    <row r="29" spans="2:18" ht="15" customHeight="1">
      <c r="B29" s="97" t="s">
        <v>63</v>
      </c>
      <c r="C29" s="100"/>
      <c r="D29" s="100"/>
      <c r="E29" s="100"/>
      <c r="F29" s="100"/>
      <c r="G29" s="100"/>
      <c r="H29" s="100"/>
      <c r="I29" s="100"/>
      <c r="J29" s="100"/>
      <c r="K29" s="100"/>
      <c r="L29" s="100"/>
      <c r="M29" s="100"/>
      <c r="N29" s="100"/>
      <c r="O29" s="100"/>
      <c r="Q29" s="899" t="s">
        <v>38</v>
      </c>
    </row>
    <row r="30" spans="2:18" ht="15" customHeight="1">
      <c r="B30" s="97" t="s">
        <v>64</v>
      </c>
      <c r="C30" s="101"/>
      <c r="D30" s="101"/>
      <c r="E30" s="101"/>
      <c r="F30" s="101"/>
      <c r="G30" s="101"/>
      <c r="H30" s="101"/>
      <c r="I30" s="101"/>
      <c r="J30" s="101"/>
      <c r="K30" s="101"/>
      <c r="L30" s="101"/>
      <c r="M30" s="101"/>
      <c r="N30" s="101"/>
      <c r="O30" s="101"/>
      <c r="Q30" s="899" t="s">
        <v>38</v>
      </c>
    </row>
    <row r="31" spans="2:18" ht="15" customHeight="1">
      <c r="B31" s="97" t="s">
        <v>65</v>
      </c>
      <c r="C31" s="100"/>
      <c r="D31" s="100"/>
      <c r="E31" s="100"/>
      <c r="F31" s="100"/>
      <c r="G31" s="100"/>
      <c r="H31" s="100"/>
      <c r="I31" s="100"/>
      <c r="J31" s="100"/>
      <c r="K31" s="100"/>
      <c r="L31" s="100"/>
      <c r="M31" s="100"/>
      <c r="N31" s="100"/>
      <c r="O31" s="100"/>
      <c r="Q31" s="899" t="s">
        <v>38</v>
      </c>
      <c r="R31" s="68" t="s">
        <v>71</v>
      </c>
    </row>
    <row r="32" spans="2:18" ht="15" customHeight="1">
      <c r="B32" s="99" t="s">
        <v>40</v>
      </c>
      <c r="C32" s="102"/>
      <c r="D32" s="102"/>
      <c r="E32" s="102"/>
      <c r="F32" s="102"/>
      <c r="G32" s="102"/>
      <c r="H32" s="102"/>
      <c r="I32" s="102"/>
      <c r="J32" s="102"/>
      <c r="K32" s="102"/>
      <c r="L32" s="102"/>
      <c r="M32" s="102"/>
      <c r="N32" s="102"/>
      <c r="O32" s="102"/>
      <c r="Q32" s="899" t="s">
        <v>38</v>
      </c>
    </row>
    <row r="33" spans="2:20" ht="15" customHeight="1">
      <c r="B33" s="97" t="s">
        <v>63</v>
      </c>
      <c r="C33" s="100"/>
      <c r="D33" s="100"/>
      <c r="E33" s="100"/>
      <c r="F33" s="100"/>
      <c r="G33" s="100"/>
      <c r="H33" s="100"/>
      <c r="I33" s="100"/>
      <c r="J33" s="100"/>
      <c r="K33" s="100"/>
      <c r="L33" s="100"/>
      <c r="M33" s="100"/>
      <c r="N33" s="100"/>
      <c r="O33" s="100"/>
      <c r="Q33" s="899" t="s">
        <v>38</v>
      </c>
    </row>
    <row r="34" spans="2:20" ht="15" customHeight="1">
      <c r="B34" s="97" t="s">
        <v>64</v>
      </c>
      <c r="C34" s="101"/>
      <c r="D34" s="101"/>
      <c r="E34" s="101"/>
      <c r="F34" s="101"/>
      <c r="G34" s="101"/>
      <c r="H34" s="101"/>
      <c r="I34" s="101"/>
      <c r="J34" s="101"/>
      <c r="K34" s="101"/>
      <c r="L34" s="101"/>
      <c r="M34" s="101"/>
      <c r="N34" s="101"/>
      <c r="O34" s="101"/>
      <c r="Q34" s="899" t="s">
        <v>38</v>
      </c>
    </row>
    <row r="35" spans="2:20" ht="15" customHeight="1">
      <c r="B35" s="97" t="s">
        <v>65</v>
      </c>
      <c r="C35" s="100"/>
      <c r="D35" s="100"/>
      <c r="E35" s="100"/>
      <c r="F35" s="100"/>
      <c r="G35" s="100"/>
      <c r="H35" s="100"/>
      <c r="I35" s="100"/>
      <c r="J35" s="100"/>
      <c r="K35" s="100"/>
      <c r="L35" s="100"/>
      <c r="M35" s="100"/>
      <c r="N35" s="100"/>
      <c r="O35" s="100"/>
      <c r="Q35" s="899" t="s">
        <v>38</v>
      </c>
      <c r="R35" s="68" t="s">
        <v>72</v>
      </c>
    </row>
    <row r="37" spans="2:20" ht="15" customHeight="1" thickBot="1">
      <c r="B37" s="75" t="s">
        <v>42</v>
      </c>
      <c r="C37" s="75"/>
      <c r="D37" s="75"/>
      <c r="E37" s="163" t="s">
        <v>73</v>
      </c>
    </row>
    <row r="39" spans="2:20" ht="15" customHeight="1">
      <c r="B39" s="74" t="s">
        <v>23</v>
      </c>
      <c r="C39" s="74" t="s">
        <v>36</v>
      </c>
      <c r="D39" s="74" t="s">
        <v>698</v>
      </c>
      <c r="E39" s="74" t="s">
        <v>699</v>
      </c>
      <c r="F39" s="74" t="s">
        <v>700</v>
      </c>
      <c r="G39" s="74" t="s">
        <v>701</v>
      </c>
      <c r="H39" s="74" t="s">
        <v>702</v>
      </c>
      <c r="I39" s="74" t="s">
        <v>703</v>
      </c>
      <c r="J39" s="74" t="s">
        <v>704</v>
      </c>
      <c r="K39" s="74" t="s">
        <v>705</v>
      </c>
      <c r="L39" s="74" t="s">
        <v>706</v>
      </c>
      <c r="M39" s="74" t="s">
        <v>707</v>
      </c>
      <c r="N39" s="74" t="s">
        <v>708</v>
      </c>
      <c r="O39" s="74" t="s">
        <v>709</v>
      </c>
    </row>
    <row r="40" spans="2:20" ht="15" customHeight="1">
      <c r="B40" s="74" t="s">
        <v>37</v>
      </c>
      <c r="C40" s="74">
        <v>-1</v>
      </c>
      <c r="D40" s="74">
        <v>1</v>
      </c>
      <c r="E40" s="74">
        <v>2</v>
      </c>
      <c r="F40" s="74">
        <v>3</v>
      </c>
      <c r="G40" s="74">
        <v>4</v>
      </c>
      <c r="H40" s="74">
        <v>5</v>
      </c>
      <c r="I40" s="74">
        <v>6</v>
      </c>
      <c r="J40" s="74">
        <v>7</v>
      </c>
      <c r="K40" s="74">
        <v>8</v>
      </c>
      <c r="L40" s="74">
        <v>9</v>
      </c>
      <c r="M40" s="74">
        <v>10</v>
      </c>
      <c r="N40" s="74">
        <v>11</v>
      </c>
      <c r="O40" s="74">
        <v>12</v>
      </c>
    </row>
    <row r="41" spans="2:20" ht="15" customHeight="1">
      <c r="B41" s="99" t="s">
        <v>61</v>
      </c>
      <c r="C41" s="102"/>
      <c r="D41" s="102"/>
      <c r="E41" s="102"/>
      <c r="F41" s="102"/>
      <c r="G41" s="102"/>
      <c r="H41" s="102"/>
      <c r="I41" s="102"/>
      <c r="J41" s="102"/>
      <c r="K41" s="102"/>
      <c r="L41" s="102"/>
      <c r="M41" s="102"/>
      <c r="N41" s="102"/>
      <c r="O41" s="102"/>
    </row>
    <row r="42" spans="2:20" ht="15" customHeight="1">
      <c r="B42" s="99" t="s">
        <v>62</v>
      </c>
      <c r="C42" s="102"/>
      <c r="D42" s="102"/>
      <c r="E42" s="102"/>
      <c r="F42" s="102"/>
      <c r="G42" s="102"/>
      <c r="H42" s="102"/>
      <c r="I42" s="102"/>
      <c r="J42" s="102"/>
      <c r="K42" s="102"/>
      <c r="L42" s="102"/>
      <c r="M42" s="102"/>
      <c r="N42" s="102"/>
      <c r="O42" s="102"/>
    </row>
    <row r="43" spans="2:20" ht="15" customHeight="1">
      <c r="B43" s="97" t="s">
        <v>63</v>
      </c>
      <c r="C43" s="100"/>
      <c r="D43" s="100"/>
      <c r="E43" s="100"/>
      <c r="F43" s="100"/>
      <c r="G43" s="100"/>
      <c r="H43" s="100"/>
      <c r="I43" s="100"/>
      <c r="J43" s="100"/>
      <c r="K43" s="100"/>
      <c r="L43" s="100"/>
      <c r="M43" s="100"/>
      <c r="N43" s="100"/>
      <c r="O43" s="100"/>
      <c r="Q43" s="899" t="s">
        <v>42</v>
      </c>
      <c r="T43" s="170">
        <f>K43-K51</f>
        <v>0</v>
      </c>
    </row>
    <row r="44" spans="2:20" ht="15" customHeight="1">
      <c r="B44" s="97" t="s">
        <v>64</v>
      </c>
      <c r="C44" s="101"/>
      <c r="D44" s="101"/>
      <c r="E44" s="101"/>
      <c r="F44" s="101"/>
      <c r="G44" s="101"/>
      <c r="H44" s="101"/>
      <c r="I44" s="101"/>
      <c r="J44" s="101"/>
      <c r="K44" s="101"/>
      <c r="L44" s="101"/>
      <c r="M44" s="101"/>
      <c r="N44" s="101"/>
      <c r="O44" s="101"/>
      <c r="Q44" s="899" t="s">
        <v>42</v>
      </c>
    </row>
    <row r="45" spans="2:20" ht="15" customHeight="1">
      <c r="B45" s="97" t="s">
        <v>65</v>
      </c>
      <c r="C45" s="100"/>
      <c r="D45" s="100"/>
      <c r="E45" s="100"/>
      <c r="F45" s="100"/>
      <c r="G45" s="100"/>
      <c r="H45" s="100"/>
      <c r="I45" s="100"/>
      <c r="J45" s="100"/>
      <c r="K45" s="100"/>
      <c r="L45" s="100"/>
      <c r="M45" s="100"/>
      <c r="N45" s="100"/>
      <c r="O45" s="100"/>
      <c r="Q45" s="899" t="s">
        <v>42</v>
      </c>
      <c r="R45" s="68" t="s">
        <v>66</v>
      </c>
    </row>
    <row r="46" spans="2:20" ht="15" customHeight="1">
      <c r="B46" s="99" t="s">
        <v>67</v>
      </c>
      <c r="C46" s="102"/>
      <c r="D46" s="102"/>
      <c r="E46" s="102"/>
      <c r="F46" s="102"/>
      <c r="G46" s="102"/>
      <c r="H46" s="102"/>
      <c r="I46" s="102"/>
      <c r="J46" s="102"/>
      <c r="K46" s="102"/>
      <c r="L46" s="102"/>
      <c r="M46" s="102"/>
      <c r="N46" s="102"/>
      <c r="O46" s="102"/>
      <c r="Q46" s="899" t="s">
        <v>42</v>
      </c>
    </row>
    <row r="47" spans="2:20" ht="15" customHeight="1">
      <c r="B47" s="97" t="s">
        <v>63</v>
      </c>
      <c r="C47" s="100"/>
      <c r="D47" s="100"/>
      <c r="E47" s="100"/>
      <c r="F47" s="100"/>
      <c r="G47" s="100"/>
      <c r="H47" s="100"/>
      <c r="I47" s="100"/>
      <c r="J47" s="100"/>
      <c r="K47" s="100"/>
      <c r="L47" s="100"/>
      <c r="M47" s="100"/>
      <c r="N47" s="100"/>
      <c r="O47" s="100"/>
      <c r="Q47" s="899" t="s">
        <v>42</v>
      </c>
    </row>
    <row r="48" spans="2:20" ht="15" customHeight="1">
      <c r="B48" s="97" t="s">
        <v>64</v>
      </c>
      <c r="C48" s="101"/>
      <c r="D48" s="101"/>
      <c r="E48" s="101"/>
      <c r="F48" s="101"/>
      <c r="G48" s="101"/>
      <c r="H48" s="101"/>
      <c r="I48" s="101"/>
      <c r="J48" s="101"/>
      <c r="K48" s="101"/>
      <c r="L48" s="101"/>
      <c r="M48" s="101"/>
      <c r="N48" s="101"/>
      <c r="O48" s="101"/>
      <c r="Q48" s="899" t="s">
        <v>42</v>
      </c>
    </row>
    <row r="49" spans="2:18" ht="15" customHeight="1">
      <c r="B49" s="97" t="s">
        <v>65</v>
      </c>
      <c r="C49" s="100"/>
      <c r="D49" s="100"/>
      <c r="E49" s="100"/>
      <c r="F49" s="100"/>
      <c r="G49" s="100"/>
      <c r="H49" s="100"/>
      <c r="I49" s="100"/>
      <c r="J49" s="100"/>
      <c r="K49" s="100"/>
      <c r="L49" s="100"/>
      <c r="M49" s="100"/>
      <c r="N49" s="100"/>
      <c r="O49" s="100"/>
      <c r="Q49" s="899" t="s">
        <v>42</v>
      </c>
      <c r="R49" s="68" t="s">
        <v>68</v>
      </c>
    </row>
    <row r="50" spans="2:18" ht="15" customHeight="1">
      <c r="B50" s="99" t="s">
        <v>40</v>
      </c>
      <c r="C50" s="102"/>
      <c r="D50" s="102"/>
      <c r="E50" s="102"/>
      <c r="F50" s="102"/>
      <c r="G50" s="102"/>
      <c r="H50" s="102"/>
      <c r="I50" s="102"/>
      <c r="J50" s="102"/>
      <c r="K50" s="102"/>
      <c r="L50" s="102"/>
      <c r="M50" s="102"/>
      <c r="N50" s="102"/>
      <c r="O50" s="102"/>
      <c r="Q50" s="899" t="s">
        <v>42</v>
      </c>
    </row>
    <row r="51" spans="2:18" ht="15" customHeight="1">
      <c r="B51" s="97" t="s">
        <v>63</v>
      </c>
      <c r="C51" s="100"/>
      <c r="D51" s="100"/>
      <c r="E51" s="100"/>
      <c r="F51" s="100"/>
      <c r="G51" s="100"/>
      <c r="H51" s="100"/>
      <c r="I51" s="100"/>
      <c r="J51" s="100"/>
      <c r="K51" s="100"/>
      <c r="L51" s="100"/>
      <c r="M51" s="100"/>
      <c r="N51" s="100"/>
      <c r="O51" s="100"/>
      <c r="Q51" s="899" t="s">
        <v>42</v>
      </c>
    </row>
    <row r="52" spans="2:18" ht="15" customHeight="1">
      <c r="B52" s="97" t="s">
        <v>64</v>
      </c>
      <c r="C52" s="101"/>
      <c r="D52" s="101"/>
      <c r="E52" s="101"/>
      <c r="F52" s="101"/>
      <c r="G52" s="101"/>
      <c r="H52" s="101"/>
      <c r="I52" s="101"/>
      <c r="J52" s="101"/>
      <c r="K52" s="101"/>
      <c r="L52" s="101"/>
      <c r="M52" s="101"/>
      <c r="N52" s="101"/>
      <c r="O52" s="101"/>
      <c r="Q52" s="899" t="s">
        <v>42</v>
      </c>
    </row>
    <row r="53" spans="2:18" ht="15" customHeight="1">
      <c r="B53" s="97" t="s">
        <v>65</v>
      </c>
      <c r="C53" s="100"/>
      <c r="D53" s="100"/>
      <c r="E53" s="100"/>
      <c r="F53" s="100"/>
      <c r="G53" s="100"/>
      <c r="H53" s="100"/>
      <c r="I53" s="100"/>
      <c r="J53" s="100"/>
      <c r="K53" s="100"/>
      <c r="L53" s="100"/>
      <c r="M53" s="100"/>
      <c r="N53" s="100"/>
      <c r="O53" s="100"/>
      <c r="Q53" s="899" t="s">
        <v>42</v>
      </c>
      <c r="R53" s="68" t="s">
        <v>69</v>
      </c>
    </row>
    <row r="54" spans="2:18" ht="15" customHeight="1">
      <c r="B54" s="99" t="s">
        <v>23</v>
      </c>
      <c r="C54" s="102"/>
      <c r="D54" s="102"/>
      <c r="E54" s="102"/>
      <c r="F54" s="102"/>
      <c r="G54" s="102"/>
      <c r="H54" s="102"/>
      <c r="I54" s="102"/>
      <c r="J54" s="102"/>
      <c r="K54" s="102"/>
      <c r="L54" s="102"/>
      <c r="M54" s="102"/>
      <c r="N54" s="102"/>
      <c r="O54" s="102"/>
      <c r="Q54" s="899" t="s">
        <v>42</v>
      </c>
    </row>
    <row r="55" spans="2:18" ht="15" customHeight="1">
      <c r="B55" s="99" t="s">
        <v>62</v>
      </c>
      <c r="C55" s="102"/>
      <c r="D55" s="102"/>
      <c r="E55" s="102"/>
      <c r="F55" s="102"/>
      <c r="G55" s="102"/>
      <c r="H55" s="102"/>
      <c r="I55" s="102"/>
      <c r="J55" s="102"/>
      <c r="K55" s="102"/>
      <c r="L55" s="102"/>
      <c r="M55" s="102"/>
      <c r="N55" s="102"/>
      <c r="O55" s="102"/>
      <c r="Q55" s="899" t="s">
        <v>42</v>
      </c>
    </row>
    <row r="56" spans="2:18" ht="15" customHeight="1">
      <c r="B56" s="97" t="s">
        <v>63</v>
      </c>
      <c r="C56" s="100"/>
      <c r="D56" s="100"/>
      <c r="E56" s="100"/>
      <c r="F56" s="100"/>
      <c r="G56" s="100"/>
      <c r="H56" s="100"/>
      <c r="I56" s="100"/>
      <c r="J56" s="100"/>
      <c r="K56" s="100"/>
      <c r="L56" s="100"/>
      <c r="M56" s="100"/>
      <c r="N56" s="100"/>
      <c r="O56" s="100"/>
      <c r="Q56" s="899" t="s">
        <v>42</v>
      </c>
    </row>
    <row r="57" spans="2:18" ht="15" customHeight="1">
      <c r="B57" s="97" t="s">
        <v>64</v>
      </c>
      <c r="C57" s="101"/>
      <c r="D57" s="101"/>
      <c r="E57" s="101"/>
      <c r="F57" s="101"/>
      <c r="G57" s="101"/>
      <c r="H57" s="101"/>
      <c r="I57" s="101"/>
      <c r="J57" s="101"/>
      <c r="K57" s="101"/>
      <c r="L57" s="101"/>
      <c r="M57" s="101"/>
      <c r="N57" s="101"/>
      <c r="O57" s="101"/>
      <c r="Q57" s="899" t="s">
        <v>42</v>
      </c>
    </row>
    <row r="58" spans="2:18" ht="15" customHeight="1">
      <c r="B58" s="97" t="s">
        <v>65</v>
      </c>
      <c r="C58" s="100"/>
      <c r="D58" s="100"/>
      <c r="E58" s="100"/>
      <c r="F58" s="100"/>
      <c r="G58" s="100"/>
      <c r="H58" s="100"/>
      <c r="I58" s="100"/>
      <c r="J58" s="100"/>
      <c r="K58" s="100"/>
      <c r="L58" s="100"/>
      <c r="M58" s="100"/>
      <c r="N58" s="100"/>
      <c r="O58" s="100"/>
      <c r="Q58" s="899" t="s">
        <v>42</v>
      </c>
      <c r="R58" s="68" t="s">
        <v>70</v>
      </c>
    </row>
    <row r="59" spans="2:18" ht="15" customHeight="1">
      <c r="B59" s="99" t="s">
        <v>67</v>
      </c>
      <c r="C59" s="102"/>
      <c r="D59" s="102"/>
      <c r="E59" s="102"/>
      <c r="F59" s="102"/>
      <c r="G59" s="102"/>
      <c r="H59" s="102"/>
      <c r="I59" s="102"/>
      <c r="J59" s="102"/>
      <c r="K59" s="102"/>
      <c r="L59" s="102"/>
      <c r="M59" s="102"/>
      <c r="N59" s="102"/>
      <c r="O59" s="102"/>
      <c r="Q59" s="899" t="s">
        <v>42</v>
      </c>
    </row>
    <row r="60" spans="2:18" ht="15" customHeight="1">
      <c r="B60" s="97" t="s">
        <v>63</v>
      </c>
      <c r="C60" s="100"/>
      <c r="D60" s="100"/>
      <c r="E60" s="100"/>
      <c r="F60" s="100"/>
      <c r="G60" s="100"/>
      <c r="H60" s="100"/>
      <c r="I60" s="100"/>
      <c r="J60" s="100"/>
      <c r="K60" s="100"/>
      <c r="L60" s="100"/>
      <c r="M60" s="100"/>
      <c r="N60" s="100"/>
      <c r="O60" s="100"/>
      <c r="Q60" s="899" t="s">
        <v>42</v>
      </c>
    </row>
    <row r="61" spans="2:18" ht="15" customHeight="1">
      <c r="B61" s="97" t="s">
        <v>64</v>
      </c>
      <c r="C61" s="101"/>
      <c r="D61" s="101"/>
      <c r="E61" s="101"/>
      <c r="F61" s="101"/>
      <c r="G61" s="101"/>
      <c r="H61" s="101"/>
      <c r="I61" s="101"/>
      <c r="J61" s="101"/>
      <c r="K61" s="101"/>
      <c r="L61" s="101"/>
      <c r="M61" s="101"/>
      <c r="N61" s="101"/>
      <c r="O61" s="101"/>
      <c r="Q61" s="899" t="s">
        <v>42</v>
      </c>
    </row>
    <row r="62" spans="2:18" ht="15" customHeight="1">
      <c r="B62" s="97" t="s">
        <v>65</v>
      </c>
      <c r="C62" s="100"/>
      <c r="D62" s="100"/>
      <c r="E62" s="100"/>
      <c r="F62" s="100"/>
      <c r="G62" s="100"/>
      <c r="H62" s="100"/>
      <c r="I62" s="100"/>
      <c r="J62" s="100"/>
      <c r="K62" s="100"/>
      <c r="L62" s="100"/>
      <c r="M62" s="100"/>
      <c r="N62" s="100"/>
      <c r="O62" s="100"/>
      <c r="Q62" s="899" t="s">
        <v>42</v>
      </c>
      <c r="R62" s="68" t="s">
        <v>71</v>
      </c>
    </row>
    <row r="63" spans="2:18" ht="15" customHeight="1">
      <c r="B63" s="99" t="s">
        <v>40</v>
      </c>
      <c r="C63" s="102"/>
      <c r="D63" s="102"/>
      <c r="E63" s="102"/>
      <c r="F63" s="102"/>
      <c r="G63" s="102"/>
      <c r="H63" s="102"/>
      <c r="I63" s="102"/>
      <c r="J63" s="102"/>
      <c r="K63" s="102"/>
      <c r="L63" s="102"/>
      <c r="M63" s="102"/>
      <c r="N63" s="102"/>
      <c r="O63" s="102"/>
      <c r="Q63" s="899" t="s">
        <v>42</v>
      </c>
    </row>
    <row r="64" spans="2:18" ht="15" customHeight="1">
      <c r="B64" s="97" t="s">
        <v>63</v>
      </c>
      <c r="C64" s="100"/>
      <c r="D64" s="100"/>
      <c r="E64" s="100"/>
      <c r="F64" s="100"/>
      <c r="G64" s="100"/>
      <c r="H64" s="100"/>
      <c r="I64" s="100"/>
      <c r="J64" s="100"/>
      <c r="K64" s="100"/>
      <c r="L64" s="100"/>
      <c r="M64" s="100"/>
      <c r="N64" s="100"/>
      <c r="O64" s="100"/>
      <c r="Q64" s="899" t="s">
        <v>42</v>
      </c>
    </row>
    <row r="65" spans="2:18" ht="15" customHeight="1">
      <c r="B65" s="97" t="s">
        <v>64</v>
      </c>
      <c r="C65" s="101"/>
      <c r="D65" s="101"/>
      <c r="E65" s="101"/>
      <c r="F65" s="101"/>
      <c r="G65" s="101"/>
      <c r="H65" s="101"/>
      <c r="I65" s="101"/>
      <c r="J65" s="101"/>
      <c r="K65" s="101"/>
      <c r="L65" s="101"/>
      <c r="M65" s="101"/>
      <c r="N65" s="101"/>
      <c r="O65" s="101"/>
      <c r="Q65" s="899" t="s">
        <v>42</v>
      </c>
    </row>
    <row r="66" spans="2:18" ht="15" customHeight="1">
      <c r="B66" s="97" t="s">
        <v>65</v>
      </c>
      <c r="C66" s="100"/>
      <c r="D66" s="100"/>
      <c r="E66" s="100"/>
      <c r="F66" s="100"/>
      <c r="G66" s="100"/>
      <c r="H66" s="100"/>
      <c r="I66" s="100"/>
      <c r="J66" s="100"/>
      <c r="K66" s="100"/>
      <c r="L66" s="100"/>
      <c r="M66" s="100"/>
      <c r="N66" s="100"/>
      <c r="O66" s="100"/>
      <c r="Q66" s="899" t="s">
        <v>42</v>
      </c>
      <c r="R66" s="68" t="s">
        <v>72</v>
      </c>
    </row>
    <row r="68" spans="2:18" ht="15" customHeight="1" thickBot="1">
      <c r="B68" s="75" t="s">
        <v>43</v>
      </c>
      <c r="C68" s="75"/>
      <c r="D68" s="75"/>
      <c r="E68" s="163" t="s">
        <v>74</v>
      </c>
    </row>
    <row r="70" spans="2:18" ht="15" customHeight="1">
      <c r="B70" s="74" t="s">
        <v>23</v>
      </c>
      <c r="C70" s="74" t="s">
        <v>36</v>
      </c>
      <c r="D70" s="74" t="s">
        <v>698</v>
      </c>
      <c r="E70" s="74" t="s">
        <v>699</v>
      </c>
      <c r="F70" s="74" t="s">
        <v>700</v>
      </c>
      <c r="G70" s="74" t="s">
        <v>701</v>
      </c>
      <c r="H70" s="74" t="s">
        <v>702</v>
      </c>
      <c r="I70" s="74" t="s">
        <v>703</v>
      </c>
      <c r="J70" s="74" t="s">
        <v>704</v>
      </c>
      <c r="K70" s="74" t="s">
        <v>705</v>
      </c>
      <c r="L70" s="74" t="s">
        <v>706</v>
      </c>
      <c r="M70" s="74" t="s">
        <v>707</v>
      </c>
      <c r="N70" s="74" t="s">
        <v>708</v>
      </c>
      <c r="O70" s="74" t="s">
        <v>709</v>
      </c>
    </row>
    <row r="71" spans="2:18" ht="15" customHeight="1">
      <c r="B71" s="74" t="s">
        <v>37</v>
      </c>
      <c r="C71" s="74">
        <v>-1</v>
      </c>
      <c r="D71" s="74">
        <v>1</v>
      </c>
      <c r="E71" s="74">
        <v>2</v>
      </c>
      <c r="F71" s="74">
        <v>3</v>
      </c>
      <c r="G71" s="74">
        <v>4</v>
      </c>
      <c r="H71" s="74">
        <v>5</v>
      </c>
      <c r="I71" s="74">
        <v>6</v>
      </c>
      <c r="J71" s="74">
        <v>7</v>
      </c>
      <c r="K71" s="74">
        <v>8</v>
      </c>
      <c r="L71" s="74">
        <v>9</v>
      </c>
      <c r="M71" s="74">
        <v>10</v>
      </c>
      <c r="N71" s="74">
        <v>11</v>
      </c>
      <c r="O71" s="74">
        <v>12</v>
      </c>
    </row>
    <row r="72" spans="2:18" ht="15" customHeight="1">
      <c r="B72" s="99" t="s">
        <v>61</v>
      </c>
      <c r="C72" s="102"/>
      <c r="D72" s="102"/>
      <c r="E72" s="102"/>
      <c r="F72" s="102"/>
      <c r="G72" s="102"/>
      <c r="H72" s="102"/>
      <c r="I72" s="102"/>
      <c r="J72" s="102"/>
      <c r="K72" s="102"/>
      <c r="L72" s="102"/>
      <c r="M72" s="102"/>
      <c r="N72" s="102"/>
      <c r="O72" s="102"/>
    </row>
    <row r="73" spans="2:18" ht="15" customHeight="1">
      <c r="B73" s="99" t="s">
        <v>62</v>
      </c>
      <c r="C73" s="102"/>
      <c r="D73" s="102"/>
      <c r="E73" s="102"/>
      <c r="F73" s="102"/>
      <c r="G73" s="102"/>
      <c r="H73" s="102"/>
      <c r="I73" s="102"/>
      <c r="J73" s="102"/>
      <c r="K73" s="102"/>
      <c r="L73" s="102"/>
      <c r="M73" s="102"/>
      <c r="N73" s="102"/>
      <c r="O73" s="102"/>
    </row>
    <row r="74" spans="2:18" ht="15" customHeight="1">
      <c r="B74" s="97" t="s">
        <v>63</v>
      </c>
      <c r="C74" s="100"/>
      <c r="D74" s="100"/>
      <c r="E74" s="100"/>
      <c r="F74" s="100"/>
      <c r="G74" s="100"/>
      <c r="H74" s="100"/>
      <c r="I74" s="100"/>
      <c r="J74" s="100"/>
      <c r="K74" s="100"/>
      <c r="L74" s="100"/>
      <c r="M74" s="100"/>
      <c r="N74" s="100"/>
      <c r="O74" s="100"/>
      <c r="Q74" s="899" t="s">
        <v>43</v>
      </c>
    </row>
    <row r="75" spans="2:18" ht="15" customHeight="1">
      <c r="B75" s="97" t="s">
        <v>64</v>
      </c>
      <c r="C75" s="101"/>
      <c r="D75" s="101"/>
      <c r="E75" s="101"/>
      <c r="F75" s="101"/>
      <c r="G75" s="101"/>
      <c r="H75" s="101"/>
      <c r="I75" s="101"/>
      <c r="J75" s="101"/>
      <c r="K75" s="101"/>
      <c r="L75" s="101"/>
      <c r="M75" s="101"/>
      <c r="N75" s="101"/>
      <c r="O75" s="101"/>
      <c r="Q75" s="899" t="s">
        <v>43</v>
      </c>
    </row>
    <row r="76" spans="2:18" ht="15" customHeight="1">
      <c r="B76" s="97" t="s">
        <v>65</v>
      </c>
      <c r="C76" s="100"/>
      <c r="D76" s="100"/>
      <c r="E76" s="100"/>
      <c r="F76" s="100"/>
      <c r="G76" s="100"/>
      <c r="H76" s="100"/>
      <c r="I76" s="100"/>
      <c r="J76" s="100"/>
      <c r="K76" s="100"/>
      <c r="L76" s="100"/>
      <c r="M76" s="100"/>
      <c r="N76" s="100"/>
      <c r="O76" s="100"/>
      <c r="Q76" s="899" t="s">
        <v>43</v>
      </c>
      <c r="R76" s="68" t="s">
        <v>66</v>
      </c>
    </row>
    <row r="77" spans="2:18" ht="15" customHeight="1">
      <c r="B77" s="99" t="s">
        <v>67</v>
      </c>
      <c r="C77" s="102"/>
      <c r="D77" s="102"/>
      <c r="E77" s="102"/>
      <c r="F77" s="102"/>
      <c r="G77" s="102"/>
      <c r="H77" s="102"/>
      <c r="I77" s="102"/>
      <c r="J77" s="102"/>
      <c r="K77" s="102"/>
      <c r="L77" s="102"/>
      <c r="M77" s="102"/>
      <c r="N77" s="102"/>
      <c r="O77" s="102"/>
      <c r="Q77" s="899" t="s">
        <v>43</v>
      </c>
    </row>
    <row r="78" spans="2:18" ht="15" customHeight="1">
      <c r="B78" s="97" t="s">
        <v>63</v>
      </c>
      <c r="C78" s="100"/>
      <c r="D78" s="100"/>
      <c r="E78" s="100"/>
      <c r="F78" s="100"/>
      <c r="G78" s="100"/>
      <c r="H78" s="100"/>
      <c r="I78" s="100"/>
      <c r="J78" s="100"/>
      <c r="K78" s="100"/>
      <c r="L78" s="100"/>
      <c r="M78" s="100"/>
      <c r="N78" s="100"/>
      <c r="O78" s="100"/>
      <c r="Q78" s="899" t="s">
        <v>43</v>
      </c>
    </row>
    <row r="79" spans="2:18" ht="15" customHeight="1">
      <c r="B79" s="97" t="s">
        <v>64</v>
      </c>
      <c r="C79" s="101"/>
      <c r="D79" s="101"/>
      <c r="E79" s="101"/>
      <c r="F79" s="101"/>
      <c r="G79" s="101"/>
      <c r="H79" s="101"/>
      <c r="I79" s="101"/>
      <c r="J79" s="101"/>
      <c r="K79" s="101"/>
      <c r="L79" s="101"/>
      <c r="M79" s="101"/>
      <c r="N79" s="101"/>
      <c r="O79" s="101"/>
      <c r="Q79" s="899" t="s">
        <v>43</v>
      </c>
    </row>
    <row r="80" spans="2:18" ht="15" customHeight="1">
      <c r="B80" s="97" t="s">
        <v>65</v>
      </c>
      <c r="C80" s="100"/>
      <c r="D80" s="100"/>
      <c r="E80" s="100"/>
      <c r="F80" s="100"/>
      <c r="G80" s="100"/>
      <c r="H80" s="100"/>
      <c r="I80" s="100"/>
      <c r="J80" s="100"/>
      <c r="K80" s="100"/>
      <c r="L80" s="100"/>
      <c r="M80" s="100"/>
      <c r="N80" s="100"/>
      <c r="O80" s="100"/>
      <c r="Q80" s="899" t="s">
        <v>43</v>
      </c>
      <c r="R80" s="68" t="s">
        <v>68</v>
      </c>
    </row>
    <row r="81" spans="2:18" ht="15" customHeight="1">
      <c r="B81" s="99" t="s">
        <v>40</v>
      </c>
      <c r="C81" s="102"/>
      <c r="D81" s="102"/>
      <c r="E81" s="102"/>
      <c r="F81" s="102"/>
      <c r="G81" s="102"/>
      <c r="H81" s="102"/>
      <c r="I81" s="102"/>
      <c r="J81" s="102"/>
      <c r="K81" s="102"/>
      <c r="L81" s="102"/>
      <c r="M81" s="102"/>
      <c r="N81" s="102"/>
      <c r="O81" s="102"/>
      <c r="Q81" s="899" t="s">
        <v>43</v>
      </c>
    </row>
    <row r="82" spans="2:18" ht="15" customHeight="1">
      <c r="B82" s="97" t="s">
        <v>63</v>
      </c>
      <c r="C82" s="100"/>
      <c r="D82" s="100"/>
      <c r="E82" s="100"/>
      <c r="F82" s="100"/>
      <c r="G82" s="100"/>
      <c r="H82" s="100"/>
      <c r="I82" s="100"/>
      <c r="J82" s="100"/>
      <c r="K82" s="100"/>
      <c r="L82" s="100"/>
      <c r="M82" s="100"/>
      <c r="N82" s="100"/>
      <c r="O82" s="100"/>
      <c r="Q82" s="899" t="s">
        <v>43</v>
      </c>
    </row>
    <row r="83" spans="2:18" ht="15" customHeight="1">
      <c r="B83" s="97" t="s">
        <v>64</v>
      </c>
      <c r="C83" s="101"/>
      <c r="D83" s="101"/>
      <c r="E83" s="101"/>
      <c r="F83" s="101"/>
      <c r="G83" s="101"/>
      <c r="H83" s="101"/>
      <c r="I83" s="101"/>
      <c r="J83" s="101"/>
      <c r="K83" s="101"/>
      <c r="L83" s="101"/>
      <c r="M83" s="101"/>
      <c r="N83" s="101"/>
      <c r="O83" s="101"/>
      <c r="Q83" s="899" t="s">
        <v>43</v>
      </c>
    </row>
    <row r="84" spans="2:18" ht="15" customHeight="1">
      <c r="B84" s="97" t="s">
        <v>65</v>
      </c>
      <c r="C84" s="100"/>
      <c r="D84" s="100"/>
      <c r="E84" s="100"/>
      <c r="F84" s="100"/>
      <c r="G84" s="100"/>
      <c r="H84" s="100"/>
      <c r="I84" s="100"/>
      <c r="J84" s="100"/>
      <c r="K84" s="100"/>
      <c r="L84" s="100"/>
      <c r="M84" s="100"/>
      <c r="N84" s="100"/>
      <c r="O84" s="100"/>
      <c r="Q84" s="899" t="s">
        <v>43</v>
      </c>
      <c r="R84" s="68" t="s">
        <v>69</v>
      </c>
    </row>
    <row r="85" spans="2:18" ht="15" customHeight="1">
      <c r="B85" s="99" t="s">
        <v>23</v>
      </c>
      <c r="C85" s="102"/>
      <c r="D85" s="102"/>
      <c r="E85" s="102"/>
      <c r="F85" s="102"/>
      <c r="G85" s="102"/>
      <c r="H85" s="102"/>
      <c r="I85" s="102"/>
      <c r="J85" s="102"/>
      <c r="K85" s="102"/>
      <c r="L85" s="102"/>
      <c r="M85" s="102"/>
      <c r="N85" s="102"/>
      <c r="O85" s="102"/>
      <c r="Q85" s="899" t="s">
        <v>43</v>
      </c>
    </row>
    <row r="86" spans="2:18" ht="15" customHeight="1">
      <c r="B86" s="99" t="s">
        <v>62</v>
      </c>
      <c r="C86" s="102"/>
      <c r="D86" s="102"/>
      <c r="E86" s="102"/>
      <c r="F86" s="102"/>
      <c r="G86" s="102"/>
      <c r="H86" s="102"/>
      <c r="I86" s="102"/>
      <c r="J86" s="102"/>
      <c r="K86" s="102"/>
      <c r="L86" s="102"/>
      <c r="M86" s="102"/>
      <c r="N86" s="102"/>
      <c r="O86" s="102"/>
      <c r="Q86" s="899" t="s">
        <v>43</v>
      </c>
    </row>
    <row r="87" spans="2:18" ht="15" customHeight="1">
      <c r="B87" s="97" t="s">
        <v>63</v>
      </c>
      <c r="C87" s="100"/>
      <c r="D87" s="100"/>
      <c r="E87" s="100"/>
      <c r="F87" s="100"/>
      <c r="G87" s="100"/>
      <c r="H87" s="100"/>
      <c r="I87" s="100"/>
      <c r="J87" s="100"/>
      <c r="K87" s="100"/>
      <c r="L87" s="100"/>
      <c r="M87" s="100"/>
      <c r="N87" s="100"/>
      <c r="O87" s="100"/>
      <c r="Q87" s="899" t="s">
        <v>43</v>
      </c>
    </row>
    <row r="88" spans="2:18" ht="15" customHeight="1">
      <c r="B88" s="97" t="s">
        <v>64</v>
      </c>
      <c r="C88" s="101"/>
      <c r="D88" s="101"/>
      <c r="E88" s="101"/>
      <c r="F88" s="101"/>
      <c r="G88" s="101"/>
      <c r="H88" s="101"/>
      <c r="I88" s="101"/>
      <c r="J88" s="101"/>
      <c r="K88" s="101"/>
      <c r="L88" s="101"/>
      <c r="M88" s="101"/>
      <c r="N88" s="101"/>
      <c r="O88" s="101"/>
      <c r="Q88" s="899" t="s">
        <v>43</v>
      </c>
    </row>
    <row r="89" spans="2:18" ht="15" customHeight="1">
      <c r="B89" s="97" t="s">
        <v>65</v>
      </c>
      <c r="C89" s="100"/>
      <c r="D89" s="100"/>
      <c r="E89" s="100"/>
      <c r="F89" s="100"/>
      <c r="G89" s="100"/>
      <c r="H89" s="100"/>
      <c r="I89" s="100"/>
      <c r="J89" s="100"/>
      <c r="K89" s="100"/>
      <c r="L89" s="100"/>
      <c r="M89" s="100"/>
      <c r="N89" s="100"/>
      <c r="O89" s="100"/>
      <c r="Q89" s="899" t="s">
        <v>43</v>
      </c>
      <c r="R89" s="68" t="s">
        <v>70</v>
      </c>
    </row>
    <row r="90" spans="2:18" ht="15" customHeight="1">
      <c r="B90" s="99" t="s">
        <v>67</v>
      </c>
      <c r="C90" s="102"/>
      <c r="D90" s="102"/>
      <c r="E90" s="102"/>
      <c r="F90" s="102"/>
      <c r="G90" s="102"/>
      <c r="H90" s="102"/>
      <c r="I90" s="102"/>
      <c r="J90" s="102"/>
      <c r="K90" s="102"/>
      <c r="L90" s="102"/>
      <c r="M90" s="102"/>
      <c r="N90" s="102"/>
      <c r="O90" s="102"/>
      <c r="Q90" s="899" t="s">
        <v>43</v>
      </c>
    </row>
    <row r="91" spans="2:18" ht="15" customHeight="1">
      <c r="B91" s="97" t="s">
        <v>63</v>
      </c>
      <c r="C91" s="100"/>
      <c r="D91" s="100"/>
      <c r="E91" s="100"/>
      <c r="F91" s="100"/>
      <c r="G91" s="100"/>
      <c r="H91" s="100"/>
      <c r="I91" s="100"/>
      <c r="J91" s="100"/>
      <c r="K91" s="100"/>
      <c r="L91" s="100"/>
      <c r="M91" s="100"/>
      <c r="N91" s="100"/>
      <c r="O91" s="100"/>
      <c r="Q91" s="899" t="s">
        <v>43</v>
      </c>
    </row>
    <row r="92" spans="2:18" ht="15" customHeight="1">
      <c r="B92" s="97" t="s">
        <v>64</v>
      </c>
      <c r="C92" s="101"/>
      <c r="D92" s="101"/>
      <c r="E92" s="101"/>
      <c r="F92" s="101"/>
      <c r="G92" s="101"/>
      <c r="H92" s="101"/>
      <c r="I92" s="101"/>
      <c r="J92" s="101"/>
      <c r="K92" s="101"/>
      <c r="L92" s="101"/>
      <c r="M92" s="101"/>
      <c r="N92" s="101"/>
      <c r="O92" s="101"/>
      <c r="Q92" s="899" t="s">
        <v>43</v>
      </c>
    </row>
    <row r="93" spans="2:18" ht="15" customHeight="1">
      <c r="B93" s="97" t="s">
        <v>65</v>
      </c>
      <c r="C93" s="100"/>
      <c r="D93" s="100"/>
      <c r="E93" s="100"/>
      <c r="F93" s="100"/>
      <c r="G93" s="100"/>
      <c r="H93" s="100"/>
      <c r="I93" s="100"/>
      <c r="J93" s="100"/>
      <c r="K93" s="100"/>
      <c r="L93" s="100"/>
      <c r="M93" s="100"/>
      <c r="N93" s="100"/>
      <c r="O93" s="100"/>
      <c r="Q93" s="899" t="s">
        <v>43</v>
      </c>
      <c r="R93" s="68" t="s">
        <v>71</v>
      </c>
    </row>
    <row r="94" spans="2:18" ht="15" customHeight="1">
      <c r="B94" s="99" t="s">
        <v>40</v>
      </c>
      <c r="C94" s="102"/>
      <c r="D94" s="102"/>
      <c r="E94" s="102"/>
      <c r="F94" s="102"/>
      <c r="G94" s="102"/>
      <c r="H94" s="102"/>
      <c r="I94" s="102"/>
      <c r="J94" s="102"/>
      <c r="K94" s="102"/>
      <c r="L94" s="102"/>
      <c r="M94" s="102"/>
      <c r="N94" s="102"/>
      <c r="O94" s="102"/>
      <c r="Q94" s="899" t="s">
        <v>43</v>
      </c>
    </row>
    <row r="95" spans="2:18" ht="15" customHeight="1">
      <c r="B95" s="97" t="s">
        <v>63</v>
      </c>
      <c r="C95" s="100"/>
      <c r="D95" s="100"/>
      <c r="E95" s="100"/>
      <c r="F95" s="100"/>
      <c r="G95" s="100"/>
      <c r="H95" s="100"/>
      <c r="I95" s="100"/>
      <c r="J95" s="100"/>
      <c r="K95" s="100"/>
      <c r="L95" s="100"/>
      <c r="M95" s="100"/>
      <c r="N95" s="100"/>
      <c r="O95" s="100"/>
      <c r="Q95" s="899" t="s">
        <v>43</v>
      </c>
    </row>
    <row r="96" spans="2:18" ht="15" customHeight="1">
      <c r="B96" s="97" t="s">
        <v>64</v>
      </c>
      <c r="C96" s="101"/>
      <c r="D96" s="101"/>
      <c r="E96" s="101"/>
      <c r="F96" s="101"/>
      <c r="G96" s="101"/>
      <c r="H96" s="101"/>
      <c r="I96" s="101"/>
      <c r="J96" s="101"/>
      <c r="K96" s="101"/>
      <c r="L96" s="101"/>
      <c r="M96" s="101"/>
      <c r="N96" s="101"/>
      <c r="O96" s="101"/>
      <c r="Q96" s="899" t="s">
        <v>43</v>
      </c>
    </row>
    <row r="97" spans="2:18" ht="15" customHeight="1">
      <c r="B97" s="97" t="s">
        <v>65</v>
      </c>
      <c r="C97" s="100"/>
      <c r="D97" s="100"/>
      <c r="E97" s="100"/>
      <c r="F97" s="100"/>
      <c r="G97" s="100"/>
      <c r="H97" s="100"/>
      <c r="I97" s="100"/>
      <c r="J97" s="100"/>
      <c r="K97" s="100"/>
      <c r="L97" s="100"/>
      <c r="M97" s="100"/>
      <c r="N97" s="100"/>
      <c r="O97" s="100"/>
      <c r="Q97" s="899" t="s">
        <v>43</v>
      </c>
      <c r="R97" s="68" t="s">
        <v>72</v>
      </c>
    </row>
    <row r="99" spans="2:18" ht="15" customHeight="1" thickBot="1">
      <c r="B99" s="75" t="s">
        <v>44</v>
      </c>
      <c r="C99" s="75"/>
      <c r="D99" s="75"/>
      <c r="E99" s="163" t="s">
        <v>75</v>
      </c>
    </row>
    <row r="101" spans="2:18" ht="15" customHeight="1">
      <c r="B101" s="74" t="s">
        <v>23</v>
      </c>
      <c r="C101" s="74" t="s">
        <v>36</v>
      </c>
      <c r="D101" s="74" t="s">
        <v>698</v>
      </c>
      <c r="E101" s="74" t="s">
        <v>699</v>
      </c>
      <c r="F101" s="74" t="s">
        <v>700</v>
      </c>
      <c r="G101" s="74" t="s">
        <v>701</v>
      </c>
      <c r="H101" s="74" t="s">
        <v>702</v>
      </c>
      <c r="I101" s="74" t="s">
        <v>703</v>
      </c>
      <c r="J101" s="74" t="s">
        <v>704</v>
      </c>
      <c r="K101" s="74" t="s">
        <v>705</v>
      </c>
      <c r="L101" s="74" t="s">
        <v>706</v>
      </c>
      <c r="M101" s="74" t="s">
        <v>707</v>
      </c>
      <c r="N101" s="74" t="s">
        <v>708</v>
      </c>
      <c r="O101" s="74" t="s">
        <v>709</v>
      </c>
    </row>
    <row r="102" spans="2:18" ht="15" customHeight="1">
      <c r="B102" s="74" t="s">
        <v>37</v>
      </c>
      <c r="C102" s="74">
        <v>-1</v>
      </c>
      <c r="D102" s="74">
        <v>1</v>
      </c>
      <c r="E102" s="74">
        <v>2</v>
      </c>
      <c r="F102" s="74">
        <v>3</v>
      </c>
      <c r="G102" s="74">
        <v>4</v>
      </c>
      <c r="H102" s="74">
        <v>5</v>
      </c>
      <c r="I102" s="74">
        <v>6</v>
      </c>
      <c r="J102" s="74">
        <v>7</v>
      </c>
      <c r="K102" s="74">
        <v>8</v>
      </c>
      <c r="L102" s="74">
        <v>9</v>
      </c>
      <c r="M102" s="74">
        <v>10</v>
      </c>
      <c r="N102" s="74">
        <v>11</v>
      </c>
      <c r="O102" s="74">
        <v>12</v>
      </c>
    </row>
    <row r="103" spans="2:18" ht="15" customHeight="1">
      <c r="B103" s="99" t="s">
        <v>61</v>
      </c>
      <c r="C103" s="102"/>
      <c r="D103" s="102"/>
      <c r="E103" s="102"/>
      <c r="F103" s="102"/>
      <c r="G103" s="102"/>
      <c r="H103" s="102"/>
      <c r="I103" s="102"/>
      <c r="J103" s="102"/>
      <c r="K103" s="102"/>
      <c r="L103" s="102"/>
      <c r="M103" s="102"/>
      <c r="N103" s="102"/>
      <c r="O103" s="102"/>
    </row>
    <row r="104" spans="2:18" ht="15" customHeight="1">
      <c r="B104" s="99" t="s">
        <v>62</v>
      </c>
      <c r="C104" s="102"/>
      <c r="D104" s="102"/>
      <c r="E104" s="102"/>
      <c r="F104" s="102"/>
      <c r="G104" s="102"/>
      <c r="H104" s="102"/>
      <c r="I104" s="102"/>
      <c r="J104" s="102"/>
      <c r="K104" s="102"/>
      <c r="L104" s="102"/>
      <c r="M104" s="102"/>
      <c r="N104" s="102"/>
      <c r="O104" s="102"/>
    </row>
    <row r="105" spans="2:18" ht="15" customHeight="1">
      <c r="B105" s="97" t="s">
        <v>63</v>
      </c>
      <c r="C105" s="100"/>
      <c r="D105" s="100"/>
      <c r="E105" s="100"/>
      <c r="F105" s="100"/>
      <c r="G105" s="100"/>
      <c r="H105" s="100"/>
      <c r="I105" s="100"/>
      <c r="J105" s="100"/>
      <c r="K105" s="100"/>
      <c r="L105" s="100"/>
      <c r="M105" s="100"/>
      <c r="N105" s="100"/>
      <c r="O105" s="100"/>
      <c r="Q105" s="899" t="s">
        <v>44</v>
      </c>
    </row>
    <row r="106" spans="2:18" ht="15" customHeight="1">
      <c r="B106" s="97" t="s">
        <v>64</v>
      </c>
      <c r="C106" s="101"/>
      <c r="D106" s="101"/>
      <c r="E106" s="101"/>
      <c r="F106" s="101"/>
      <c r="G106" s="101"/>
      <c r="H106" s="101"/>
      <c r="I106" s="101"/>
      <c r="J106" s="101"/>
      <c r="K106" s="101"/>
      <c r="L106" s="101"/>
      <c r="M106" s="101"/>
      <c r="N106" s="101"/>
      <c r="O106" s="101"/>
      <c r="Q106" s="899" t="s">
        <v>44</v>
      </c>
    </row>
    <row r="107" spans="2:18" ht="15" customHeight="1">
      <c r="B107" s="97" t="s">
        <v>65</v>
      </c>
      <c r="C107" s="100"/>
      <c r="D107" s="100"/>
      <c r="E107" s="100"/>
      <c r="F107" s="100"/>
      <c r="G107" s="100"/>
      <c r="H107" s="100"/>
      <c r="I107" s="100"/>
      <c r="J107" s="100"/>
      <c r="K107" s="100"/>
      <c r="L107" s="100"/>
      <c r="M107" s="100"/>
      <c r="N107" s="100"/>
      <c r="O107" s="100"/>
      <c r="Q107" s="899" t="s">
        <v>44</v>
      </c>
      <c r="R107" s="68" t="s">
        <v>66</v>
      </c>
    </row>
    <row r="108" spans="2:18" ht="15" customHeight="1">
      <c r="B108" s="99" t="s">
        <v>67</v>
      </c>
      <c r="C108" s="102"/>
      <c r="D108" s="102"/>
      <c r="E108" s="102"/>
      <c r="F108" s="102"/>
      <c r="G108" s="102"/>
      <c r="H108" s="102"/>
      <c r="I108" s="102"/>
      <c r="J108" s="102"/>
      <c r="K108" s="102"/>
      <c r="L108" s="102"/>
      <c r="M108" s="102"/>
      <c r="N108" s="102"/>
      <c r="O108" s="102"/>
      <c r="Q108" s="899" t="s">
        <v>44</v>
      </c>
    </row>
    <row r="109" spans="2:18" ht="15" customHeight="1">
      <c r="B109" s="97" t="s">
        <v>63</v>
      </c>
      <c r="C109" s="100"/>
      <c r="D109" s="100"/>
      <c r="E109" s="100"/>
      <c r="F109" s="100"/>
      <c r="G109" s="100"/>
      <c r="H109" s="100"/>
      <c r="I109" s="100"/>
      <c r="J109" s="100"/>
      <c r="K109" s="100"/>
      <c r="L109" s="100"/>
      <c r="M109" s="100"/>
      <c r="N109" s="100"/>
      <c r="O109" s="100"/>
      <c r="Q109" s="899" t="s">
        <v>44</v>
      </c>
    </row>
    <row r="110" spans="2:18" ht="15" customHeight="1">
      <c r="B110" s="97" t="s">
        <v>64</v>
      </c>
      <c r="C110" s="101"/>
      <c r="D110" s="101"/>
      <c r="E110" s="101"/>
      <c r="F110" s="101"/>
      <c r="G110" s="101"/>
      <c r="H110" s="101"/>
      <c r="I110" s="101"/>
      <c r="J110" s="101"/>
      <c r="K110" s="101"/>
      <c r="L110" s="101"/>
      <c r="M110" s="101"/>
      <c r="N110" s="101"/>
      <c r="O110" s="101"/>
      <c r="Q110" s="899" t="s">
        <v>44</v>
      </c>
    </row>
    <row r="111" spans="2:18" ht="15" customHeight="1">
      <c r="B111" s="97" t="s">
        <v>65</v>
      </c>
      <c r="C111" s="100"/>
      <c r="D111" s="100"/>
      <c r="E111" s="100"/>
      <c r="F111" s="100"/>
      <c r="G111" s="100"/>
      <c r="H111" s="100"/>
      <c r="I111" s="100"/>
      <c r="J111" s="100"/>
      <c r="K111" s="100"/>
      <c r="L111" s="100"/>
      <c r="M111" s="100"/>
      <c r="N111" s="100"/>
      <c r="O111" s="100"/>
      <c r="Q111" s="899" t="s">
        <v>44</v>
      </c>
      <c r="R111" s="68" t="s">
        <v>68</v>
      </c>
    </row>
    <row r="112" spans="2:18" ht="15" customHeight="1">
      <c r="B112" s="99" t="s">
        <v>40</v>
      </c>
      <c r="C112" s="102"/>
      <c r="D112" s="102"/>
      <c r="E112" s="102"/>
      <c r="F112" s="102"/>
      <c r="G112" s="102"/>
      <c r="H112" s="102"/>
      <c r="I112" s="102"/>
      <c r="J112" s="102"/>
      <c r="K112" s="102"/>
      <c r="L112" s="102"/>
      <c r="M112" s="102"/>
      <c r="N112" s="102"/>
      <c r="O112" s="102"/>
      <c r="Q112" s="899" t="s">
        <v>44</v>
      </c>
    </row>
    <row r="113" spans="2:18" ht="15" customHeight="1">
      <c r="B113" s="97" t="s">
        <v>63</v>
      </c>
      <c r="C113" s="100"/>
      <c r="D113" s="100"/>
      <c r="E113" s="100"/>
      <c r="F113" s="100"/>
      <c r="G113" s="100"/>
      <c r="H113" s="100"/>
      <c r="I113" s="100"/>
      <c r="J113" s="100"/>
      <c r="K113" s="100"/>
      <c r="L113" s="100"/>
      <c r="M113" s="100"/>
      <c r="N113" s="100"/>
      <c r="O113" s="100"/>
      <c r="Q113" s="899" t="s">
        <v>44</v>
      </c>
    </row>
    <row r="114" spans="2:18" ht="15" customHeight="1">
      <c r="B114" s="97" t="s">
        <v>64</v>
      </c>
      <c r="C114" s="101"/>
      <c r="D114" s="101"/>
      <c r="E114" s="101"/>
      <c r="F114" s="101"/>
      <c r="G114" s="101"/>
      <c r="H114" s="101"/>
      <c r="I114" s="101"/>
      <c r="J114" s="101"/>
      <c r="K114" s="101"/>
      <c r="L114" s="101"/>
      <c r="M114" s="101"/>
      <c r="N114" s="101"/>
      <c r="O114" s="101"/>
      <c r="Q114" s="899" t="s">
        <v>44</v>
      </c>
    </row>
    <row r="115" spans="2:18" ht="15" customHeight="1">
      <c r="B115" s="97" t="s">
        <v>65</v>
      </c>
      <c r="C115" s="100"/>
      <c r="D115" s="100"/>
      <c r="E115" s="100"/>
      <c r="F115" s="100"/>
      <c r="G115" s="100"/>
      <c r="H115" s="100"/>
      <c r="I115" s="100"/>
      <c r="J115" s="100"/>
      <c r="K115" s="100"/>
      <c r="L115" s="100"/>
      <c r="M115" s="100"/>
      <c r="N115" s="100"/>
      <c r="O115" s="100"/>
      <c r="Q115" s="899" t="s">
        <v>44</v>
      </c>
      <c r="R115" s="68" t="s">
        <v>69</v>
      </c>
    </row>
    <row r="116" spans="2:18" ht="15" customHeight="1">
      <c r="B116" s="99" t="s">
        <v>23</v>
      </c>
      <c r="C116" s="102"/>
      <c r="D116" s="102"/>
      <c r="E116" s="102"/>
      <c r="F116" s="102"/>
      <c r="G116" s="102"/>
      <c r="H116" s="102"/>
      <c r="I116" s="102"/>
      <c r="J116" s="102"/>
      <c r="K116" s="102"/>
      <c r="L116" s="102"/>
      <c r="M116" s="102"/>
      <c r="N116" s="102"/>
      <c r="O116" s="102"/>
      <c r="Q116" s="899" t="s">
        <v>44</v>
      </c>
    </row>
    <row r="117" spans="2:18" ht="15" customHeight="1">
      <c r="B117" s="99" t="s">
        <v>62</v>
      </c>
      <c r="C117" s="102"/>
      <c r="D117" s="102"/>
      <c r="E117" s="102"/>
      <c r="F117" s="102"/>
      <c r="G117" s="102"/>
      <c r="H117" s="102"/>
      <c r="I117" s="102"/>
      <c r="J117" s="102"/>
      <c r="K117" s="102"/>
      <c r="L117" s="102"/>
      <c r="M117" s="102"/>
      <c r="N117" s="102"/>
      <c r="O117" s="102"/>
      <c r="Q117" s="899" t="s">
        <v>44</v>
      </c>
    </row>
    <row r="118" spans="2:18" ht="15" customHeight="1">
      <c r="B118" s="97" t="s">
        <v>63</v>
      </c>
      <c r="C118" s="100"/>
      <c r="D118" s="100"/>
      <c r="E118" s="100"/>
      <c r="F118" s="100"/>
      <c r="G118" s="100"/>
      <c r="H118" s="100"/>
      <c r="I118" s="100"/>
      <c r="J118" s="100"/>
      <c r="K118" s="100"/>
      <c r="L118" s="100"/>
      <c r="M118" s="100"/>
      <c r="N118" s="100"/>
      <c r="O118" s="100"/>
      <c r="Q118" s="899" t="s">
        <v>44</v>
      </c>
    </row>
    <row r="119" spans="2:18" ht="15" customHeight="1">
      <c r="B119" s="97" t="s">
        <v>64</v>
      </c>
      <c r="C119" s="101"/>
      <c r="D119" s="101"/>
      <c r="E119" s="101"/>
      <c r="F119" s="101"/>
      <c r="G119" s="101"/>
      <c r="H119" s="101"/>
      <c r="I119" s="101"/>
      <c r="J119" s="101"/>
      <c r="K119" s="101"/>
      <c r="L119" s="101"/>
      <c r="M119" s="101"/>
      <c r="N119" s="101"/>
      <c r="O119" s="101"/>
      <c r="Q119" s="899" t="s">
        <v>44</v>
      </c>
    </row>
    <row r="120" spans="2:18" ht="15" customHeight="1">
      <c r="B120" s="97" t="s">
        <v>65</v>
      </c>
      <c r="C120" s="100"/>
      <c r="D120" s="100"/>
      <c r="E120" s="100"/>
      <c r="F120" s="100"/>
      <c r="G120" s="100"/>
      <c r="H120" s="100"/>
      <c r="I120" s="100"/>
      <c r="J120" s="100"/>
      <c r="K120" s="100"/>
      <c r="L120" s="100"/>
      <c r="M120" s="100"/>
      <c r="N120" s="100"/>
      <c r="O120" s="100"/>
      <c r="Q120" s="899" t="s">
        <v>44</v>
      </c>
      <c r="R120" s="68" t="s">
        <v>70</v>
      </c>
    </row>
    <row r="121" spans="2:18" ht="15" customHeight="1">
      <c r="B121" s="99" t="s">
        <v>67</v>
      </c>
      <c r="C121" s="102"/>
      <c r="D121" s="102"/>
      <c r="E121" s="102"/>
      <c r="F121" s="102"/>
      <c r="G121" s="102"/>
      <c r="H121" s="102"/>
      <c r="I121" s="102"/>
      <c r="J121" s="102"/>
      <c r="K121" s="102"/>
      <c r="L121" s="102"/>
      <c r="M121" s="102"/>
      <c r="N121" s="102"/>
      <c r="O121" s="102"/>
      <c r="Q121" s="899" t="s">
        <v>44</v>
      </c>
    </row>
    <row r="122" spans="2:18" ht="15" customHeight="1">
      <c r="B122" s="97" t="s">
        <v>63</v>
      </c>
      <c r="C122" s="100"/>
      <c r="D122" s="100"/>
      <c r="E122" s="100"/>
      <c r="F122" s="100"/>
      <c r="G122" s="100"/>
      <c r="H122" s="100"/>
      <c r="I122" s="100"/>
      <c r="J122" s="100"/>
      <c r="K122" s="100"/>
      <c r="L122" s="100"/>
      <c r="M122" s="100"/>
      <c r="N122" s="100"/>
      <c r="O122" s="100"/>
      <c r="Q122" s="899" t="s">
        <v>44</v>
      </c>
    </row>
    <row r="123" spans="2:18" ht="15" customHeight="1">
      <c r="B123" s="97" t="s">
        <v>64</v>
      </c>
      <c r="C123" s="101"/>
      <c r="D123" s="101"/>
      <c r="E123" s="101"/>
      <c r="F123" s="101"/>
      <c r="G123" s="101"/>
      <c r="H123" s="101"/>
      <c r="I123" s="101"/>
      <c r="J123" s="101"/>
      <c r="K123" s="101"/>
      <c r="L123" s="101"/>
      <c r="M123" s="101"/>
      <c r="N123" s="101"/>
      <c r="O123" s="101"/>
      <c r="Q123" s="899" t="s">
        <v>44</v>
      </c>
    </row>
    <row r="124" spans="2:18" ht="15" customHeight="1">
      <c r="B124" s="97" t="s">
        <v>65</v>
      </c>
      <c r="C124" s="100"/>
      <c r="D124" s="100"/>
      <c r="E124" s="100"/>
      <c r="F124" s="100"/>
      <c r="G124" s="100"/>
      <c r="H124" s="100"/>
      <c r="I124" s="100"/>
      <c r="J124" s="100"/>
      <c r="K124" s="100"/>
      <c r="L124" s="100"/>
      <c r="M124" s="100"/>
      <c r="N124" s="100"/>
      <c r="O124" s="100"/>
      <c r="Q124" s="899" t="s">
        <v>44</v>
      </c>
      <c r="R124" s="68" t="s">
        <v>71</v>
      </c>
    </row>
    <row r="125" spans="2:18" ht="15" customHeight="1">
      <c r="B125" s="99" t="s">
        <v>40</v>
      </c>
      <c r="C125" s="102"/>
      <c r="D125" s="102"/>
      <c r="E125" s="102"/>
      <c r="F125" s="102"/>
      <c r="G125" s="102"/>
      <c r="H125" s="102"/>
      <c r="I125" s="102"/>
      <c r="J125" s="102"/>
      <c r="K125" s="102"/>
      <c r="L125" s="102"/>
      <c r="M125" s="102"/>
      <c r="N125" s="102"/>
      <c r="O125" s="102"/>
      <c r="Q125" s="899" t="s">
        <v>44</v>
      </c>
    </row>
    <row r="126" spans="2:18" ht="15" customHeight="1">
      <c r="B126" s="97" t="s">
        <v>63</v>
      </c>
      <c r="C126" s="100"/>
      <c r="D126" s="100"/>
      <c r="E126" s="100"/>
      <c r="F126" s="100"/>
      <c r="G126" s="100"/>
      <c r="H126" s="100"/>
      <c r="I126" s="100"/>
      <c r="J126" s="100"/>
      <c r="K126" s="100"/>
      <c r="L126" s="100"/>
      <c r="M126" s="100"/>
      <c r="N126" s="100"/>
      <c r="O126" s="100"/>
      <c r="Q126" s="899" t="s">
        <v>44</v>
      </c>
    </row>
    <row r="127" spans="2:18" ht="15" customHeight="1">
      <c r="B127" s="97" t="s">
        <v>64</v>
      </c>
      <c r="C127" s="101"/>
      <c r="D127" s="101"/>
      <c r="E127" s="101"/>
      <c r="F127" s="101"/>
      <c r="G127" s="101"/>
      <c r="H127" s="101"/>
      <c r="I127" s="101"/>
      <c r="J127" s="101"/>
      <c r="K127" s="101"/>
      <c r="L127" s="101"/>
      <c r="M127" s="101"/>
      <c r="N127" s="101"/>
      <c r="O127" s="101"/>
      <c r="Q127" s="899" t="s">
        <v>44</v>
      </c>
    </row>
    <row r="128" spans="2:18" ht="15" customHeight="1">
      <c r="B128" s="97" t="s">
        <v>65</v>
      </c>
      <c r="C128" s="100"/>
      <c r="D128" s="100"/>
      <c r="E128" s="100"/>
      <c r="F128" s="100"/>
      <c r="G128" s="100"/>
      <c r="H128" s="100"/>
      <c r="I128" s="100"/>
      <c r="J128" s="100"/>
      <c r="K128" s="100"/>
      <c r="L128" s="100"/>
      <c r="M128" s="100"/>
      <c r="N128" s="100"/>
      <c r="O128" s="100"/>
      <c r="Q128" s="899" t="s">
        <v>44</v>
      </c>
      <c r="R128" s="68" t="s">
        <v>72</v>
      </c>
    </row>
    <row r="130" spans="2:18" ht="15" customHeight="1" thickBot="1">
      <c r="B130" s="75" t="s">
        <v>45</v>
      </c>
      <c r="C130" s="75"/>
      <c r="D130" s="75"/>
      <c r="E130" s="163" t="s">
        <v>76</v>
      </c>
    </row>
    <row r="132" spans="2:18" ht="15" customHeight="1">
      <c r="B132" s="74" t="s">
        <v>23</v>
      </c>
      <c r="C132" s="74" t="s">
        <v>36</v>
      </c>
      <c r="D132" s="74" t="s">
        <v>698</v>
      </c>
      <c r="E132" s="74" t="s">
        <v>699</v>
      </c>
      <c r="F132" s="74" t="s">
        <v>700</v>
      </c>
      <c r="G132" s="74" t="s">
        <v>701</v>
      </c>
      <c r="H132" s="74" t="s">
        <v>702</v>
      </c>
      <c r="I132" s="74" t="s">
        <v>703</v>
      </c>
      <c r="J132" s="74" t="s">
        <v>704</v>
      </c>
      <c r="K132" s="74" t="s">
        <v>705</v>
      </c>
      <c r="L132" s="74" t="s">
        <v>706</v>
      </c>
      <c r="M132" s="74" t="s">
        <v>707</v>
      </c>
      <c r="N132" s="74" t="s">
        <v>708</v>
      </c>
      <c r="O132" s="74" t="s">
        <v>709</v>
      </c>
    </row>
    <row r="133" spans="2:18" ht="15" customHeight="1">
      <c r="B133" s="74" t="s">
        <v>37</v>
      </c>
      <c r="C133" s="74">
        <v>-1</v>
      </c>
      <c r="D133" s="74">
        <v>1</v>
      </c>
      <c r="E133" s="74">
        <v>2</v>
      </c>
      <c r="F133" s="74">
        <v>3</v>
      </c>
      <c r="G133" s="74">
        <v>4</v>
      </c>
      <c r="H133" s="74">
        <v>5</v>
      </c>
      <c r="I133" s="74">
        <v>6</v>
      </c>
      <c r="J133" s="74">
        <v>7</v>
      </c>
      <c r="K133" s="74">
        <v>8</v>
      </c>
      <c r="L133" s="74">
        <v>9</v>
      </c>
      <c r="M133" s="74">
        <v>10</v>
      </c>
      <c r="N133" s="74">
        <v>11</v>
      </c>
      <c r="O133" s="74">
        <v>12</v>
      </c>
    </row>
    <row r="134" spans="2:18" ht="15" customHeight="1">
      <c r="B134" s="99" t="s">
        <v>61</v>
      </c>
      <c r="C134" s="102"/>
      <c r="D134" s="102"/>
      <c r="E134" s="102"/>
      <c r="F134" s="102"/>
      <c r="G134" s="102"/>
      <c r="H134" s="102"/>
      <c r="I134" s="102"/>
      <c r="J134" s="102"/>
      <c r="K134" s="102"/>
      <c r="L134" s="102"/>
      <c r="M134" s="102"/>
      <c r="N134" s="102"/>
      <c r="O134" s="102"/>
    </row>
    <row r="135" spans="2:18" ht="15" customHeight="1">
      <c r="B135" s="99" t="s">
        <v>62</v>
      </c>
      <c r="C135" s="102"/>
      <c r="D135" s="102"/>
      <c r="E135" s="102"/>
      <c r="F135" s="102"/>
      <c r="G135" s="102"/>
      <c r="H135" s="102"/>
      <c r="I135" s="102"/>
      <c r="J135" s="102"/>
      <c r="K135" s="102"/>
      <c r="L135" s="102"/>
      <c r="M135" s="102"/>
      <c r="N135" s="102"/>
      <c r="O135" s="102"/>
    </row>
    <row r="136" spans="2:18" ht="15" customHeight="1">
      <c r="B136" s="97" t="s">
        <v>63</v>
      </c>
      <c r="C136" s="100"/>
      <c r="D136" s="100"/>
      <c r="E136" s="100"/>
      <c r="F136" s="100"/>
      <c r="G136" s="100"/>
      <c r="H136" s="100"/>
      <c r="I136" s="100"/>
      <c r="J136" s="100"/>
      <c r="K136" s="100"/>
      <c r="L136" s="100"/>
      <c r="M136" s="100"/>
      <c r="N136" s="100"/>
      <c r="O136" s="100"/>
      <c r="Q136" s="899" t="s">
        <v>45</v>
      </c>
    </row>
    <row r="137" spans="2:18" ht="15" customHeight="1">
      <c r="B137" s="97" t="s">
        <v>64</v>
      </c>
      <c r="C137" s="101"/>
      <c r="D137" s="101"/>
      <c r="E137" s="101"/>
      <c r="F137" s="101"/>
      <c r="G137" s="101"/>
      <c r="H137" s="101"/>
      <c r="I137" s="101"/>
      <c r="J137" s="101"/>
      <c r="K137" s="101"/>
      <c r="L137" s="101"/>
      <c r="M137" s="101"/>
      <c r="N137" s="101"/>
      <c r="O137" s="101"/>
      <c r="Q137" s="899" t="s">
        <v>45</v>
      </c>
    </row>
    <row r="138" spans="2:18" ht="15" customHeight="1">
      <c r="B138" s="97" t="s">
        <v>65</v>
      </c>
      <c r="C138" s="100"/>
      <c r="D138" s="100"/>
      <c r="E138" s="100"/>
      <c r="F138" s="100"/>
      <c r="G138" s="100"/>
      <c r="H138" s="100"/>
      <c r="I138" s="100"/>
      <c r="J138" s="100"/>
      <c r="K138" s="100"/>
      <c r="L138" s="100"/>
      <c r="M138" s="100"/>
      <c r="N138" s="100"/>
      <c r="O138" s="100"/>
      <c r="Q138" s="899" t="s">
        <v>45</v>
      </c>
      <c r="R138" s="68" t="s">
        <v>66</v>
      </c>
    </row>
    <row r="139" spans="2:18" ht="15" customHeight="1">
      <c r="B139" s="99" t="s">
        <v>67</v>
      </c>
      <c r="C139" s="102"/>
      <c r="D139" s="102"/>
      <c r="E139" s="102"/>
      <c r="F139" s="102"/>
      <c r="G139" s="102"/>
      <c r="H139" s="102"/>
      <c r="I139" s="102"/>
      <c r="J139" s="102"/>
      <c r="K139" s="102"/>
      <c r="L139" s="102"/>
      <c r="M139" s="102"/>
      <c r="N139" s="102"/>
      <c r="O139" s="102"/>
      <c r="Q139" s="899" t="s">
        <v>45</v>
      </c>
    </row>
    <row r="140" spans="2:18" ht="15" customHeight="1">
      <c r="B140" s="97" t="s">
        <v>63</v>
      </c>
      <c r="C140" s="100"/>
      <c r="D140" s="100"/>
      <c r="E140" s="100"/>
      <c r="F140" s="100"/>
      <c r="G140" s="100"/>
      <c r="H140" s="100"/>
      <c r="I140" s="100"/>
      <c r="J140" s="100"/>
      <c r="K140" s="100"/>
      <c r="L140" s="100"/>
      <c r="M140" s="100"/>
      <c r="N140" s="100"/>
      <c r="O140" s="100"/>
      <c r="Q140" s="899" t="s">
        <v>45</v>
      </c>
    </row>
    <row r="141" spans="2:18" ht="15" customHeight="1">
      <c r="B141" s="97" t="s">
        <v>64</v>
      </c>
      <c r="C141" s="101"/>
      <c r="D141" s="101"/>
      <c r="E141" s="101"/>
      <c r="F141" s="101"/>
      <c r="G141" s="101"/>
      <c r="H141" s="101"/>
      <c r="I141" s="101"/>
      <c r="J141" s="101"/>
      <c r="K141" s="101"/>
      <c r="L141" s="101"/>
      <c r="M141" s="101"/>
      <c r="N141" s="101"/>
      <c r="O141" s="101"/>
      <c r="Q141" s="899" t="s">
        <v>45</v>
      </c>
    </row>
    <row r="142" spans="2:18" ht="15" customHeight="1">
      <c r="B142" s="97" t="s">
        <v>65</v>
      </c>
      <c r="C142" s="100"/>
      <c r="D142" s="100"/>
      <c r="E142" s="100"/>
      <c r="F142" s="100"/>
      <c r="G142" s="100"/>
      <c r="H142" s="100"/>
      <c r="I142" s="100"/>
      <c r="J142" s="100"/>
      <c r="K142" s="100"/>
      <c r="L142" s="100"/>
      <c r="M142" s="100"/>
      <c r="N142" s="100"/>
      <c r="O142" s="100"/>
      <c r="Q142" s="899" t="s">
        <v>45</v>
      </c>
      <c r="R142" s="68" t="s">
        <v>68</v>
      </c>
    </row>
    <row r="143" spans="2:18" ht="15" customHeight="1">
      <c r="B143" s="99" t="s">
        <v>40</v>
      </c>
      <c r="C143" s="102"/>
      <c r="D143" s="102"/>
      <c r="E143" s="102"/>
      <c r="F143" s="102"/>
      <c r="G143" s="102"/>
      <c r="H143" s="102"/>
      <c r="I143" s="102"/>
      <c r="J143" s="102"/>
      <c r="K143" s="102"/>
      <c r="L143" s="102"/>
      <c r="M143" s="102"/>
      <c r="N143" s="102"/>
      <c r="O143" s="102"/>
      <c r="Q143" s="899" t="s">
        <v>45</v>
      </c>
    </row>
    <row r="144" spans="2:18" ht="15" customHeight="1">
      <c r="B144" s="97" t="s">
        <v>63</v>
      </c>
      <c r="C144" s="100"/>
      <c r="D144" s="100"/>
      <c r="E144" s="100"/>
      <c r="F144" s="100"/>
      <c r="G144" s="100"/>
      <c r="H144" s="100"/>
      <c r="I144" s="100"/>
      <c r="J144" s="100"/>
      <c r="K144" s="100"/>
      <c r="L144" s="100"/>
      <c r="M144" s="100"/>
      <c r="N144" s="100"/>
      <c r="O144" s="100"/>
      <c r="Q144" s="899" t="s">
        <v>45</v>
      </c>
    </row>
    <row r="145" spans="2:18" ht="15" customHeight="1">
      <c r="B145" s="97" t="s">
        <v>64</v>
      </c>
      <c r="C145" s="101"/>
      <c r="D145" s="101"/>
      <c r="E145" s="101"/>
      <c r="F145" s="101"/>
      <c r="G145" s="101"/>
      <c r="H145" s="101"/>
      <c r="I145" s="101"/>
      <c r="J145" s="101"/>
      <c r="K145" s="101"/>
      <c r="L145" s="101"/>
      <c r="M145" s="101"/>
      <c r="N145" s="101"/>
      <c r="O145" s="101"/>
      <c r="Q145" s="899" t="s">
        <v>45</v>
      </c>
    </row>
    <row r="146" spans="2:18" ht="15" customHeight="1">
      <c r="B146" s="97" t="s">
        <v>65</v>
      </c>
      <c r="C146" s="100"/>
      <c r="D146" s="100"/>
      <c r="E146" s="100"/>
      <c r="F146" s="100"/>
      <c r="G146" s="100"/>
      <c r="H146" s="100"/>
      <c r="I146" s="100"/>
      <c r="J146" s="100"/>
      <c r="K146" s="100"/>
      <c r="L146" s="100"/>
      <c r="M146" s="100"/>
      <c r="N146" s="100"/>
      <c r="O146" s="100"/>
      <c r="Q146" s="899" t="s">
        <v>45</v>
      </c>
      <c r="R146" s="68" t="s">
        <v>69</v>
      </c>
    </row>
    <row r="147" spans="2:18" ht="15" customHeight="1">
      <c r="B147" s="99" t="s">
        <v>23</v>
      </c>
      <c r="C147" s="102"/>
      <c r="D147" s="102"/>
      <c r="E147" s="102"/>
      <c r="F147" s="102"/>
      <c r="G147" s="102"/>
      <c r="H147" s="102"/>
      <c r="I147" s="102"/>
      <c r="J147" s="102"/>
      <c r="K147" s="102"/>
      <c r="L147" s="102"/>
      <c r="M147" s="102"/>
      <c r="N147" s="102"/>
      <c r="O147" s="102"/>
      <c r="Q147" s="899" t="s">
        <v>45</v>
      </c>
    </row>
    <row r="148" spans="2:18" ht="15" customHeight="1">
      <c r="B148" s="99" t="s">
        <v>62</v>
      </c>
      <c r="C148" s="102"/>
      <c r="D148" s="102"/>
      <c r="E148" s="102"/>
      <c r="F148" s="102"/>
      <c r="G148" s="102"/>
      <c r="H148" s="102"/>
      <c r="I148" s="102"/>
      <c r="J148" s="102"/>
      <c r="K148" s="102"/>
      <c r="L148" s="102"/>
      <c r="M148" s="102"/>
      <c r="N148" s="102"/>
      <c r="O148" s="102"/>
      <c r="Q148" s="899" t="s">
        <v>45</v>
      </c>
    </row>
    <row r="149" spans="2:18" ht="15" customHeight="1">
      <c r="B149" s="97" t="s">
        <v>63</v>
      </c>
      <c r="C149" s="100"/>
      <c r="D149" s="100"/>
      <c r="E149" s="100"/>
      <c r="F149" s="100"/>
      <c r="G149" s="100"/>
      <c r="H149" s="100"/>
      <c r="I149" s="100"/>
      <c r="J149" s="100"/>
      <c r="K149" s="100"/>
      <c r="L149" s="100"/>
      <c r="M149" s="100"/>
      <c r="N149" s="100"/>
      <c r="O149" s="100"/>
      <c r="Q149" s="899" t="s">
        <v>45</v>
      </c>
    </row>
    <row r="150" spans="2:18" ht="15" customHeight="1">
      <c r="B150" s="97" t="s">
        <v>64</v>
      </c>
      <c r="C150" s="101"/>
      <c r="D150" s="101"/>
      <c r="E150" s="101"/>
      <c r="F150" s="101"/>
      <c r="G150" s="101"/>
      <c r="H150" s="101"/>
      <c r="I150" s="101"/>
      <c r="J150" s="101"/>
      <c r="K150" s="101"/>
      <c r="L150" s="101"/>
      <c r="M150" s="101"/>
      <c r="N150" s="101"/>
      <c r="O150" s="101"/>
      <c r="Q150" s="899" t="s">
        <v>45</v>
      </c>
    </row>
    <row r="151" spans="2:18" ht="15" customHeight="1">
      <c r="B151" s="97" t="s">
        <v>65</v>
      </c>
      <c r="C151" s="100"/>
      <c r="D151" s="100"/>
      <c r="E151" s="100"/>
      <c r="F151" s="100"/>
      <c r="G151" s="100"/>
      <c r="H151" s="100"/>
      <c r="I151" s="100"/>
      <c r="J151" s="100"/>
      <c r="K151" s="100"/>
      <c r="L151" s="100"/>
      <c r="M151" s="100"/>
      <c r="N151" s="100"/>
      <c r="O151" s="100"/>
      <c r="Q151" s="899" t="s">
        <v>45</v>
      </c>
      <c r="R151" s="68" t="s">
        <v>70</v>
      </c>
    </row>
    <row r="152" spans="2:18" ht="15" customHeight="1">
      <c r="B152" s="99" t="s">
        <v>67</v>
      </c>
      <c r="C152" s="102"/>
      <c r="D152" s="102"/>
      <c r="E152" s="102"/>
      <c r="F152" s="102"/>
      <c r="G152" s="102"/>
      <c r="H152" s="102"/>
      <c r="I152" s="102"/>
      <c r="J152" s="102"/>
      <c r="K152" s="102"/>
      <c r="L152" s="102"/>
      <c r="M152" s="102"/>
      <c r="N152" s="102"/>
      <c r="O152" s="102"/>
      <c r="Q152" s="899" t="s">
        <v>45</v>
      </c>
    </row>
    <row r="153" spans="2:18" ht="15" customHeight="1">
      <c r="B153" s="97" t="s">
        <v>63</v>
      </c>
      <c r="C153" s="100"/>
      <c r="D153" s="100"/>
      <c r="E153" s="100"/>
      <c r="F153" s="100"/>
      <c r="G153" s="100"/>
      <c r="H153" s="100"/>
      <c r="I153" s="100"/>
      <c r="J153" s="100"/>
      <c r="K153" s="100"/>
      <c r="L153" s="100"/>
      <c r="M153" s="100"/>
      <c r="N153" s="100"/>
      <c r="O153" s="100"/>
      <c r="Q153" s="899" t="s">
        <v>45</v>
      </c>
    </row>
    <row r="154" spans="2:18" ht="15" customHeight="1">
      <c r="B154" s="97" t="s">
        <v>64</v>
      </c>
      <c r="C154" s="101"/>
      <c r="D154" s="101"/>
      <c r="E154" s="101"/>
      <c r="F154" s="101"/>
      <c r="G154" s="101"/>
      <c r="H154" s="101"/>
      <c r="I154" s="101"/>
      <c r="J154" s="101"/>
      <c r="K154" s="101"/>
      <c r="L154" s="101"/>
      <c r="M154" s="101"/>
      <c r="N154" s="101"/>
      <c r="O154" s="101"/>
      <c r="Q154" s="899" t="s">
        <v>45</v>
      </c>
    </row>
    <row r="155" spans="2:18" ht="15" customHeight="1">
      <c r="B155" s="97" t="s">
        <v>65</v>
      </c>
      <c r="C155" s="100"/>
      <c r="D155" s="100"/>
      <c r="E155" s="100"/>
      <c r="F155" s="100"/>
      <c r="G155" s="100"/>
      <c r="H155" s="100"/>
      <c r="I155" s="100"/>
      <c r="J155" s="100"/>
      <c r="K155" s="100"/>
      <c r="L155" s="100"/>
      <c r="M155" s="100"/>
      <c r="N155" s="100"/>
      <c r="O155" s="100"/>
      <c r="Q155" s="899" t="s">
        <v>45</v>
      </c>
      <c r="R155" s="68" t="s">
        <v>71</v>
      </c>
    </row>
    <row r="156" spans="2:18" ht="15" customHeight="1">
      <c r="B156" s="99" t="s">
        <v>40</v>
      </c>
      <c r="C156" s="102"/>
      <c r="D156" s="102"/>
      <c r="E156" s="102"/>
      <c r="F156" s="102"/>
      <c r="G156" s="102"/>
      <c r="H156" s="102"/>
      <c r="I156" s="102"/>
      <c r="J156" s="102"/>
      <c r="K156" s="102"/>
      <c r="L156" s="102"/>
      <c r="M156" s="102"/>
      <c r="N156" s="102"/>
      <c r="O156" s="102"/>
      <c r="Q156" s="899" t="s">
        <v>45</v>
      </c>
    </row>
    <row r="157" spans="2:18" ht="15" customHeight="1">
      <c r="B157" s="97" t="s">
        <v>63</v>
      </c>
      <c r="C157" s="100"/>
      <c r="D157" s="100"/>
      <c r="E157" s="100"/>
      <c r="F157" s="100"/>
      <c r="G157" s="100"/>
      <c r="H157" s="100"/>
      <c r="I157" s="100"/>
      <c r="J157" s="100"/>
      <c r="K157" s="100"/>
      <c r="L157" s="100"/>
      <c r="M157" s="100"/>
      <c r="N157" s="100"/>
      <c r="O157" s="100"/>
      <c r="Q157" s="899" t="s">
        <v>45</v>
      </c>
    </row>
    <row r="158" spans="2:18" ht="15" customHeight="1">
      <c r="B158" s="97" t="s">
        <v>64</v>
      </c>
      <c r="C158" s="101"/>
      <c r="D158" s="101"/>
      <c r="E158" s="101"/>
      <c r="F158" s="101"/>
      <c r="G158" s="101"/>
      <c r="H158" s="101"/>
      <c r="I158" s="101"/>
      <c r="J158" s="101"/>
      <c r="K158" s="101"/>
      <c r="L158" s="101"/>
      <c r="M158" s="101"/>
      <c r="N158" s="101"/>
      <c r="O158" s="101"/>
      <c r="Q158" s="899" t="s">
        <v>45</v>
      </c>
    </row>
    <row r="159" spans="2:18" ht="15" customHeight="1">
      <c r="B159" s="97" t="s">
        <v>65</v>
      </c>
      <c r="C159" s="100"/>
      <c r="D159" s="100"/>
      <c r="E159" s="100"/>
      <c r="F159" s="100"/>
      <c r="G159" s="100"/>
      <c r="H159" s="100"/>
      <c r="I159" s="100"/>
      <c r="J159" s="100"/>
      <c r="K159" s="100"/>
      <c r="L159" s="100"/>
      <c r="M159" s="100"/>
      <c r="N159" s="100"/>
      <c r="O159" s="100"/>
      <c r="Q159" s="899" t="s">
        <v>45</v>
      </c>
      <c r="R159" s="68" t="s">
        <v>72</v>
      </c>
    </row>
    <row r="161" spans="2:18" ht="15" customHeight="1" thickBot="1">
      <c r="B161" s="75" t="s">
        <v>47</v>
      </c>
      <c r="C161" s="75"/>
      <c r="D161" s="75"/>
      <c r="E161" s="163" t="s">
        <v>77</v>
      </c>
    </row>
    <row r="163" spans="2:18" ht="15" customHeight="1">
      <c r="B163" s="74" t="s">
        <v>23</v>
      </c>
      <c r="C163" s="74" t="s">
        <v>36</v>
      </c>
      <c r="D163" s="74" t="s">
        <v>698</v>
      </c>
      <c r="E163" s="74" t="s">
        <v>699</v>
      </c>
      <c r="F163" s="74" t="s">
        <v>700</v>
      </c>
      <c r="G163" s="74" t="s">
        <v>701</v>
      </c>
      <c r="H163" s="74" t="s">
        <v>702</v>
      </c>
      <c r="I163" s="74" t="s">
        <v>703</v>
      </c>
      <c r="J163" s="74" t="s">
        <v>704</v>
      </c>
      <c r="K163" s="74" t="s">
        <v>705</v>
      </c>
      <c r="L163" s="74" t="s">
        <v>706</v>
      </c>
      <c r="M163" s="74" t="s">
        <v>707</v>
      </c>
      <c r="N163" s="74" t="s">
        <v>708</v>
      </c>
      <c r="O163" s="74" t="s">
        <v>709</v>
      </c>
    </row>
    <row r="164" spans="2:18" ht="15" customHeight="1">
      <c r="B164" s="74" t="s">
        <v>37</v>
      </c>
      <c r="C164" s="74">
        <v>-1</v>
      </c>
      <c r="D164" s="74">
        <v>1</v>
      </c>
      <c r="E164" s="74">
        <v>2</v>
      </c>
      <c r="F164" s="74">
        <v>3</v>
      </c>
      <c r="G164" s="74">
        <v>4</v>
      </c>
      <c r="H164" s="74">
        <v>5</v>
      </c>
      <c r="I164" s="74">
        <v>6</v>
      </c>
      <c r="J164" s="74">
        <v>7</v>
      </c>
      <c r="K164" s="74">
        <v>8</v>
      </c>
      <c r="L164" s="74">
        <v>9</v>
      </c>
      <c r="M164" s="74">
        <v>10</v>
      </c>
      <c r="N164" s="74">
        <v>11</v>
      </c>
      <c r="O164" s="74">
        <v>12</v>
      </c>
    </row>
    <row r="165" spans="2:18" ht="15" customHeight="1">
      <c r="B165" s="99" t="s">
        <v>61</v>
      </c>
      <c r="C165" s="102"/>
      <c r="D165" s="102"/>
      <c r="E165" s="102"/>
      <c r="F165" s="102"/>
      <c r="G165" s="102"/>
      <c r="H165" s="102"/>
      <c r="I165" s="102"/>
      <c r="J165" s="102"/>
      <c r="K165" s="102"/>
      <c r="L165" s="102"/>
      <c r="M165" s="102"/>
      <c r="N165" s="102"/>
      <c r="O165" s="102"/>
    </row>
    <row r="166" spans="2:18" ht="15" customHeight="1">
      <c r="B166" s="99" t="s">
        <v>62</v>
      </c>
      <c r="C166" s="102"/>
      <c r="D166" s="102"/>
      <c r="E166" s="102"/>
      <c r="F166" s="102"/>
      <c r="G166" s="102"/>
      <c r="H166" s="102"/>
      <c r="I166" s="102"/>
      <c r="J166" s="102"/>
      <c r="K166" s="102"/>
      <c r="L166" s="102"/>
      <c r="M166" s="102"/>
      <c r="N166" s="102"/>
      <c r="O166" s="102"/>
    </row>
    <row r="167" spans="2:18" ht="15" customHeight="1">
      <c r="B167" s="97" t="s">
        <v>63</v>
      </c>
      <c r="C167" s="100"/>
      <c r="D167" s="100"/>
      <c r="E167" s="100"/>
      <c r="F167" s="100"/>
      <c r="G167" s="100"/>
      <c r="H167" s="100"/>
      <c r="I167" s="100"/>
      <c r="J167" s="100"/>
      <c r="K167" s="100"/>
      <c r="L167" s="100"/>
      <c r="M167" s="100"/>
      <c r="N167" s="100"/>
      <c r="O167" s="100"/>
      <c r="Q167" s="899" t="s">
        <v>47</v>
      </c>
    </row>
    <row r="168" spans="2:18" ht="15" customHeight="1">
      <c r="B168" s="97" t="s">
        <v>64</v>
      </c>
      <c r="C168" s="101"/>
      <c r="D168" s="101"/>
      <c r="E168" s="101"/>
      <c r="F168" s="101"/>
      <c r="G168" s="101"/>
      <c r="H168" s="101"/>
      <c r="I168" s="101"/>
      <c r="J168" s="101"/>
      <c r="K168" s="101"/>
      <c r="L168" s="101"/>
      <c r="M168" s="101"/>
      <c r="N168" s="101"/>
      <c r="O168" s="101"/>
      <c r="Q168" s="899" t="s">
        <v>47</v>
      </c>
    </row>
    <row r="169" spans="2:18" ht="15" customHeight="1">
      <c r="B169" s="97" t="s">
        <v>65</v>
      </c>
      <c r="C169" s="100"/>
      <c r="D169" s="100"/>
      <c r="E169" s="100"/>
      <c r="F169" s="100"/>
      <c r="G169" s="100"/>
      <c r="H169" s="100"/>
      <c r="I169" s="100"/>
      <c r="J169" s="100"/>
      <c r="K169" s="100"/>
      <c r="L169" s="100"/>
      <c r="M169" s="100"/>
      <c r="N169" s="100"/>
      <c r="O169" s="100"/>
      <c r="Q169" s="899" t="s">
        <v>47</v>
      </c>
      <c r="R169" s="68" t="s">
        <v>66</v>
      </c>
    </row>
    <row r="170" spans="2:18" ht="15" customHeight="1">
      <c r="B170" s="99" t="s">
        <v>67</v>
      </c>
      <c r="C170" s="102"/>
      <c r="D170" s="102"/>
      <c r="E170" s="102"/>
      <c r="F170" s="102"/>
      <c r="G170" s="102"/>
      <c r="H170" s="102"/>
      <c r="I170" s="102"/>
      <c r="J170" s="102"/>
      <c r="K170" s="102"/>
      <c r="L170" s="102"/>
      <c r="M170" s="102"/>
      <c r="N170" s="102"/>
      <c r="O170" s="102"/>
      <c r="Q170" s="899" t="s">
        <v>47</v>
      </c>
    </row>
    <row r="171" spans="2:18" ht="15" customHeight="1">
      <c r="B171" s="97" t="s">
        <v>63</v>
      </c>
      <c r="C171" s="100"/>
      <c r="D171" s="100"/>
      <c r="E171" s="100"/>
      <c r="F171" s="100"/>
      <c r="G171" s="100"/>
      <c r="H171" s="100"/>
      <c r="I171" s="100"/>
      <c r="J171" s="100"/>
      <c r="K171" s="100"/>
      <c r="L171" s="100"/>
      <c r="M171" s="100"/>
      <c r="N171" s="100"/>
      <c r="O171" s="100"/>
      <c r="Q171" s="899" t="s">
        <v>47</v>
      </c>
    </row>
    <row r="172" spans="2:18" ht="15" customHeight="1">
      <c r="B172" s="97" t="s">
        <v>64</v>
      </c>
      <c r="C172" s="101"/>
      <c r="D172" s="101"/>
      <c r="E172" s="101"/>
      <c r="F172" s="101"/>
      <c r="G172" s="101"/>
      <c r="H172" s="101"/>
      <c r="I172" s="101"/>
      <c r="J172" s="101"/>
      <c r="K172" s="101"/>
      <c r="L172" s="101"/>
      <c r="M172" s="101"/>
      <c r="N172" s="101"/>
      <c r="O172" s="101"/>
      <c r="Q172" s="899" t="s">
        <v>47</v>
      </c>
    </row>
    <row r="173" spans="2:18" ht="15" customHeight="1">
      <c r="B173" s="97" t="s">
        <v>65</v>
      </c>
      <c r="C173" s="100"/>
      <c r="D173" s="100"/>
      <c r="E173" s="100"/>
      <c r="F173" s="100"/>
      <c r="G173" s="100"/>
      <c r="H173" s="100"/>
      <c r="I173" s="100"/>
      <c r="J173" s="100"/>
      <c r="K173" s="100"/>
      <c r="L173" s="100"/>
      <c r="M173" s="100"/>
      <c r="N173" s="100"/>
      <c r="O173" s="100"/>
      <c r="Q173" s="899" t="s">
        <v>47</v>
      </c>
      <c r="R173" s="68" t="s">
        <v>68</v>
      </c>
    </row>
    <row r="174" spans="2:18" ht="15" customHeight="1">
      <c r="B174" s="99" t="s">
        <v>40</v>
      </c>
      <c r="C174" s="102"/>
      <c r="D174" s="102"/>
      <c r="E174" s="102"/>
      <c r="F174" s="102"/>
      <c r="G174" s="102"/>
      <c r="H174" s="102"/>
      <c r="I174" s="102"/>
      <c r="J174" s="102"/>
      <c r="K174" s="102"/>
      <c r="L174" s="102"/>
      <c r="M174" s="102"/>
      <c r="N174" s="102"/>
      <c r="O174" s="102"/>
      <c r="Q174" s="899" t="s">
        <v>47</v>
      </c>
    </row>
    <row r="175" spans="2:18" ht="15" customHeight="1">
      <c r="B175" s="97" t="s">
        <v>63</v>
      </c>
      <c r="C175" s="100"/>
      <c r="D175" s="100"/>
      <c r="E175" s="100"/>
      <c r="F175" s="100"/>
      <c r="G175" s="100"/>
      <c r="H175" s="100"/>
      <c r="I175" s="100"/>
      <c r="J175" s="100"/>
      <c r="K175" s="100"/>
      <c r="L175" s="100"/>
      <c r="M175" s="100"/>
      <c r="N175" s="100"/>
      <c r="O175" s="100"/>
      <c r="Q175" s="899" t="s">
        <v>47</v>
      </c>
    </row>
    <row r="176" spans="2:18" ht="15" customHeight="1">
      <c r="B176" s="97" t="s">
        <v>64</v>
      </c>
      <c r="C176" s="101"/>
      <c r="D176" s="101"/>
      <c r="E176" s="101"/>
      <c r="F176" s="101"/>
      <c r="G176" s="101"/>
      <c r="H176" s="101"/>
      <c r="I176" s="101"/>
      <c r="J176" s="101"/>
      <c r="K176" s="101"/>
      <c r="L176" s="101"/>
      <c r="M176" s="101"/>
      <c r="N176" s="101"/>
      <c r="O176" s="101"/>
      <c r="Q176" s="899" t="s">
        <v>47</v>
      </c>
    </row>
    <row r="177" spans="2:18" ht="15" customHeight="1">
      <c r="B177" s="97" t="s">
        <v>65</v>
      </c>
      <c r="C177" s="100"/>
      <c r="D177" s="100"/>
      <c r="E177" s="100"/>
      <c r="F177" s="100"/>
      <c r="G177" s="100"/>
      <c r="H177" s="100"/>
      <c r="I177" s="100"/>
      <c r="J177" s="100"/>
      <c r="K177" s="100"/>
      <c r="L177" s="100"/>
      <c r="M177" s="100"/>
      <c r="N177" s="100"/>
      <c r="O177" s="100"/>
      <c r="Q177" s="899" t="s">
        <v>47</v>
      </c>
      <c r="R177" s="68" t="s">
        <v>69</v>
      </c>
    </row>
    <row r="178" spans="2:18" ht="15" customHeight="1">
      <c r="B178" s="99" t="s">
        <v>23</v>
      </c>
      <c r="C178" s="102"/>
      <c r="D178" s="102"/>
      <c r="E178" s="102"/>
      <c r="F178" s="102"/>
      <c r="G178" s="102"/>
      <c r="H178" s="102"/>
      <c r="I178" s="102"/>
      <c r="J178" s="102"/>
      <c r="K178" s="102"/>
      <c r="L178" s="102"/>
      <c r="M178" s="102"/>
      <c r="N178" s="102"/>
      <c r="O178" s="102"/>
      <c r="Q178" s="899" t="s">
        <v>47</v>
      </c>
    </row>
    <row r="179" spans="2:18" ht="15" customHeight="1">
      <c r="B179" s="99" t="s">
        <v>62</v>
      </c>
      <c r="C179" s="102"/>
      <c r="D179" s="102"/>
      <c r="E179" s="102"/>
      <c r="F179" s="102"/>
      <c r="G179" s="102"/>
      <c r="H179" s="102"/>
      <c r="I179" s="102"/>
      <c r="J179" s="102"/>
      <c r="K179" s="102"/>
      <c r="L179" s="102"/>
      <c r="M179" s="102"/>
      <c r="N179" s="102"/>
      <c r="O179" s="102"/>
      <c r="Q179" s="899" t="s">
        <v>47</v>
      </c>
    </row>
    <row r="180" spans="2:18" ht="15" customHeight="1">
      <c r="B180" s="97" t="s">
        <v>63</v>
      </c>
      <c r="C180" s="100"/>
      <c r="D180" s="100"/>
      <c r="E180" s="100"/>
      <c r="F180" s="100"/>
      <c r="G180" s="100"/>
      <c r="H180" s="100"/>
      <c r="I180" s="100"/>
      <c r="J180" s="100"/>
      <c r="K180" s="100"/>
      <c r="L180" s="100"/>
      <c r="M180" s="100"/>
      <c r="N180" s="100"/>
      <c r="O180" s="100"/>
      <c r="Q180" s="899" t="s">
        <v>47</v>
      </c>
    </row>
    <row r="181" spans="2:18" ht="15" customHeight="1">
      <c r="B181" s="97" t="s">
        <v>64</v>
      </c>
      <c r="C181" s="101"/>
      <c r="D181" s="101"/>
      <c r="E181" s="101"/>
      <c r="F181" s="101"/>
      <c r="G181" s="101"/>
      <c r="H181" s="101"/>
      <c r="I181" s="101"/>
      <c r="J181" s="101"/>
      <c r="K181" s="101"/>
      <c r="L181" s="101"/>
      <c r="M181" s="101"/>
      <c r="N181" s="101"/>
      <c r="O181" s="101"/>
      <c r="Q181" s="899" t="s">
        <v>47</v>
      </c>
    </row>
    <row r="182" spans="2:18" ht="15" customHeight="1">
      <c r="B182" s="97" t="s">
        <v>65</v>
      </c>
      <c r="C182" s="100"/>
      <c r="D182" s="100"/>
      <c r="E182" s="100"/>
      <c r="F182" s="100"/>
      <c r="G182" s="100"/>
      <c r="H182" s="100"/>
      <c r="I182" s="100"/>
      <c r="J182" s="100"/>
      <c r="K182" s="100"/>
      <c r="L182" s="100"/>
      <c r="M182" s="100"/>
      <c r="N182" s="100"/>
      <c r="O182" s="100"/>
      <c r="Q182" s="899" t="s">
        <v>47</v>
      </c>
      <c r="R182" s="68" t="s">
        <v>70</v>
      </c>
    </row>
    <row r="183" spans="2:18" ht="15" customHeight="1">
      <c r="B183" s="99" t="s">
        <v>67</v>
      </c>
      <c r="C183" s="102"/>
      <c r="D183" s="102"/>
      <c r="E183" s="102"/>
      <c r="F183" s="102"/>
      <c r="G183" s="102"/>
      <c r="H183" s="102"/>
      <c r="I183" s="102"/>
      <c r="J183" s="102"/>
      <c r="K183" s="102"/>
      <c r="L183" s="102"/>
      <c r="M183" s="102"/>
      <c r="N183" s="102"/>
      <c r="O183" s="102"/>
      <c r="Q183" s="899" t="s">
        <v>47</v>
      </c>
    </row>
    <row r="184" spans="2:18" ht="15" customHeight="1">
      <c r="B184" s="97" t="s">
        <v>63</v>
      </c>
      <c r="C184" s="100"/>
      <c r="D184" s="100"/>
      <c r="E184" s="100"/>
      <c r="F184" s="100"/>
      <c r="G184" s="100"/>
      <c r="H184" s="100"/>
      <c r="I184" s="100"/>
      <c r="J184" s="100"/>
      <c r="K184" s="100"/>
      <c r="L184" s="100"/>
      <c r="M184" s="100"/>
      <c r="N184" s="100"/>
      <c r="O184" s="100"/>
      <c r="Q184" s="899" t="s">
        <v>47</v>
      </c>
    </row>
    <row r="185" spans="2:18" ht="15" customHeight="1">
      <c r="B185" s="97" t="s">
        <v>64</v>
      </c>
      <c r="C185" s="101"/>
      <c r="D185" s="101"/>
      <c r="E185" s="101"/>
      <c r="F185" s="101"/>
      <c r="G185" s="101"/>
      <c r="H185" s="101"/>
      <c r="I185" s="101"/>
      <c r="J185" s="101"/>
      <c r="K185" s="101"/>
      <c r="L185" s="101"/>
      <c r="M185" s="101"/>
      <c r="N185" s="101"/>
      <c r="O185" s="101"/>
      <c r="Q185" s="899" t="s">
        <v>47</v>
      </c>
    </row>
    <row r="186" spans="2:18" ht="15" customHeight="1">
      <c r="B186" s="97" t="s">
        <v>65</v>
      </c>
      <c r="C186" s="100"/>
      <c r="D186" s="100"/>
      <c r="E186" s="100"/>
      <c r="F186" s="100"/>
      <c r="G186" s="100"/>
      <c r="H186" s="100"/>
      <c r="I186" s="100"/>
      <c r="J186" s="100"/>
      <c r="K186" s="100"/>
      <c r="L186" s="100"/>
      <c r="M186" s="100"/>
      <c r="N186" s="100"/>
      <c r="O186" s="100"/>
      <c r="Q186" s="899" t="s">
        <v>47</v>
      </c>
      <c r="R186" s="68" t="s">
        <v>71</v>
      </c>
    </row>
    <row r="187" spans="2:18" ht="15" customHeight="1">
      <c r="B187" s="99" t="s">
        <v>40</v>
      </c>
      <c r="C187" s="102"/>
      <c r="D187" s="102"/>
      <c r="E187" s="102"/>
      <c r="F187" s="102"/>
      <c r="G187" s="102"/>
      <c r="H187" s="102"/>
      <c r="I187" s="102"/>
      <c r="J187" s="102"/>
      <c r="K187" s="102"/>
      <c r="L187" s="102"/>
      <c r="M187" s="102"/>
      <c r="N187" s="102"/>
      <c r="O187" s="102"/>
      <c r="Q187" s="899" t="s">
        <v>47</v>
      </c>
    </row>
    <row r="188" spans="2:18" ht="15" customHeight="1">
      <c r="B188" s="97" t="s">
        <v>63</v>
      </c>
      <c r="C188" s="100"/>
      <c r="D188" s="100"/>
      <c r="E188" s="100"/>
      <c r="F188" s="100"/>
      <c r="G188" s="100"/>
      <c r="H188" s="100"/>
      <c r="I188" s="100"/>
      <c r="J188" s="100"/>
      <c r="K188" s="100"/>
      <c r="L188" s="100"/>
      <c r="M188" s="100"/>
      <c r="N188" s="100"/>
      <c r="O188" s="100"/>
      <c r="Q188" s="899" t="s">
        <v>47</v>
      </c>
    </row>
    <row r="189" spans="2:18" ht="15" customHeight="1">
      <c r="B189" s="97" t="s">
        <v>64</v>
      </c>
      <c r="C189" s="101"/>
      <c r="D189" s="101"/>
      <c r="E189" s="101"/>
      <c r="F189" s="101"/>
      <c r="G189" s="101"/>
      <c r="H189" s="101"/>
      <c r="I189" s="101"/>
      <c r="J189" s="101"/>
      <c r="K189" s="101"/>
      <c r="L189" s="101"/>
      <c r="M189" s="101"/>
      <c r="N189" s="101"/>
      <c r="O189" s="101"/>
      <c r="Q189" s="899" t="s">
        <v>47</v>
      </c>
    </row>
    <row r="190" spans="2:18" ht="15" customHeight="1">
      <c r="B190" s="97" t="s">
        <v>65</v>
      </c>
      <c r="C190" s="100"/>
      <c r="D190" s="100"/>
      <c r="E190" s="100"/>
      <c r="F190" s="100"/>
      <c r="G190" s="100"/>
      <c r="H190" s="100"/>
      <c r="I190" s="100"/>
      <c r="J190" s="100"/>
      <c r="K190" s="100"/>
      <c r="L190" s="100"/>
      <c r="M190" s="100"/>
      <c r="N190" s="100"/>
      <c r="O190" s="100"/>
      <c r="Q190" s="899" t="s">
        <v>47</v>
      </c>
      <c r="R190" s="68" t="s">
        <v>72</v>
      </c>
    </row>
    <row r="192" spans="2:18" ht="15" customHeight="1" thickBot="1">
      <c r="B192" s="75" t="s">
        <v>78</v>
      </c>
      <c r="C192" s="75"/>
      <c r="D192" s="75"/>
      <c r="E192" s="163" t="s">
        <v>79</v>
      </c>
    </row>
    <row r="194" spans="2:18" ht="15" customHeight="1">
      <c r="B194" s="74" t="s">
        <v>23</v>
      </c>
      <c r="C194" s="74" t="s">
        <v>36</v>
      </c>
      <c r="D194" s="74" t="s">
        <v>698</v>
      </c>
      <c r="E194" s="74" t="s">
        <v>699</v>
      </c>
      <c r="F194" s="74" t="s">
        <v>700</v>
      </c>
      <c r="G194" s="74" t="s">
        <v>701</v>
      </c>
      <c r="H194" s="74" t="s">
        <v>702</v>
      </c>
      <c r="I194" s="74" t="s">
        <v>703</v>
      </c>
      <c r="J194" s="74" t="s">
        <v>704</v>
      </c>
      <c r="K194" s="74" t="s">
        <v>705</v>
      </c>
      <c r="L194" s="74" t="s">
        <v>706</v>
      </c>
      <c r="M194" s="74" t="s">
        <v>707</v>
      </c>
      <c r="N194" s="74" t="s">
        <v>708</v>
      </c>
      <c r="O194" s="74" t="s">
        <v>709</v>
      </c>
    </row>
    <row r="195" spans="2:18" ht="15" customHeight="1">
      <c r="B195" s="74" t="s">
        <v>37</v>
      </c>
      <c r="C195" s="74">
        <v>-1</v>
      </c>
      <c r="D195" s="74">
        <v>1</v>
      </c>
      <c r="E195" s="74">
        <v>2</v>
      </c>
      <c r="F195" s="74">
        <v>3</v>
      </c>
      <c r="G195" s="74">
        <v>4</v>
      </c>
      <c r="H195" s="74">
        <v>5</v>
      </c>
      <c r="I195" s="74">
        <v>6</v>
      </c>
      <c r="J195" s="74">
        <v>7</v>
      </c>
      <c r="K195" s="74">
        <v>8</v>
      </c>
      <c r="L195" s="74">
        <v>9</v>
      </c>
      <c r="M195" s="74">
        <v>10</v>
      </c>
      <c r="N195" s="74">
        <v>11</v>
      </c>
      <c r="O195" s="74">
        <v>12</v>
      </c>
    </row>
    <row r="196" spans="2:18" ht="15" customHeight="1">
      <c r="B196" s="99" t="s">
        <v>61</v>
      </c>
      <c r="C196" s="102"/>
      <c r="D196" s="102"/>
      <c r="E196" s="102"/>
      <c r="F196" s="102"/>
      <c r="G196" s="102"/>
      <c r="H196" s="102"/>
      <c r="I196" s="102"/>
      <c r="J196" s="102"/>
      <c r="K196" s="102"/>
      <c r="L196" s="102"/>
      <c r="M196" s="102"/>
      <c r="N196" s="102"/>
      <c r="O196" s="102"/>
    </row>
    <row r="197" spans="2:18" ht="15" customHeight="1">
      <c r="B197" s="99" t="s">
        <v>62</v>
      </c>
      <c r="C197" s="102"/>
      <c r="D197" s="102"/>
      <c r="E197" s="102"/>
      <c r="F197" s="102"/>
      <c r="G197" s="102"/>
      <c r="H197" s="102"/>
      <c r="I197" s="102"/>
      <c r="J197" s="102"/>
      <c r="K197" s="102"/>
      <c r="L197" s="102"/>
      <c r="M197" s="102"/>
      <c r="N197" s="102"/>
      <c r="O197" s="102"/>
    </row>
    <row r="198" spans="2:18" ht="15" customHeight="1">
      <c r="B198" s="97" t="s">
        <v>63</v>
      </c>
      <c r="C198" s="100"/>
      <c r="D198" s="100"/>
      <c r="E198" s="100"/>
      <c r="F198" s="100"/>
      <c r="G198" s="100"/>
      <c r="H198" s="100"/>
      <c r="I198" s="100"/>
      <c r="J198" s="100"/>
      <c r="K198" s="100"/>
      <c r="L198" s="100"/>
      <c r="M198" s="100"/>
      <c r="N198" s="100"/>
      <c r="O198" s="100"/>
      <c r="Q198" s="899" t="s">
        <v>78</v>
      </c>
    </row>
    <row r="199" spans="2:18" ht="15" customHeight="1">
      <c r="B199" s="97" t="s">
        <v>64</v>
      </c>
      <c r="C199" s="101"/>
      <c r="D199" s="101"/>
      <c r="E199" s="101"/>
      <c r="F199" s="101"/>
      <c r="G199" s="101"/>
      <c r="H199" s="101"/>
      <c r="I199" s="101"/>
      <c r="J199" s="101"/>
      <c r="K199" s="101"/>
      <c r="L199" s="101"/>
      <c r="M199" s="101"/>
      <c r="N199" s="101"/>
      <c r="O199" s="101"/>
      <c r="Q199" s="899" t="s">
        <v>78</v>
      </c>
    </row>
    <row r="200" spans="2:18" ht="15" customHeight="1">
      <c r="B200" s="97" t="s">
        <v>65</v>
      </c>
      <c r="C200" s="100"/>
      <c r="D200" s="100"/>
      <c r="E200" s="100"/>
      <c r="F200" s="100"/>
      <c r="G200" s="100"/>
      <c r="H200" s="100"/>
      <c r="I200" s="100"/>
      <c r="J200" s="100"/>
      <c r="K200" s="100"/>
      <c r="L200" s="100"/>
      <c r="M200" s="100"/>
      <c r="N200" s="100"/>
      <c r="O200" s="100"/>
      <c r="Q200" s="899" t="s">
        <v>78</v>
      </c>
      <c r="R200" s="68" t="s">
        <v>66</v>
      </c>
    </row>
    <row r="201" spans="2:18" ht="15" customHeight="1">
      <c r="B201" s="99" t="s">
        <v>67</v>
      </c>
      <c r="C201" s="102"/>
      <c r="D201" s="102"/>
      <c r="E201" s="102"/>
      <c r="F201" s="102"/>
      <c r="G201" s="102"/>
      <c r="H201" s="102"/>
      <c r="I201" s="102"/>
      <c r="J201" s="102"/>
      <c r="K201" s="102"/>
      <c r="L201" s="102"/>
      <c r="M201" s="102"/>
      <c r="N201" s="102"/>
      <c r="O201" s="102"/>
      <c r="Q201" s="899" t="s">
        <v>78</v>
      </c>
    </row>
    <row r="202" spans="2:18" ht="15" customHeight="1">
      <c r="B202" s="97" t="s">
        <v>63</v>
      </c>
      <c r="C202" s="100"/>
      <c r="D202" s="100"/>
      <c r="E202" s="100"/>
      <c r="F202" s="100"/>
      <c r="G202" s="100"/>
      <c r="H202" s="100"/>
      <c r="I202" s="100"/>
      <c r="J202" s="100"/>
      <c r="K202" s="100"/>
      <c r="L202" s="100"/>
      <c r="M202" s="100"/>
      <c r="N202" s="100"/>
      <c r="O202" s="100"/>
      <c r="Q202" s="899" t="s">
        <v>78</v>
      </c>
    </row>
    <row r="203" spans="2:18" ht="15" customHeight="1">
      <c r="B203" s="97" t="s">
        <v>64</v>
      </c>
      <c r="C203" s="101"/>
      <c r="D203" s="101"/>
      <c r="E203" s="101"/>
      <c r="F203" s="101"/>
      <c r="G203" s="101"/>
      <c r="H203" s="101"/>
      <c r="I203" s="101"/>
      <c r="J203" s="101"/>
      <c r="K203" s="101"/>
      <c r="L203" s="101"/>
      <c r="M203" s="101"/>
      <c r="N203" s="101"/>
      <c r="O203" s="101"/>
      <c r="Q203" s="899" t="s">
        <v>78</v>
      </c>
    </row>
    <row r="204" spans="2:18" ht="15" customHeight="1">
      <c r="B204" s="97" t="s">
        <v>65</v>
      </c>
      <c r="C204" s="100"/>
      <c r="D204" s="100"/>
      <c r="E204" s="100"/>
      <c r="F204" s="100"/>
      <c r="G204" s="100"/>
      <c r="H204" s="100"/>
      <c r="I204" s="100"/>
      <c r="J204" s="100"/>
      <c r="K204" s="100"/>
      <c r="L204" s="100"/>
      <c r="M204" s="100"/>
      <c r="N204" s="100"/>
      <c r="O204" s="100"/>
      <c r="Q204" s="899" t="s">
        <v>78</v>
      </c>
      <c r="R204" s="68" t="s">
        <v>68</v>
      </c>
    </row>
    <row r="205" spans="2:18" ht="15" customHeight="1">
      <c r="B205" s="99" t="s">
        <v>40</v>
      </c>
      <c r="C205" s="102"/>
      <c r="D205" s="102"/>
      <c r="E205" s="102"/>
      <c r="F205" s="102"/>
      <c r="G205" s="102"/>
      <c r="H205" s="102"/>
      <c r="I205" s="102"/>
      <c r="J205" s="102"/>
      <c r="K205" s="102"/>
      <c r="L205" s="102"/>
      <c r="M205" s="102"/>
      <c r="N205" s="102"/>
      <c r="O205" s="102"/>
      <c r="Q205" s="899" t="s">
        <v>78</v>
      </c>
    </row>
    <row r="206" spans="2:18" ht="15" customHeight="1">
      <c r="B206" s="97" t="s">
        <v>63</v>
      </c>
      <c r="C206" s="100"/>
      <c r="D206" s="100"/>
      <c r="E206" s="100"/>
      <c r="F206" s="100"/>
      <c r="G206" s="100"/>
      <c r="H206" s="100"/>
      <c r="I206" s="100"/>
      <c r="J206" s="100"/>
      <c r="K206" s="100"/>
      <c r="L206" s="100"/>
      <c r="M206" s="100"/>
      <c r="N206" s="100"/>
      <c r="O206" s="100"/>
      <c r="Q206" s="899" t="s">
        <v>78</v>
      </c>
    </row>
    <row r="207" spans="2:18" ht="15" customHeight="1">
      <c r="B207" s="97" t="s">
        <v>64</v>
      </c>
      <c r="C207" s="101"/>
      <c r="D207" s="101"/>
      <c r="E207" s="101"/>
      <c r="F207" s="101"/>
      <c r="G207" s="101"/>
      <c r="H207" s="101"/>
      <c r="I207" s="101"/>
      <c r="J207" s="101"/>
      <c r="K207" s="101"/>
      <c r="L207" s="101"/>
      <c r="M207" s="101"/>
      <c r="N207" s="101"/>
      <c r="O207" s="101"/>
      <c r="Q207" s="899" t="s">
        <v>78</v>
      </c>
    </row>
    <row r="208" spans="2:18" ht="15" customHeight="1">
      <c r="B208" s="97" t="s">
        <v>65</v>
      </c>
      <c r="C208" s="100"/>
      <c r="D208" s="100"/>
      <c r="E208" s="100"/>
      <c r="F208" s="100"/>
      <c r="G208" s="100"/>
      <c r="H208" s="100"/>
      <c r="I208" s="100"/>
      <c r="J208" s="100"/>
      <c r="K208" s="100"/>
      <c r="L208" s="100"/>
      <c r="M208" s="100"/>
      <c r="N208" s="100"/>
      <c r="O208" s="100"/>
      <c r="Q208" s="899" t="s">
        <v>78</v>
      </c>
      <c r="R208" s="68" t="s">
        <v>69</v>
      </c>
    </row>
    <row r="209" spans="2:18" ht="15" customHeight="1">
      <c r="B209" s="99" t="s">
        <v>23</v>
      </c>
      <c r="C209" s="102"/>
      <c r="D209" s="102"/>
      <c r="E209" s="102"/>
      <c r="F209" s="102"/>
      <c r="G209" s="102"/>
      <c r="H209" s="102"/>
      <c r="I209" s="102"/>
      <c r="J209" s="102"/>
      <c r="K209" s="102"/>
      <c r="L209" s="102"/>
      <c r="M209" s="102"/>
      <c r="N209" s="102"/>
      <c r="O209" s="102"/>
      <c r="Q209" s="899" t="s">
        <v>78</v>
      </c>
    </row>
    <row r="210" spans="2:18" ht="15" customHeight="1">
      <c r="B210" s="99" t="s">
        <v>62</v>
      </c>
      <c r="C210" s="102"/>
      <c r="D210" s="102"/>
      <c r="E210" s="102"/>
      <c r="F210" s="102"/>
      <c r="G210" s="102"/>
      <c r="H210" s="102"/>
      <c r="I210" s="102"/>
      <c r="J210" s="102"/>
      <c r="K210" s="102"/>
      <c r="L210" s="102"/>
      <c r="M210" s="102"/>
      <c r="N210" s="102"/>
      <c r="O210" s="102"/>
      <c r="Q210" s="899" t="s">
        <v>78</v>
      </c>
    </row>
    <row r="211" spans="2:18" ht="15" customHeight="1">
      <c r="B211" s="97" t="s">
        <v>63</v>
      </c>
      <c r="C211" s="100"/>
      <c r="D211" s="100"/>
      <c r="E211" s="100"/>
      <c r="F211" s="100"/>
      <c r="G211" s="100"/>
      <c r="H211" s="100"/>
      <c r="I211" s="100"/>
      <c r="J211" s="100"/>
      <c r="K211" s="100"/>
      <c r="L211" s="100"/>
      <c r="M211" s="100"/>
      <c r="N211" s="100"/>
      <c r="O211" s="100"/>
      <c r="Q211" s="899" t="s">
        <v>78</v>
      </c>
    </row>
    <row r="212" spans="2:18" ht="15" customHeight="1">
      <c r="B212" s="97" t="s">
        <v>64</v>
      </c>
      <c r="C212" s="101"/>
      <c r="D212" s="101"/>
      <c r="E212" s="101"/>
      <c r="F212" s="101"/>
      <c r="G212" s="101"/>
      <c r="H212" s="101"/>
      <c r="I212" s="101"/>
      <c r="J212" s="101"/>
      <c r="K212" s="101"/>
      <c r="L212" s="101"/>
      <c r="M212" s="101"/>
      <c r="N212" s="101"/>
      <c r="O212" s="101"/>
      <c r="Q212" s="899" t="s">
        <v>78</v>
      </c>
    </row>
    <row r="213" spans="2:18" ht="15" customHeight="1">
      <c r="B213" s="97" t="s">
        <v>65</v>
      </c>
      <c r="C213" s="100"/>
      <c r="D213" s="100"/>
      <c r="E213" s="100"/>
      <c r="F213" s="100"/>
      <c r="G213" s="100"/>
      <c r="H213" s="100"/>
      <c r="I213" s="100"/>
      <c r="J213" s="100"/>
      <c r="K213" s="100"/>
      <c r="L213" s="100"/>
      <c r="M213" s="100"/>
      <c r="N213" s="100"/>
      <c r="O213" s="100"/>
      <c r="Q213" s="899" t="s">
        <v>78</v>
      </c>
      <c r="R213" s="68" t="s">
        <v>70</v>
      </c>
    </row>
    <row r="214" spans="2:18" ht="15" customHeight="1">
      <c r="B214" s="99" t="s">
        <v>67</v>
      </c>
      <c r="C214" s="102"/>
      <c r="D214" s="102"/>
      <c r="E214" s="102"/>
      <c r="F214" s="102"/>
      <c r="G214" s="102"/>
      <c r="H214" s="102"/>
      <c r="I214" s="102"/>
      <c r="J214" s="102"/>
      <c r="K214" s="102"/>
      <c r="L214" s="102"/>
      <c r="M214" s="102"/>
      <c r="N214" s="102"/>
      <c r="O214" s="102"/>
      <c r="Q214" s="899" t="s">
        <v>78</v>
      </c>
    </row>
    <row r="215" spans="2:18" ht="15" customHeight="1">
      <c r="B215" s="97" t="s">
        <v>63</v>
      </c>
      <c r="C215" s="100"/>
      <c r="D215" s="100"/>
      <c r="E215" s="100"/>
      <c r="F215" s="100"/>
      <c r="G215" s="100"/>
      <c r="H215" s="100"/>
      <c r="I215" s="100"/>
      <c r="J215" s="100"/>
      <c r="K215" s="100"/>
      <c r="L215" s="100"/>
      <c r="M215" s="100"/>
      <c r="N215" s="100"/>
      <c r="O215" s="100"/>
      <c r="Q215" s="899" t="s">
        <v>78</v>
      </c>
    </row>
    <row r="216" spans="2:18" ht="15" customHeight="1">
      <c r="B216" s="97" t="s">
        <v>64</v>
      </c>
      <c r="C216" s="101"/>
      <c r="D216" s="101"/>
      <c r="E216" s="101"/>
      <c r="F216" s="101"/>
      <c r="G216" s="101"/>
      <c r="H216" s="101"/>
      <c r="I216" s="101"/>
      <c r="J216" s="101"/>
      <c r="K216" s="101"/>
      <c r="L216" s="101"/>
      <c r="M216" s="101"/>
      <c r="N216" s="101"/>
      <c r="O216" s="101"/>
      <c r="Q216" s="899" t="s">
        <v>78</v>
      </c>
    </row>
    <row r="217" spans="2:18" ht="15" customHeight="1">
      <c r="B217" s="97" t="s">
        <v>65</v>
      </c>
      <c r="C217" s="100"/>
      <c r="D217" s="100"/>
      <c r="E217" s="100"/>
      <c r="F217" s="100"/>
      <c r="G217" s="100"/>
      <c r="H217" s="100"/>
      <c r="I217" s="100"/>
      <c r="J217" s="100"/>
      <c r="K217" s="100"/>
      <c r="L217" s="100"/>
      <c r="M217" s="100"/>
      <c r="N217" s="100"/>
      <c r="O217" s="100"/>
      <c r="Q217" s="899" t="s">
        <v>78</v>
      </c>
      <c r="R217" s="68" t="s">
        <v>71</v>
      </c>
    </row>
    <row r="218" spans="2:18" ht="15" customHeight="1">
      <c r="B218" s="99" t="s">
        <v>40</v>
      </c>
      <c r="C218" s="102"/>
      <c r="D218" s="102"/>
      <c r="E218" s="102"/>
      <c r="F218" s="102"/>
      <c r="G218" s="102"/>
      <c r="H218" s="102"/>
      <c r="I218" s="102"/>
      <c r="J218" s="102"/>
      <c r="K218" s="102"/>
      <c r="L218" s="102"/>
      <c r="M218" s="102"/>
      <c r="N218" s="102"/>
      <c r="O218" s="102"/>
      <c r="Q218" s="899" t="s">
        <v>78</v>
      </c>
    </row>
    <row r="219" spans="2:18" ht="15" customHeight="1">
      <c r="B219" s="97" t="s">
        <v>63</v>
      </c>
      <c r="C219" s="100"/>
      <c r="D219" s="100"/>
      <c r="E219" s="100"/>
      <c r="F219" s="100"/>
      <c r="G219" s="100"/>
      <c r="H219" s="100"/>
      <c r="I219" s="100"/>
      <c r="J219" s="100"/>
      <c r="K219" s="100"/>
      <c r="L219" s="100"/>
      <c r="M219" s="100"/>
      <c r="N219" s="100"/>
      <c r="O219" s="100"/>
      <c r="Q219" s="899" t="s">
        <v>78</v>
      </c>
    </row>
    <row r="220" spans="2:18" ht="15" customHeight="1">
      <c r="B220" s="97" t="s">
        <v>64</v>
      </c>
      <c r="C220" s="101"/>
      <c r="D220" s="101"/>
      <c r="E220" s="101"/>
      <c r="F220" s="101"/>
      <c r="G220" s="101"/>
      <c r="H220" s="101"/>
      <c r="I220" s="101"/>
      <c r="J220" s="101"/>
      <c r="K220" s="101"/>
      <c r="L220" s="101"/>
      <c r="M220" s="101"/>
      <c r="N220" s="101"/>
      <c r="O220" s="101"/>
      <c r="Q220" s="899" t="s">
        <v>78</v>
      </c>
    </row>
    <row r="221" spans="2:18" ht="15" customHeight="1">
      <c r="B221" s="97" t="s">
        <v>65</v>
      </c>
      <c r="C221" s="100"/>
      <c r="D221" s="100"/>
      <c r="E221" s="100"/>
      <c r="F221" s="100"/>
      <c r="G221" s="100"/>
      <c r="H221" s="100"/>
      <c r="I221" s="100"/>
      <c r="J221" s="100"/>
      <c r="K221" s="100"/>
      <c r="L221" s="100"/>
      <c r="M221" s="100"/>
      <c r="N221" s="100"/>
      <c r="O221" s="100"/>
      <c r="Q221" s="899" t="s">
        <v>78</v>
      </c>
      <c r="R221" s="68" t="s">
        <v>72</v>
      </c>
    </row>
    <row r="223" spans="2:18" ht="15" customHeight="1" thickBot="1">
      <c r="B223" s="75" t="s">
        <v>48</v>
      </c>
      <c r="C223" s="75"/>
      <c r="D223" s="75"/>
      <c r="E223" s="163" t="s">
        <v>80</v>
      </c>
    </row>
    <row r="225" spans="2:18" ht="15" customHeight="1">
      <c r="B225" s="74" t="s">
        <v>23</v>
      </c>
      <c r="C225" s="74" t="s">
        <v>36</v>
      </c>
      <c r="D225" s="74" t="s">
        <v>698</v>
      </c>
      <c r="E225" s="74" t="s">
        <v>699</v>
      </c>
      <c r="F225" s="74" t="s">
        <v>700</v>
      </c>
      <c r="G225" s="74" t="s">
        <v>701</v>
      </c>
      <c r="H225" s="74" t="s">
        <v>702</v>
      </c>
      <c r="I225" s="74" t="s">
        <v>703</v>
      </c>
      <c r="J225" s="74" t="s">
        <v>704</v>
      </c>
      <c r="K225" s="74" t="s">
        <v>705</v>
      </c>
      <c r="L225" s="74" t="s">
        <v>706</v>
      </c>
      <c r="M225" s="74" t="s">
        <v>707</v>
      </c>
      <c r="N225" s="74" t="s">
        <v>708</v>
      </c>
      <c r="O225" s="74" t="s">
        <v>709</v>
      </c>
    </row>
    <row r="226" spans="2:18" ht="15" customHeight="1">
      <c r="B226" s="74" t="s">
        <v>37</v>
      </c>
      <c r="C226" s="74">
        <v>-1</v>
      </c>
      <c r="D226" s="74">
        <v>1</v>
      </c>
      <c r="E226" s="74">
        <v>2</v>
      </c>
      <c r="F226" s="74">
        <v>3</v>
      </c>
      <c r="G226" s="74">
        <v>4</v>
      </c>
      <c r="H226" s="74">
        <v>5</v>
      </c>
      <c r="I226" s="74">
        <v>6</v>
      </c>
      <c r="J226" s="74">
        <v>7</v>
      </c>
      <c r="K226" s="74">
        <v>8</v>
      </c>
      <c r="L226" s="74">
        <v>9</v>
      </c>
      <c r="M226" s="74">
        <v>10</v>
      </c>
      <c r="N226" s="74">
        <v>11</v>
      </c>
      <c r="O226" s="74">
        <v>12</v>
      </c>
    </row>
    <row r="227" spans="2:18" ht="15" customHeight="1">
      <c r="B227" s="99" t="s">
        <v>61</v>
      </c>
      <c r="C227" s="102"/>
      <c r="D227" s="102"/>
      <c r="E227" s="102"/>
      <c r="F227" s="102"/>
      <c r="G227" s="102"/>
      <c r="H227" s="102"/>
      <c r="I227" s="102"/>
      <c r="J227" s="102"/>
      <c r="K227" s="102"/>
      <c r="L227" s="102"/>
      <c r="M227" s="102"/>
      <c r="N227" s="102"/>
      <c r="O227" s="102"/>
    </row>
    <row r="228" spans="2:18" ht="15" customHeight="1">
      <c r="B228" s="99" t="s">
        <v>62</v>
      </c>
      <c r="C228" s="102"/>
      <c r="D228" s="102"/>
      <c r="E228" s="102"/>
      <c r="F228" s="102"/>
      <c r="G228" s="102"/>
      <c r="H228" s="102"/>
      <c r="I228" s="102"/>
      <c r="J228" s="102"/>
      <c r="K228" s="102"/>
      <c r="L228" s="102"/>
      <c r="M228" s="102"/>
      <c r="N228" s="102"/>
      <c r="O228" s="102"/>
    </row>
    <row r="229" spans="2:18" ht="15" customHeight="1">
      <c r="B229" s="97" t="s">
        <v>63</v>
      </c>
      <c r="C229" s="100"/>
      <c r="D229" s="100"/>
      <c r="E229" s="100"/>
      <c r="F229" s="100"/>
      <c r="G229" s="100"/>
      <c r="H229" s="100"/>
      <c r="I229" s="100"/>
      <c r="J229" s="100"/>
      <c r="K229" s="100"/>
      <c r="L229" s="100"/>
      <c r="M229" s="100"/>
      <c r="N229" s="100"/>
      <c r="O229" s="100"/>
      <c r="Q229" s="899" t="s">
        <v>48</v>
      </c>
    </row>
    <row r="230" spans="2:18" ht="15" customHeight="1">
      <c r="B230" s="97" t="s">
        <v>64</v>
      </c>
      <c r="C230" s="101"/>
      <c r="D230" s="101"/>
      <c r="E230" s="101"/>
      <c r="F230" s="101"/>
      <c r="G230" s="101"/>
      <c r="H230" s="101"/>
      <c r="I230" s="101"/>
      <c r="J230" s="101"/>
      <c r="K230" s="101"/>
      <c r="L230" s="101"/>
      <c r="M230" s="101"/>
      <c r="N230" s="101"/>
      <c r="O230" s="101"/>
      <c r="Q230" s="899" t="s">
        <v>48</v>
      </c>
    </row>
    <row r="231" spans="2:18" ht="15" customHeight="1">
      <c r="B231" s="97" t="s">
        <v>65</v>
      </c>
      <c r="C231" s="100"/>
      <c r="D231" s="100"/>
      <c r="E231" s="100"/>
      <c r="F231" s="100"/>
      <c r="G231" s="100"/>
      <c r="H231" s="100"/>
      <c r="I231" s="100"/>
      <c r="J231" s="100"/>
      <c r="K231" s="100"/>
      <c r="L231" s="100"/>
      <c r="M231" s="100"/>
      <c r="N231" s="100"/>
      <c r="O231" s="100"/>
      <c r="Q231" s="899" t="s">
        <v>48</v>
      </c>
      <c r="R231" s="68" t="s">
        <v>66</v>
      </c>
    </row>
    <row r="232" spans="2:18" ht="15" customHeight="1">
      <c r="B232" s="99" t="s">
        <v>67</v>
      </c>
      <c r="C232" s="102"/>
      <c r="D232" s="102"/>
      <c r="E232" s="102"/>
      <c r="F232" s="102"/>
      <c r="G232" s="102"/>
      <c r="H232" s="102"/>
      <c r="I232" s="102"/>
      <c r="J232" s="102"/>
      <c r="K232" s="102"/>
      <c r="L232" s="102"/>
      <c r="M232" s="102"/>
      <c r="N232" s="102"/>
      <c r="O232" s="102"/>
      <c r="Q232" s="899" t="s">
        <v>48</v>
      </c>
    </row>
    <row r="233" spans="2:18" ht="15" customHeight="1">
      <c r="B233" s="97" t="s">
        <v>63</v>
      </c>
      <c r="C233" s="100"/>
      <c r="D233" s="100"/>
      <c r="E233" s="100"/>
      <c r="F233" s="100"/>
      <c r="G233" s="100"/>
      <c r="H233" s="100"/>
      <c r="I233" s="100"/>
      <c r="J233" s="100"/>
      <c r="K233" s="100"/>
      <c r="L233" s="100"/>
      <c r="M233" s="100"/>
      <c r="N233" s="100"/>
      <c r="O233" s="100"/>
      <c r="Q233" s="899" t="s">
        <v>48</v>
      </c>
    </row>
    <row r="234" spans="2:18" ht="15" customHeight="1">
      <c r="B234" s="97" t="s">
        <v>64</v>
      </c>
      <c r="C234" s="101"/>
      <c r="D234" s="101"/>
      <c r="E234" s="101"/>
      <c r="F234" s="101"/>
      <c r="G234" s="101"/>
      <c r="H234" s="101"/>
      <c r="I234" s="101"/>
      <c r="J234" s="101"/>
      <c r="K234" s="101"/>
      <c r="L234" s="101"/>
      <c r="M234" s="101"/>
      <c r="N234" s="101"/>
      <c r="O234" s="101"/>
      <c r="Q234" s="899" t="s">
        <v>48</v>
      </c>
    </row>
    <row r="235" spans="2:18" ht="15" customHeight="1">
      <c r="B235" s="97" t="s">
        <v>65</v>
      </c>
      <c r="C235" s="100"/>
      <c r="D235" s="100"/>
      <c r="E235" s="100"/>
      <c r="F235" s="100"/>
      <c r="G235" s="100"/>
      <c r="H235" s="100"/>
      <c r="I235" s="100"/>
      <c r="J235" s="100"/>
      <c r="K235" s="100"/>
      <c r="L235" s="100"/>
      <c r="M235" s="100"/>
      <c r="N235" s="100"/>
      <c r="O235" s="100"/>
      <c r="Q235" s="899" t="s">
        <v>48</v>
      </c>
      <c r="R235" s="68" t="s">
        <v>68</v>
      </c>
    </row>
    <row r="236" spans="2:18" ht="15" customHeight="1">
      <c r="B236" s="99" t="s">
        <v>40</v>
      </c>
      <c r="C236" s="102"/>
      <c r="D236" s="102"/>
      <c r="E236" s="102"/>
      <c r="F236" s="102"/>
      <c r="G236" s="102"/>
      <c r="H236" s="102"/>
      <c r="I236" s="102"/>
      <c r="J236" s="102"/>
      <c r="K236" s="102"/>
      <c r="L236" s="102"/>
      <c r="M236" s="102"/>
      <c r="N236" s="102"/>
      <c r="O236" s="102"/>
      <c r="Q236" s="899" t="s">
        <v>48</v>
      </c>
    </row>
    <row r="237" spans="2:18" ht="15" customHeight="1">
      <c r="B237" s="97" t="s">
        <v>63</v>
      </c>
      <c r="C237" s="100"/>
      <c r="D237" s="100"/>
      <c r="E237" s="100"/>
      <c r="F237" s="100"/>
      <c r="G237" s="100"/>
      <c r="H237" s="100"/>
      <c r="I237" s="100"/>
      <c r="J237" s="100"/>
      <c r="K237" s="100"/>
      <c r="L237" s="100"/>
      <c r="M237" s="100"/>
      <c r="N237" s="100"/>
      <c r="O237" s="100"/>
      <c r="Q237" s="899" t="s">
        <v>48</v>
      </c>
    </row>
    <row r="238" spans="2:18" ht="15" customHeight="1">
      <c r="B238" s="97" t="s">
        <v>64</v>
      </c>
      <c r="C238" s="101"/>
      <c r="D238" s="101"/>
      <c r="E238" s="101"/>
      <c r="F238" s="101"/>
      <c r="G238" s="101"/>
      <c r="H238" s="101"/>
      <c r="I238" s="101"/>
      <c r="J238" s="101"/>
      <c r="K238" s="101"/>
      <c r="L238" s="101"/>
      <c r="M238" s="101"/>
      <c r="N238" s="101"/>
      <c r="O238" s="101"/>
      <c r="Q238" s="899" t="s">
        <v>48</v>
      </c>
    </row>
    <row r="239" spans="2:18" ht="15" customHeight="1">
      <c r="B239" s="97" t="s">
        <v>65</v>
      </c>
      <c r="C239" s="100"/>
      <c r="D239" s="100"/>
      <c r="E239" s="100"/>
      <c r="F239" s="100"/>
      <c r="G239" s="100"/>
      <c r="H239" s="100"/>
      <c r="I239" s="100"/>
      <c r="J239" s="100"/>
      <c r="K239" s="100"/>
      <c r="L239" s="100"/>
      <c r="M239" s="100"/>
      <c r="N239" s="100"/>
      <c r="O239" s="100"/>
      <c r="Q239" s="899" t="s">
        <v>48</v>
      </c>
      <c r="R239" s="68" t="s">
        <v>69</v>
      </c>
    </row>
    <row r="240" spans="2:18" ht="15" customHeight="1">
      <c r="B240" s="99" t="s">
        <v>23</v>
      </c>
      <c r="C240" s="102"/>
      <c r="D240" s="102"/>
      <c r="E240" s="102"/>
      <c r="F240" s="102"/>
      <c r="G240" s="102"/>
      <c r="H240" s="102"/>
      <c r="I240" s="102"/>
      <c r="J240" s="102"/>
      <c r="K240" s="102"/>
      <c r="L240" s="102"/>
      <c r="M240" s="102"/>
      <c r="N240" s="102"/>
      <c r="O240" s="102"/>
      <c r="Q240" s="899" t="s">
        <v>48</v>
      </c>
    </row>
    <row r="241" spans="2:18" ht="15" customHeight="1">
      <c r="B241" s="99" t="s">
        <v>62</v>
      </c>
      <c r="C241" s="102"/>
      <c r="D241" s="102"/>
      <c r="E241" s="102"/>
      <c r="F241" s="102"/>
      <c r="G241" s="102"/>
      <c r="H241" s="102"/>
      <c r="I241" s="102"/>
      <c r="J241" s="102"/>
      <c r="K241" s="102"/>
      <c r="L241" s="102"/>
      <c r="M241" s="102"/>
      <c r="N241" s="102"/>
      <c r="O241" s="102"/>
      <c r="Q241" s="899" t="s">
        <v>48</v>
      </c>
    </row>
    <row r="242" spans="2:18" ht="15" customHeight="1">
      <c r="B242" s="97" t="s">
        <v>63</v>
      </c>
      <c r="C242" s="100"/>
      <c r="D242" s="100"/>
      <c r="E242" s="100"/>
      <c r="F242" s="100"/>
      <c r="G242" s="100"/>
      <c r="H242" s="100"/>
      <c r="I242" s="100"/>
      <c r="J242" s="100"/>
      <c r="K242" s="100"/>
      <c r="L242" s="100"/>
      <c r="M242" s="100"/>
      <c r="N242" s="100"/>
      <c r="O242" s="100"/>
      <c r="Q242" s="899" t="s">
        <v>48</v>
      </c>
    </row>
    <row r="243" spans="2:18" ht="15" customHeight="1">
      <c r="B243" s="97" t="s">
        <v>64</v>
      </c>
      <c r="C243" s="101"/>
      <c r="D243" s="101"/>
      <c r="E243" s="101"/>
      <c r="F243" s="101"/>
      <c r="G243" s="101"/>
      <c r="H243" s="101"/>
      <c r="I243" s="101"/>
      <c r="J243" s="101"/>
      <c r="K243" s="101"/>
      <c r="L243" s="101"/>
      <c r="M243" s="101"/>
      <c r="N243" s="101"/>
      <c r="O243" s="101"/>
      <c r="Q243" s="899" t="s">
        <v>48</v>
      </c>
    </row>
    <row r="244" spans="2:18" ht="15" customHeight="1">
      <c r="B244" s="97" t="s">
        <v>65</v>
      </c>
      <c r="C244" s="100"/>
      <c r="D244" s="100"/>
      <c r="E244" s="100"/>
      <c r="F244" s="100"/>
      <c r="G244" s="100"/>
      <c r="H244" s="100"/>
      <c r="I244" s="100"/>
      <c r="J244" s="100"/>
      <c r="K244" s="100"/>
      <c r="L244" s="100"/>
      <c r="M244" s="100"/>
      <c r="N244" s="100"/>
      <c r="O244" s="100"/>
      <c r="Q244" s="899" t="s">
        <v>48</v>
      </c>
      <c r="R244" s="68" t="s">
        <v>70</v>
      </c>
    </row>
    <row r="245" spans="2:18" ht="15" customHeight="1">
      <c r="B245" s="99" t="s">
        <v>67</v>
      </c>
      <c r="C245" s="102"/>
      <c r="D245" s="102"/>
      <c r="E245" s="102"/>
      <c r="F245" s="102"/>
      <c r="G245" s="102"/>
      <c r="H245" s="102"/>
      <c r="I245" s="102"/>
      <c r="J245" s="102"/>
      <c r="K245" s="102"/>
      <c r="L245" s="102"/>
      <c r="M245" s="102"/>
      <c r="N245" s="102"/>
      <c r="O245" s="102"/>
      <c r="Q245" s="899" t="s">
        <v>48</v>
      </c>
    </row>
    <row r="246" spans="2:18" ht="15" customHeight="1">
      <c r="B246" s="97" t="s">
        <v>63</v>
      </c>
      <c r="C246" s="100"/>
      <c r="D246" s="100"/>
      <c r="E246" s="100"/>
      <c r="F246" s="100"/>
      <c r="G246" s="100"/>
      <c r="H246" s="100"/>
      <c r="I246" s="100"/>
      <c r="J246" s="100"/>
      <c r="K246" s="100"/>
      <c r="L246" s="100"/>
      <c r="M246" s="100"/>
      <c r="N246" s="100"/>
      <c r="O246" s="100"/>
      <c r="Q246" s="899" t="s">
        <v>48</v>
      </c>
    </row>
    <row r="247" spans="2:18" ht="15" customHeight="1">
      <c r="B247" s="97" t="s">
        <v>64</v>
      </c>
      <c r="C247" s="101"/>
      <c r="D247" s="101"/>
      <c r="E247" s="101"/>
      <c r="F247" s="101"/>
      <c r="G247" s="101"/>
      <c r="H247" s="101"/>
      <c r="I247" s="101"/>
      <c r="J247" s="101"/>
      <c r="K247" s="101"/>
      <c r="L247" s="101"/>
      <c r="M247" s="101"/>
      <c r="N247" s="101"/>
      <c r="O247" s="101"/>
      <c r="Q247" s="899" t="s">
        <v>48</v>
      </c>
    </row>
    <row r="248" spans="2:18" ht="15" customHeight="1">
      <c r="B248" s="97" t="s">
        <v>65</v>
      </c>
      <c r="C248" s="100"/>
      <c r="D248" s="100"/>
      <c r="E248" s="100"/>
      <c r="F248" s="100"/>
      <c r="G248" s="100"/>
      <c r="H248" s="100"/>
      <c r="I248" s="100"/>
      <c r="J248" s="100"/>
      <c r="K248" s="100"/>
      <c r="L248" s="100"/>
      <c r="M248" s="100"/>
      <c r="N248" s="100"/>
      <c r="O248" s="100"/>
      <c r="Q248" s="899" t="s">
        <v>48</v>
      </c>
      <c r="R248" s="68" t="s">
        <v>71</v>
      </c>
    </row>
    <row r="249" spans="2:18" ht="15" customHeight="1">
      <c r="B249" s="99" t="s">
        <v>40</v>
      </c>
      <c r="C249" s="102"/>
      <c r="D249" s="102"/>
      <c r="E249" s="102"/>
      <c r="F249" s="102"/>
      <c r="G249" s="102"/>
      <c r="H249" s="102"/>
      <c r="I249" s="102"/>
      <c r="J249" s="102"/>
      <c r="K249" s="102"/>
      <c r="L249" s="102"/>
      <c r="M249" s="102"/>
      <c r="N249" s="102"/>
      <c r="O249" s="102"/>
      <c r="Q249" s="899" t="s">
        <v>48</v>
      </c>
    </row>
    <row r="250" spans="2:18" ht="15" customHeight="1">
      <c r="B250" s="97" t="s">
        <v>63</v>
      </c>
      <c r="C250" s="100"/>
      <c r="D250" s="100"/>
      <c r="E250" s="100"/>
      <c r="F250" s="100"/>
      <c r="G250" s="100"/>
      <c r="H250" s="100"/>
      <c r="I250" s="100"/>
      <c r="J250" s="100"/>
      <c r="K250" s="100"/>
      <c r="L250" s="100"/>
      <c r="M250" s="100"/>
      <c r="N250" s="100"/>
      <c r="O250" s="100"/>
      <c r="Q250" s="899" t="s">
        <v>48</v>
      </c>
    </row>
    <row r="251" spans="2:18" ht="15" customHeight="1">
      <c r="B251" s="97" t="s">
        <v>64</v>
      </c>
      <c r="C251" s="101"/>
      <c r="D251" s="101"/>
      <c r="E251" s="101"/>
      <c r="F251" s="101"/>
      <c r="G251" s="101"/>
      <c r="H251" s="101"/>
      <c r="I251" s="101"/>
      <c r="J251" s="101"/>
      <c r="K251" s="101"/>
      <c r="L251" s="101"/>
      <c r="M251" s="101"/>
      <c r="N251" s="101"/>
      <c r="O251" s="101"/>
      <c r="Q251" s="899" t="s">
        <v>48</v>
      </c>
    </row>
    <row r="252" spans="2:18" ht="15" customHeight="1">
      <c r="B252" s="97" t="s">
        <v>65</v>
      </c>
      <c r="C252" s="100"/>
      <c r="D252" s="100"/>
      <c r="E252" s="100"/>
      <c r="F252" s="100"/>
      <c r="G252" s="100"/>
      <c r="H252" s="100"/>
      <c r="I252" s="100"/>
      <c r="J252" s="100"/>
      <c r="K252" s="100"/>
      <c r="L252" s="100"/>
      <c r="M252" s="100"/>
      <c r="N252" s="100"/>
      <c r="O252" s="100"/>
      <c r="Q252" s="899" t="s">
        <v>48</v>
      </c>
      <c r="R252" s="68" t="s">
        <v>72</v>
      </c>
    </row>
    <row r="254" spans="2:18" ht="15" customHeight="1" thickBot="1">
      <c r="B254" s="75" t="s">
        <v>49</v>
      </c>
      <c r="C254" s="75"/>
      <c r="D254" s="75"/>
      <c r="E254" s="163" t="s">
        <v>81</v>
      </c>
    </row>
    <row r="256" spans="2:18" ht="15" customHeight="1">
      <c r="B256" s="74" t="s">
        <v>23</v>
      </c>
      <c r="C256" s="74" t="s">
        <v>36</v>
      </c>
      <c r="D256" s="74" t="s">
        <v>698</v>
      </c>
      <c r="E256" s="74" t="s">
        <v>699</v>
      </c>
      <c r="F256" s="74" t="s">
        <v>700</v>
      </c>
      <c r="G256" s="74" t="s">
        <v>701</v>
      </c>
      <c r="H256" s="74" t="s">
        <v>702</v>
      </c>
      <c r="I256" s="74" t="s">
        <v>703</v>
      </c>
      <c r="J256" s="74" t="s">
        <v>704</v>
      </c>
      <c r="K256" s="74" t="s">
        <v>705</v>
      </c>
      <c r="L256" s="74" t="s">
        <v>706</v>
      </c>
      <c r="M256" s="74" t="s">
        <v>707</v>
      </c>
      <c r="N256" s="74" t="s">
        <v>708</v>
      </c>
      <c r="O256" s="74" t="s">
        <v>709</v>
      </c>
    </row>
    <row r="257" spans="2:18" ht="15" customHeight="1">
      <c r="B257" s="74" t="s">
        <v>37</v>
      </c>
      <c r="C257" s="74">
        <v>-1</v>
      </c>
      <c r="D257" s="74">
        <v>1</v>
      </c>
      <c r="E257" s="74">
        <v>2</v>
      </c>
      <c r="F257" s="74">
        <v>3</v>
      </c>
      <c r="G257" s="74">
        <v>4</v>
      </c>
      <c r="H257" s="74">
        <v>5</v>
      </c>
      <c r="I257" s="74">
        <v>6</v>
      </c>
      <c r="J257" s="74">
        <v>7</v>
      </c>
      <c r="K257" s="74">
        <v>8</v>
      </c>
      <c r="L257" s="74">
        <v>9</v>
      </c>
      <c r="M257" s="74">
        <v>10</v>
      </c>
      <c r="N257" s="74">
        <v>11</v>
      </c>
      <c r="O257" s="74">
        <v>12</v>
      </c>
    </row>
    <row r="258" spans="2:18" ht="15" customHeight="1">
      <c r="B258" s="99" t="s">
        <v>61</v>
      </c>
      <c r="C258" s="102"/>
      <c r="D258" s="102"/>
      <c r="E258" s="102"/>
      <c r="F258" s="102"/>
      <c r="G258" s="102"/>
      <c r="H258" s="102"/>
      <c r="I258" s="102"/>
      <c r="J258" s="102"/>
      <c r="K258" s="102"/>
      <c r="L258" s="102"/>
      <c r="M258" s="102"/>
      <c r="N258" s="102"/>
      <c r="O258" s="102"/>
    </row>
    <row r="259" spans="2:18" ht="15" customHeight="1">
      <c r="B259" s="99" t="s">
        <v>62</v>
      </c>
      <c r="C259" s="102"/>
      <c r="D259" s="102"/>
      <c r="E259" s="102"/>
      <c r="F259" s="102"/>
      <c r="G259" s="102"/>
      <c r="H259" s="102"/>
      <c r="I259" s="102"/>
      <c r="J259" s="102"/>
      <c r="K259" s="102"/>
      <c r="L259" s="102"/>
      <c r="M259" s="102"/>
      <c r="N259" s="102"/>
      <c r="O259" s="102"/>
    </row>
    <row r="260" spans="2:18" ht="15" customHeight="1">
      <c r="B260" s="97" t="s">
        <v>63</v>
      </c>
      <c r="C260" s="100"/>
      <c r="D260" s="100"/>
      <c r="E260" s="100"/>
      <c r="F260" s="100"/>
      <c r="G260" s="100"/>
      <c r="H260" s="100"/>
      <c r="I260" s="100"/>
      <c r="J260" s="100"/>
      <c r="K260" s="100"/>
      <c r="L260" s="100"/>
      <c r="M260" s="100"/>
      <c r="N260" s="100"/>
      <c r="O260" s="100"/>
      <c r="Q260" s="899" t="s">
        <v>49</v>
      </c>
    </row>
    <row r="261" spans="2:18" ht="15" customHeight="1">
      <c r="B261" s="97" t="s">
        <v>64</v>
      </c>
      <c r="C261" s="101"/>
      <c r="D261" s="101"/>
      <c r="E261" s="101"/>
      <c r="F261" s="101"/>
      <c r="G261" s="101"/>
      <c r="H261" s="101"/>
      <c r="I261" s="101"/>
      <c r="J261" s="101"/>
      <c r="K261" s="101"/>
      <c r="L261" s="101"/>
      <c r="M261" s="101"/>
      <c r="N261" s="101"/>
      <c r="O261" s="101"/>
      <c r="Q261" s="899" t="s">
        <v>49</v>
      </c>
    </row>
    <row r="262" spans="2:18" ht="15" customHeight="1">
      <c r="B262" s="97" t="s">
        <v>65</v>
      </c>
      <c r="C262" s="100"/>
      <c r="D262" s="100"/>
      <c r="E262" s="100"/>
      <c r="F262" s="100"/>
      <c r="G262" s="100"/>
      <c r="H262" s="100"/>
      <c r="I262" s="100"/>
      <c r="J262" s="100"/>
      <c r="K262" s="100"/>
      <c r="L262" s="100"/>
      <c r="M262" s="100"/>
      <c r="N262" s="100"/>
      <c r="O262" s="100"/>
      <c r="Q262" s="899" t="s">
        <v>49</v>
      </c>
      <c r="R262" s="68" t="s">
        <v>66</v>
      </c>
    </row>
    <row r="263" spans="2:18" ht="15" customHeight="1">
      <c r="B263" s="99" t="s">
        <v>67</v>
      </c>
      <c r="C263" s="102"/>
      <c r="D263" s="102"/>
      <c r="E263" s="102"/>
      <c r="F263" s="102"/>
      <c r="G263" s="102"/>
      <c r="H263" s="102"/>
      <c r="I263" s="102"/>
      <c r="J263" s="102"/>
      <c r="K263" s="102"/>
      <c r="L263" s="102"/>
      <c r="M263" s="102"/>
      <c r="N263" s="102"/>
      <c r="O263" s="102"/>
      <c r="Q263" s="899" t="s">
        <v>49</v>
      </c>
    </row>
    <row r="264" spans="2:18" ht="15" customHeight="1">
      <c r="B264" s="97" t="s">
        <v>63</v>
      </c>
      <c r="C264" s="100"/>
      <c r="D264" s="100"/>
      <c r="E264" s="100"/>
      <c r="F264" s="100"/>
      <c r="G264" s="100"/>
      <c r="H264" s="100"/>
      <c r="I264" s="100"/>
      <c r="J264" s="100"/>
      <c r="K264" s="100"/>
      <c r="L264" s="100"/>
      <c r="M264" s="100"/>
      <c r="N264" s="100"/>
      <c r="O264" s="100"/>
      <c r="Q264" s="899" t="s">
        <v>49</v>
      </c>
    </row>
    <row r="265" spans="2:18" ht="15" customHeight="1">
      <c r="B265" s="97" t="s">
        <v>64</v>
      </c>
      <c r="C265" s="101"/>
      <c r="D265" s="101"/>
      <c r="E265" s="101"/>
      <c r="F265" s="101"/>
      <c r="G265" s="101"/>
      <c r="H265" s="101"/>
      <c r="I265" s="101"/>
      <c r="J265" s="101"/>
      <c r="K265" s="101"/>
      <c r="L265" s="101"/>
      <c r="M265" s="101"/>
      <c r="N265" s="101"/>
      <c r="O265" s="101"/>
      <c r="Q265" s="899" t="s">
        <v>49</v>
      </c>
    </row>
    <row r="266" spans="2:18" ht="15" customHeight="1">
      <c r="B266" s="97" t="s">
        <v>65</v>
      </c>
      <c r="C266" s="100"/>
      <c r="D266" s="100"/>
      <c r="E266" s="100"/>
      <c r="F266" s="100"/>
      <c r="G266" s="100"/>
      <c r="H266" s="100"/>
      <c r="I266" s="100"/>
      <c r="J266" s="100"/>
      <c r="K266" s="100"/>
      <c r="L266" s="100"/>
      <c r="M266" s="100"/>
      <c r="N266" s="100"/>
      <c r="O266" s="100"/>
      <c r="Q266" s="899" t="s">
        <v>49</v>
      </c>
      <c r="R266" s="68" t="s">
        <v>68</v>
      </c>
    </row>
    <row r="267" spans="2:18" ht="15" customHeight="1">
      <c r="B267" s="99" t="s">
        <v>40</v>
      </c>
      <c r="C267" s="102"/>
      <c r="D267" s="102"/>
      <c r="E267" s="102"/>
      <c r="F267" s="102"/>
      <c r="G267" s="102"/>
      <c r="H267" s="102"/>
      <c r="I267" s="102"/>
      <c r="J267" s="102"/>
      <c r="K267" s="102"/>
      <c r="L267" s="102"/>
      <c r="M267" s="102"/>
      <c r="N267" s="102"/>
      <c r="O267" s="102"/>
      <c r="Q267" s="899" t="s">
        <v>49</v>
      </c>
    </row>
    <row r="268" spans="2:18" ht="15" customHeight="1">
      <c r="B268" s="97" t="s">
        <v>63</v>
      </c>
      <c r="C268" s="100"/>
      <c r="D268" s="100"/>
      <c r="E268" s="100"/>
      <c r="F268" s="100"/>
      <c r="G268" s="100"/>
      <c r="H268" s="100"/>
      <c r="I268" s="100"/>
      <c r="J268" s="100"/>
      <c r="K268" s="100"/>
      <c r="L268" s="100"/>
      <c r="M268" s="100"/>
      <c r="N268" s="100"/>
      <c r="O268" s="100"/>
      <c r="Q268" s="899" t="s">
        <v>49</v>
      </c>
    </row>
    <row r="269" spans="2:18" ht="15" customHeight="1">
      <c r="B269" s="97" t="s">
        <v>64</v>
      </c>
      <c r="C269" s="101"/>
      <c r="D269" s="101"/>
      <c r="E269" s="101"/>
      <c r="F269" s="101"/>
      <c r="G269" s="101"/>
      <c r="H269" s="101"/>
      <c r="I269" s="101"/>
      <c r="J269" s="101"/>
      <c r="K269" s="101"/>
      <c r="L269" s="101"/>
      <c r="M269" s="101"/>
      <c r="N269" s="101"/>
      <c r="O269" s="101"/>
      <c r="Q269" s="899" t="s">
        <v>49</v>
      </c>
    </row>
    <row r="270" spans="2:18" ht="15" customHeight="1">
      <c r="B270" s="97" t="s">
        <v>65</v>
      </c>
      <c r="C270" s="100"/>
      <c r="D270" s="100"/>
      <c r="E270" s="100"/>
      <c r="F270" s="100"/>
      <c r="G270" s="100"/>
      <c r="H270" s="100"/>
      <c r="I270" s="100"/>
      <c r="J270" s="100"/>
      <c r="K270" s="100"/>
      <c r="L270" s="100"/>
      <c r="M270" s="100"/>
      <c r="N270" s="100"/>
      <c r="O270" s="100"/>
      <c r="Q270" s="899" t="s">
        <v>49</v>
      </c>
      <c r="R270" s="68" t="s">
        <v>69</v>
      </c>
    </row>
    <row r="271" spans="2:18" ht="15" customHeight="1">
      <c r="B271" s="99" t="s">
        <v>23</v>
      </c>
      <c r="C271" s="102"/>
      <c r="D271" s="102"/>
      <c r="E271" s="102"/>
      <c r="F271" s="102"/>
      <c r="G271" s="102"/>
      <c r="H271" s="102"/>
      <c r="I271" s="102"/>
      <c r="J271" s="102"/>
      <c r="K271" s="102"/>
      <c r="L271" s="102"/>
      <c r="M271" s="102"/>
      <c r="N271" s="102"/>
      <c r="O271" s="102"/>
      <c r="Q271" s="899" t="s">
        <v>49</v>
      </c>
    </row>
    <row r="272" spans="2:18" ht="15" customHeight="1">
      <c r="B272" s="99" t="s">
        <v>62</v>
      </c>
      <c r="C272" s="102"/>
      <c r="D272" s="102"/>
      <c r="E272" s="102"/>
      <c r="F272" s="102"/>
      <c r="G272" s="102"/>
      <c r="H272" s="102"/>
      <c r="I272" s="102"/>
      <c r="J272" s="102"/>
      <c r="K272" s="102"/>
      <c r="L272" s="102"/>
      <c r="M272" s="102"/>
      <c r="N272" s="102"/>
      <c r="O272" s="102"/>
      <c r="Q272" s="899" t="s">
        <v>49</v>
      </c>
    </row>
    <row r="273" spans="2:18" ht="15" customHeight="1">
      <c r="B273" s="97" t="s">
        <v>63</v>
      </c>
      <c r="C273" s="100"/>
      <c r="D273" s="100"/>
      <c r="E273" s="100"/>
      <c r="F273" s="100"/>
      <c r="G273" s="100"/>
      <c r="H273" s="100"/>
      <c r="I273" s="100"/>
      <c r="J273" s="100"/>
      <c r="K273" s="100"/>
      <c r="L273" s="100"/>
      <c r="M273" s="100"/>
      <c r="N273" s="100"/>
      <c r="O273" s="100"/>
      <c r="Q273" s="899" t="s">
        <v>49</v>
      </c>
    </row>
    <row r="274" spans="2:18" ht="15" customHeight="1">
      <c r="B274" s="97" t="s">
        <v>64</v>
      </c>
      <c r="C274" s="101"/>
      <c r="D274" s="101"/>
      <c r="E274" s="101"/>
      <c r="F274" s="101"/>
      <c r="G274" s="101"/>
      <c r="H274" s="101"/>
      <c r="I274" s="101"/>
      <c r="J274" s="101"/>
      <c r="K274" s="101"/>
      <c r="L274" s="101"/>
      <c r="M274" s="101"/>
      <c r="N274" s="101"/>
      <c r="O274" s="101"/>
      <c r="Q274" s="899" t="s">
        <v>49</v>
      </c>
    </row>
    <row r="275" spans="2:18" ht="15" customHeight="1">
      <c r="B275" s="97" t="s">
        <v>65</v>
      </c>
      <c r="C275" s="100"/>
      <c r="D275" s="100"/>
      <c r="E275" s="100"/>
      <c r="F275" s="100"/>
      <c r="G275" s="100"/>
      <c r="H275" s="100"/>
      <c r="I275" s="100"/>
      <c r="J275" s="100"/>
      <c r="K275" s="100"/>
      <c r="L275" s="100"/>
      <c r="M275" s="100"/>
      <c r="N275" s="100"/>
      <c r="O275" s="100"/>
      <c r="Q275" s="899" t="s">
        <v>49</v>
      </c>
      <c r="R275" s="68" t="s">
        <v>70</v>
      </c>
    </row>
    <row r="276" spans="2:18" ht="15" customHeight="1">
      <c r="B276" s="99" t="s">
        <v>67</v>
      </c>
      <c r="C276" s="102"/>
      <c r="D276" s="102"/>
      <c r="E276" s="102"/>
      <c r="F276" s="102"/>
      <c r="G276" s="102"/>
      <c r="H276" s="102"/>
      <c r="I276" s="102"/>
      <c r="J276" s="102"/>
      <c r="K276" s="102"/>
      <c r="L276" s="102"/>
      <c r="M276" s="102"/>
      <c r="N276" s="102"/>
      <c r="O276" s="102"/>
      <c r="Q276" s="899" t="s">
        <v>49</v>
      </c>
    </row>
    <row r="277" spans="2:18" ht="15" customHeight="1">
      <c r="B277" s="97" t="s">
        <v>63</v>
      </c>
      <c r="C277" s="100"/>
      <c r="D277" s="100"/>
      <c r="E277" s="100"/>
      <c r="F277" s="100"/>
      <c r="G277" s="100"/>
      <c r="H277" s="100"/>
      <c r="I277" s="100"/>
      <c r="J277" s="100"/>
      <c r="K277" s="100"/>
      <c r="L277" s="100"/>
      <c r="M277" s="100"/>
      <c r="N277" s="100"/>
      <c r="O277" s="100"/>
      <c r="Q277" s="899" t="s">
        <v>49</v>
      </c>
    </row>
    <row r="278" spans="2:18" ht="15" customHeight="1">
      <c r="B278" s="97" t="s">
        <v>64</v>
      </c>
      <c r="C278" s="101"/>
      <c r="D278" s="101"/>
      <c r="E278" s="101"/>
      <c r="F278" s="101"/>
      <c r="G278" s="101"/>
      <c r="H278" s="101"/>
      <c r="I278" s="101"/>
      <c r="J278" s="101"/>
      <c r="K278" s="101"/>
      <c r="L278" s="101"/>
      <c r="M278" s="101"/>
      <c r="N278" s="101"/>
      <c r="O278" s="101"/>
      <c r="Q278" s="899" t="s">
        <v>49</v>
      </c>
    </row>
    <row r="279" spans="2:18" ht="15" customHeight="1">
      <c r="B279" s="97" t="s">
        <v>65</v>
      </c>
      <c r="C279" s="100"/>
      <c r="D279" s="100"/>
      <c r="E279" s="100"/>
      <c r="F279" s="100"/>
      <c r="G279" s="100"/>
      <c r="H279" s="100"/>
      <c r="I279" s="100"/>
      <c r="J279" s="100"/>
      <c r="K279" s="100"/>
      <c r="L279" s="100"/>
      <c r="M279" s="100"/>
      <c r="N279" s="100"/>
      <c r="O279" s="100"/>
      <c r="Q279" s="899" t="s">
        <v>49</v>
      </c>
      <c r="R279" s="68" t="s">
        <v>71</v>
      </c>
    </row>
    <row r="280" spans="2:18" ht="15" customHeight="1">
      <c r="B280" s="99" t="s">
        <v>40</v>
      </c>
      <c r="C280" s="102"/>
      <c r="D280" s="102"/>
      <c r="E280" s="102"/>
      <c r="F280" s="102"/>
      <c r="G280" s="102"/>
      <c r="H280" s="102"/>
      <c r="I280" s="102"/>
      <c r="J280" s="102"/>
      <c r="K280" s="102"/>
      <c r="L280" s="102"/>
      <c r="M280" s="102"/>
      <c r="N280" s="102"/>
      <c r="O280" s="102"/>
      <c r="Q280" s="899" t="s">
        <v>49</v>
      </c>
    </row>
    <row r="281" spans="2:18" ht="15" customHeight="1">
      <c r="B281" s="97" t="s">
        <v>63</v>
      </c>
      <c r="C281" s="100"/>
      <c r="D281" s="100"/>
      <c r="E281" s="100"/>
      <c r="F281" s="100"/>
      <c r="G281" s="100"/>
      <c r="H281" s="100"/>
      <c r="I281" s="100"/>
      <c r="J281" s="100"/>
      <c r="K281" s="100"/>
      <c r="L281" s="100"/>
      <c r="M281" s="100"/>
      <c r="N281" s="100"/>
      <c r="O281" s="100"/>
      <c r="Q281" s="899" t="s">
        <v>49</v>
      </c>
    </row>
    <row r="282" spans="2:18" ht="15" customHeight="1">
      <c r="B282" s="97" t="s">
        <v>64</v>
      </c>
      <c r="C282" s="101"/>
      <c r="D282" s="101"/>
      <c r="E282" s="101"/>
      <c r="F282" s="101"/>
      <c r="G282" s="101"/>
      <c r="H282" s="101"/>
      <c r="I282" s="101"/>
      <c r="J282" s="101"/>
      <c r="K282" s="101"/>
      <c r="L282" s="101"/>
      <c r="M282" s="101"/>
      <c r="N282" s="101"/>
      <c r="O282" s="101"/>
      <c r="Q282" s="899" t="s">
        <v>49</v>
      </c>
    </row>
    <row r="283" spans="2:18" ht="15" customHeight="1">
      <c r="B283" s="97" t="s">
        <v>65</v>
      </c>
      <c r="C283" s="100"/>
      <c r="D283" s="100"/>
      <c r="E283" s="100"/>
      <c r="F283" s="100"/>
      <c r="G283" s="100"/>
      <c r="H283" s="100"/>
      <c r="I283" s="100"/>
      <c r="J283" s="100"/>
      <c r="K283" s="100"/>
      <c r="L283" s="100"/>
      <c r="M283" s="100"/>
      <c r="N283" s="100"/>
      <c r="O283" s="100"/>
      <c r="Q283" s="899" t="s">
        <v>49</v>
      </c>
      <c r="R283" s="68" t="s">
        <v>72</v>
      </c>
    </row>
    <row r="285" spans="2:18" ht="15" customHeight="1" thickBot="1">
      <c r="B285" s="75" t="s">
        <v>50</v>
      </c>
      <c r="C285" s="75"/>
      <c r="D285" s="75"/>
      <c r="E285" s="163" t="s">
        <v>82</v>
      </c>
    </row>
    <row r="287" spans="2:18" ht="15" customHeight="1">
      <c r="B287" s="74" t="s">
        <v>23</v>
      </c>
      <c r="C287" s="74" t="s">
        <v>36</v>
      </c>
      <c r="D287" s="74" t="s">
        <v>698</v>
      </c>
      <c r="E287" s="74" t="s">
        <v>699</v>
      </c>
      <c r="F287" s="74" t="s">
        <v>700</v>
      </c>
      <c r="G287" s="74" t="s">
        <v>701</v>
      </c>
      <c r="H287" s="74" t="s">
        <v>702</v>
      </c>
      <c r="I287" s="74" t="s">
        <v>703</v>
      </c>
      <c r="J287" s="74" t="s">
        <v>704</v>
      </c>
      <c r="K287" s="74" t="s">
        <v>705</v>
      </c>
      <c r="L287" s="74" t="s">
        <v>706</v>
      </c>
      <c r="M287" s="74" t="s">
        <v>707</v>
      </c>
      <c r="N287" s="74" t="s">
        <v>708</v>
      </c>
      <c r="O287" s="74" t="s">
        <v>709</v>
      </c>
    </row>
    <row r="288" spans="2:18" ht="15" customHeight="1">
      <c r="B288" s="74" t="s">
        <v>37</v>
      </c>
      <c r="C288" s="74">
        <v>-1</v>
      </c>
      <c r="D288" s="74">
        <v>1</v>
      </c>
      <c r="E288" s="74">
        <v>2</v>
      </c>
      <c r="F288" s="74">
        <v>3</v>
      </c>
      <c r="G288" s="74">
        <v>4</v>
      </c>
      <c r="H288" s="74">
        <v>5</v>
      </c>
      <c r="I288" s="74">
        <v>6</v>
      </c>
      <c r="J288" s="74">
        <v>7</v>
      </c>
      <c r="K288" s="74">
        <v>8</v>
      </c>
      <c r="L288" s="74">
        <v>9</v>
      </c>
      <c r="M288" s="74">
        <v>10</v>
      </c>
      <c r="N288" s="74">
        <v>11</v>
      </c>
      <c r="O288" s="74">
        <v>12</v>
      </c>
    </row>
    <row r="289" spans="2:18" ht="15" customHeight="1">
      <c r="B289" s="99" t="s">
        <v>61</v>
      </c>
      <c r="C289" s="102"/>
      <c r="D289" s="102"/>
      <c r="E289" s="102"/>
      <c r="F289" s="102"/>
      <c r="G289" s="102"/>
      <c r="H289" s="102"/>
      <c r="I289" s="102"/>
      <c r="J289" s="102"/>
      <c r="K289" s="102"/>
      <c r="L289" s="102"/>
      <c r="M289" s="102"/>
      <c r="N289" s="102"/>
      <c r="O289" s="102"/>
      <c r="Q289" s="900"/>
    </row>
    <row r="290" spans="2:18" ht="15" customHeight="1">
      <c r="B290" s="99" t="s">
        <v>62</v>
      </c>
      <c r="C290" s="102"/>
      <c r="D290" s="102"/>
      <c r="E290" s="102"/>
      <c r="F290" s="102"/>
      <c r="G290" s="102"/>
      <c r="H290" s="102"/>
      <c r="I290" s="102"/>
      <c r="J290" s="102"/>
      <c r="K290" s="102"/>
      <c r="L290" s="102"/>
      <c r="M290" s="102"/>
      <c r="N290" s="102"/>
      <c r="O290" s="102"/>
      <c r="Q290" s="900"/>
    </row>
    <row r="291" spans="2:18" ht="15" customHeight="1">
      <c r="B291" s="97" t="s">
        <v>63</v>
      </c>
      <c r="C291" s="100"/>
      <c r="D291" s="100"/>
      <c r="E291" s="100"/>
      <c r="F291" s="100"/>
      <c r="G291" s="100"/>
      <c r="H291" s="100"/>
      <c r="I291" s="100"/>
      <c r="J291" s="100"/>
      <c r="K291" s="100"/>
      <c r="L291" s="100"/>
      <c r="M291" s="100"/>
      <c r="N291" s="100"/>
      <c r="O291" s="100"/>
      <c r="Q291" s="899" t="s">
        <v>50</v>
      </c>
    </row>
    <row r="292" spans="2:18" ht="15" customHeight="1">
      <c r="B292" s="97" t="s">
        <v>64</v>
      </c>
      <c r="C292" s="101"/>
      <c r="D292" s="101"/>
      <c r="E292" s="101"/>
      <c r="F292" s="101"/>
      <c r="G292" s="101"/>
      <c r="H292" s="101"/>
      <c r="I292" s="101"/>
      <c r="J292" s="101"/>
      <c r="K292" s="101"/>
      <c r="L292" s="101"/>
      <c r="M292" s="101"/>
      <c r="N292" s="101"/>
      <c r="O292" s="101"/>
      <c r="Q292" s="899" t="s">
        <v>50</v>
      </c>
    </row>
    <row r="293" spans="2:18" ht="15" customHeight="1">
      <c r="B293" s="97" t="s">
        <v>65</v>
      </c>
      <c r="C293" s="100"/>
      <c r="D293" s="100"/>
      <c r="E293" s="100"/>
      <c r="F293" s="100"/>
      <c r="G293" s="100"/>
      <c r="H293" s="100"/>
      <c r="I293" s="100"/>
      <c r="J293" s="100"/>
      <c r="K293" s="100"/>
      <c r="L293" s="100"/>
      <c r="M293" s="100"/>
      <c r="N293" s="100"/>
      <c r="O293" s="100"/>
      <c r="Q293" s="899" t="s">
        <v>50</v>
      </c>
      <c r="R293" s="68" t="s">
        <v>66</v>
      </c>
    </row>
    <row r="294" spans="2:18" ht="15" customHeight="1">
      <c r="B294" s="99" t="s">
        <v>67</v>
      </c>
      <c r="C294" s="102"/>
      <c r="D294" s="102"/>
      <c r="E294" s="102"/>
      <c r="F294" s="102"/>
      <c r="G294" s="102"/>
      <c r="H294" s="102"/>
      <c r="I294" s="102"/>
      <c r="J294" s="102"/>
      <c r="K294" s="102"/>
      <c r="L294" s="102"/>
      <c r="M294" s="102"/>
      <c r="N294" s="102"/>
      <c r="O294" s="102"/>
      <c r="Q294" s="899" t="s">
        <v>50</v>
      </c>
    </row>
    <row r="295" spans="2:18" ht="15" customHeight="1">
      <c r="B295" s="97" t="s">
        <v>63</v>
      </c>
      <c r="C295" s="100"/>
      <c r="D295" s="100"/>
      <c r="E295" s="100"/>
      <c r="F295" s="100"/>
      <c r="G295" s="100"/>
      <c r="H295" s="100"/>
      <c r="I295" s="100"/>
      <c r="J295" s="100"/>
      <c r="K295" s="100"/>
      <c r="L295" s="100"/>
      <c r="M295" s="100"/>
      <c r="N295" s="100"/>
      <c r="O295" s="100"/>
      <c r="Q295" s="899" t="s">
        <v>50</v>
      </c>
    </row>
    <row r="296" spans="2:18" ht="15" customHeight="1">
      <c r="B296" s="97" t="s">
        <v>64</v>
      </c>
      <c r="C296" s="101"/>
      <c r="D296" s="101"/>
      <c r="E296" s="101"/>
      <c r="F296" s="101"/>
      <c r="G296" s="101"/>
      <c r="H296" s="101"/>
      <c r="I296" s="101"/>
      <c r="J296" s="101"/>
      <c r="K296" s="101"/>
      <c r="L296" s="101"/>
      <c r="M296" s="101"/>
      <c r="N296" s="101"/>
      <c r="O296" s="101"/>
      <c r="Q296" s="899" t="s">
        <v>50</v>
      </c>
    </row>
    <row r="297" spans="2:18" ht="15" customHeight="1">
      <c r="B297" s="97" t="s">
        <v>65</v>
      </c>
      <c r="C297" s="100"/>
      <c r="D297" s="100"/>
      <c r="E297" s="100"/>
      <c r="F297" s="100"/>
      <c r="G297" s="100"/>
      <c r="H297" s="100"/>
      <c r="I297" s="100"/>
      <c r="J297" s="100"/>
      <c r="K297" s="100"/>
      <c r="L297" s="100"/>
      <c r="M297" s="100"/>
      <c r="N297" s="100"/>
      <c r="O297" s="100"/>
      <c r="Q297" s="899" t="s">
        <v>50</v>
      </c>
      <c r="R297" s="68" t="s">
        <v>68</v>
      </c>
    </row>
    <row r="298" spans="2:18" ht="15" customHeight="1">
      <c r="B298" s="99" t="s">
        <v>40</v>
      </c>
      <c r="C298" s="102"/>
      <c r="D298" s="102"/>
      <c r="E298" s="102"/>
      <c r="F298" s="102"/>
      <c r="G298" s="102"/>
      <c r="H298" s="102"/>
      <c r="I298" s="102"/>
      <c r="J298" s="102"/>
      <c r="K298" s="102"/>
      <c r="L298" s="102"/>
      <c r="M298" s="102"/>
      <c r="N298" s="102"/>
      <c r="O298" s="102"/>
      <c r="Q298" s="899" t="s">
        <v>50</v>
      </c>
    </row>
    <row r="299" spans="2:18" ht="15" customHeight="1">
      <c r="B299" s="97" t="s">
        <v>63</v>
      </c>
      <c r="C299" s="100"/>
      <c r="D299" s="100"/>
      <c r="E299" s="100"/>
      <c r="F299" s="100"/>
      <c r="G299" s="100"/>
      <c r="H299" s="100"/>
      <c r="I299" s="100"/>
      <c r="J299" s="100"/>
      <c r="K299" s="100"/>
      <c r="L299" s="100"/>
      <c r="M299" s="100"/>
      <c r="N299" s="100"/>
      <c r="O299" s="100"/>
      <c r="Q299" s="899" t="s">
        <v>50</v>
      </c>
    </row>
    <row r="300" spans="2:18" ht="15" customHeight="1">
      <c r="B300" s="97" t="s">
        <v>64</v>
      </c>
      <c r="C300" s="101"/>
      <c r="D300" s="101"/>
      <c r="E300" s="101"/>
      <c r="F300" s="101"/>
      <c r="G300" s="101"/>
      <c r="H300" s="101"/>
      <c r="I300" s="101"/>
      <c r="J300" s="101"/>
      <c r="K300" s="101"/>
      <c r="L300" s="101"/>
      <c r="M300" s="101"/>
      <c r="N300" s="101"/>
      <c r="O300" s="101"/>
      <c r="Q300" s="899" t="s">
        <v>50</v>
      </c>
    </row>
    <row r="301" spans="2:18" ht="15" customHeight="1">
      <c r="B301" s="97" t="s">
        <v>65</v>
      </c>
      <c r="C301" s="100"/>
      <c r="D301" s="100"/>
      <c r="E301" s="100"/>
      <c r="F301" s="100"/>
      <c r="G301" s="100"/>
      <c r="H301" s="100"/>
      <c r="I301" s="100"/>
      <c r="J301" s="100"/>
      <c r="K301" s="100"/>
      <c r="L301" s="100"/>
      <c r="M301" s="100"/>
      <c r="N301" s="100"/>
      <c r="O301" s="100"/>
      <c r="Q301" s="899" t="s">
        <v>50</v>
      </c>
      <c r="R301" s="68" t="s">
        <v>69</v>
      </c>
    </row>
    <row r="302" spans="2:18" ht="15" customHeight="1">
      <c r="B302" s="99" t="s">
        <v>23</v>
      </c>
      <c r="C302" s="102"/>
      <c r="D302" s="102"/>
      <c r="E302" s="102"/>
      <c r="F302" s="102"/>
      <c r="G302" s="102"/>
      <c r="H302" s="102"/>
      <c r="I302" s="102"/>
      <c r="J302" s="102"/>
      <c r="K302" s="102"/>
      <c r="L302" s="102"/>
      <c r="M302" s="102"/>
      <c r="N302" s="102"/>
      <c r="O302" s="102"/>
      <c r="Q302" s="899" t="s">
        <v>50</v>
      </c>
    </row>
    <row r="303" spans="2:18" ht="15" customHeight="1">
      <c r="B303" s="99" t="s">
        <v>62</v>
      </c>
      <c r="C303" s="102"/>
      <c r="D303" s="102"/>
      <c r="E303" s="102"/>
      <c r="F303" s="102"/>
      <c r="G303" s="102"/>
      <c r="H303" s="102"/>
      <c r="I303" s="102"/>
      <c r="J303" s="102"/>
      <c r="K303" s="102"/>
      <c r="L303" s="102"/>
      <c r="M303" s="102"/>
      <c r="N303" s="102"/>
      <c r="O303" s="102"/>
      <c r="Q303" s="899" t="s">
        <v>50</v>
      </c>
    </row>
    <row r="304" spans="2:18" ht="15" customHeight="1">
      <c r="B304" s="97" t="s">
        <v>63</v>
      </c>
      <c r="C304" s="100"/>
      <c r="D304" s="100"/>
      <c r="E304" s="100"/>
      <c r="F304" s="100"/>
      <c r="G304" s="100"/>
      <c r="H304" s="100"/>
      <c r="I304" s="100"/>
      <c r="J304" s="100"/>
      <c r="K304" s="100"/>
      <c r="L304" s="100"/>
      <c r="M304" s="100"/>
      <c r="N304" s="100"/>
      <c r="O304" s="100"/>
      <c r="Q304" s="899" t="s">
        <v>50</v>
      </c>
    </row>
    <row r="305" spans="2:18" ht="15" customHeight="1">
      <c r="B305" s="97" t="s">
        <v>64</v>
      </c>
      <c r="C305" s="101"/>
      <c r="D305" s="101"/>
      <c r="E305" s="101"/>
      <c r="F305" s="101"/>
      <c r="G305" s="101"/>
      <c r="H305" s="101"/>
      <c r="I305" s="101"/>
      <c r="J305" s="101"/>
      <c r="K305" s="101"/>
      <c r="L305" s="101"/>
      <c r="M305" s="101"/>
      <c r="N305" s="101"/>
      <c r="O305" s="101"/>
      <c r="Q305" s="899" t="s">
        <v>50</v>
      </c>
    </row>
    <row r="306" spans="2:18" ht="15" customHeight="1">
      <c r="B306" s="97" t="s">
        <v>65</v>
      </c>
      <c r="C306" s="100"/>
      <c r="D306" s="100"/>
      <c r="E306" s="100"/>
      <c r="F306" s="100"/>
      <c r="G306" s="100"/>
      <c r="H306" s="100"/>
      <c r="I306" s="100"/>
      <c r="J306" s="100"/>
      <c r="K306" s="100"/>
      <c r="L306" s="100"/>
      <c r="M306" s="100"/>
      <c r="N306" s="100"/>
      <c r="O306" s="100"/>
      <c r="Q306" s="899" t="s">
        <v>50</v>
      </c>
      <c r="R306" s="68" t="s">
        <v>70</v>
      </c>
    </row>
    <row r="307" spans="2:18" ht="15" customHeight="1">
      <c r="B307" s="99" t="s">
        <v>67</v>
      </c>
      <c r="C307" s="102"/>
      <c r="D307" s="102"/>
      <c r="E307" s="102"/>
      <c r="F307" s="102"/>
      <c r="G307" s="102"/>
      <c r="H307" s="102"/>
      <c r="I307" s="102"/>
      <c r="J307" s="102"/>
      <c r="K307" s="102"/>
      <c r="L307" s="102"/>
      <c r="M307" s="102"/>
      <c r="N307" s="102"/>
      <c r="O307" s="102"/>
      <c r="Q307" s="899" t="s">
        <v>50</v>
      </c>
    </row>
    <row r="308" spans="2:18" ht="15" customHeight="1">
      <c r="B308" s="97" t="s">
        <v>63</v>
      </c>
      <c r="C308" s="100"/>
      <c r="D308" s="100"/>
      <c r="E308" s="100"/>
      <c r="F308" s="100"/>
      <c r="G308" s="100"/>
      <c r="H308" s="100"/>
      <c r="I308" s="100"/>
      <c r="J308" s="100"/>
      <c r="K308" s="100"/>
      <c r="L308" s="100"/>
      <c r="M308" s="100"/>
      <c r="N308" s="100"/>
      <c r="O308" s="100"/>
      <c r="Q308" s="899" t="s">
        <v>50</v>
      </c>
    </row>
    <row r="309" spans="2:18" ht="15" customHeight="1">
      <c r="B309" s="97" t="s">
        <v>64</v>
      </c>
      <c r="C309" s="101"/>
      <c r="D309" s="101"/>
      <c r="E309" s="101"/>
      <c r="F309" s="101"/>
      <c r="G309" s="101"/>
      <c r="H309" s="101"/>
      <c r="I309" s="101"/>
      <c r="J309" s="101"/>
      <c r="K309" s="101"/>
      <c r="L309" s="101"/>
      <c r="M309" s="101"/>
      <c r="N309" s="101"/>
      <c r="O309" s="101"/>
      <c r="Q309" s="899" t="s">
        <v>50</v>
      </c>
    </row>
    <row r="310" spans="2:18" ht="15" customHeight="1">
      <c r="B310" s="97" t="s">
        <v>65</v>
      </c>
      <c r="C310" s="100"/>
      <c r="D310" s="100"/>
      <c r="E310" s="100"/>
      <c r="F310" s="100"/>
      <c r="G310" s="100"/>
      <c r="H310" s="100"/>
      <c r="I310" s="100"/>
      <c r="J310" s="100"/>
      <c r="K310" s="100"/>
      <c r="L310" s="100"/>
      <c r="M310" s="100"/>
      <c r="N310" s="100"/>
      <c r="O310" s="100"/>
      <c r="Q310" s="899" t="s">
        <v>50</v>
      </c>
      <c r="R310" s="68" t="s">
        <v>71</v>
      </c>
    </row>
    <row r="311" spans="2:18" ht="15" customHeight="1">
      <c r="B311" s="99" t="s">
        <v>40</v>
      </c>
      <c r="C311" s="102"/>
      <c r="D311" s="102"/>
      <c r="E311" s="102"/>
      <c r="F311" s="102"/>
      <c r="G311" s="102"/>
      <c r="H311" s="102"/>
      <c r="I311" s="102"/>
      <c r="J311" s="102"/>
      <c r="K311" s="102"/>
      <c r="L311" s="102"/>
      <c r="M311" s="102"/>
      <c r="N311" s="102"/>
      <c r="O311" s="102"/>
      <c r="Q311" s="899" t="s">
        <v>50</v>
      </c>
    </row>
    <row r="312" spans="2:18" ht="15" customHeight="1">
      <c r="B312" s="97" t="s">
        <v>63</v>
      </c>
      <c r="C312" s="100"/>
      <c r="D312" s="100"/>
      <c r="E312" s="100"/>
      <c r="F312" s="100"/>
      <c r="G312" s="100"/>
      <c r="H312" s="100"/>
      <c r="I312" s="100"/>
      <c r="J312" s="100"/>
      <c r="K312" s="100"/>
      <c r="L312" s="100"/>
      <c r="M312" s="100"/>
      <c r="N312" s="100"/>
      <c r="O312" s="100"/>
      <c r="Q312" s="899" t="s">
        <v>50</v>
      </c>
    </row>
    <row r="313" spans="2:18" ht="15" customHeight="1">
      <c r="B313" s="97" t="s">
        <v>64</v>
      </c>
      <c r="C313" s="101"/>
      <c r="D313" s="101"/>
      <c r="E313" s="101"/>
      <c r="F313" s="101"/>
      <c r="G313" s="101"/>
      <c r="H313" s="101"/>
      <c r="I313" s="101"/>
      <c r="J313" s="101"/>
      <c r="K313" s="101"/>
      <c r="L313" s="101"/>
      <c r="M313" s="101"/>
      <c r="N313" s="101"/>
      <c r="O313" s="101"/>
      <c r="Q313" s="899" t="s">
        <v>50</v>
      </c>
    </row>
    <row r="314" spans="2:18" ht="15" customHeight="1">
      <c r="B314" s="97" t="s">
        <v>65</v>
      </c>
      <c r="C314" s="100"/>
      <c r="D314" s="100"/>
      <c r="E314" s="100"/>
      <c r="F314" s="100"/>
      <c r="G314" s="100"/>
      <c r="H314" s="100"/>
      <c r="I314" s="100"/>
      <c r="J314" s="100"/>
      <c r="K314" s="100"/>
      <c r="L314" s="100"/>
      <c r="M314" s="100"/>
      <c r="N314" s="100"/>
      <c r="O314" s="100"/>
      <c r="Q314" s="899" t="s">
        <v>50</v>
      </c>
      <c r="R314" s="68" t="s">
        <v>72</v>
      </c>
    </row>
    <row r="316" spans="2:18" ht="15" customHeight="1" thickBot="1">
      <c r="B316" s="75" t="s">
        <v>51</v>
      </c>
      <c r="C316" s="75"/>
      <c r="D316" s="75"/>
      <c r="E316" s="163" t="s">
        <v>83</v>
      </c>
    </row>
    <row r="318" spans="2:18" ht="15" customHeight="1">
      <c r="B318" s="74" t="s">
        <v>23</v>
      </c>
      <c r="C318" s="74" t="s">
        <v>36</v>
      </c>
      <c r="D318" s="74" t="s">
        <v>698</v>
      </c>
      <c r="E318" s="74" t="s">
        <v>699</v>
      </c>
      <c r="F318" s="74" t="s">
        <v>700</v>
      </c>
      <c r="G318" s="74" t="s">
        <v>701</v>
      </c>
      <c r="H318" s="74" t="s">
        <v>702</v>
      </c>
      <c r="I318" s="74" t="s">
        <v>703</v>
      </c>
      <c r="J318" s="74" t="s">
        <v>704</v>
      </c>
      <c r="K318" s="74" t="s">
        <v>705</v>
      </c>
      <c r="L318" s="74" t="s">
        <v>706</v>
      </c>
      <c r="M318" s="74" t="s">
        <v>707</v>
      </c>
      <c r="N318" s="74" t="s">
        <v>708</v>
      </c>
      <c r="O318" s="74" t="s">
        <v>709</v>
      </c>
    </row>
    <row r="319" spans="2:18" ht="15" customHeight="1">
      <c r="B319" s="74" t="s">
        <v>37</v>
      </c>
      <c r="C319" s="74">
        <v>-1</v>
      </c>
      <c r="D319" s="74">
        <v>1</v>
      </c>
      <c r="E319" s="74">
        <v>2</v>
      </c>
      <c r="F319" s="74">
        <v>3</v>
      </c>
      <c r="G319" s="74">
        <v>4</v>
      </c>
      <c r="H319" s="74">
        <v>5</v>
      </c>
      <c r="I319" s="74">
        <v>6</v>
      </c>
      <c r="J319" s="74">
        <v>7</v>
      </c>
      <c r="K319" s="74">
        <v>8</v>
      </c>
      <c r="L319" s="74">
        <v>9</v>
      </c>
      <c r="M319" s="74">
        <v>10</v>
      </c>
      <c r="N319" s="74">
        <v>11</v>
      </c>
      <c r="O319" s="74">
        <v>12</v>
      </c>
    </row>
    <row r="320" spans="2:18" ht="15" customHeight="1">
      <c r="B320" s="99" t="s">
        <v>61</v>
      </c>
      <c r="C320" s="102"/>
      <c r="D320" s="102"/>
      <c r="E320" s="102"/>
      <c r="F320" s="102"/>
      <c r="G320" s="102"/>
      <c r="H320" s="102"/>
      <c r="I320" s="102"/>
      <c r="J320" s="102"/>
      <c r="K320" s="102"/>
      <c r="L320" s="102"/>
      <c r="M320" s="102"/>
      <c r="N320" s="102"/>
      <c r="O320" s="102"/>
      <c r="Q320" s="900"/>
    </row>
    <row r="321" spans="2:18" ht="15" customHeight="1">
      <c r="B321" s="99" t="s">
        <v>62</v>
      </c>
      <c r="C321" s="102"/>
      <c r="D321" s="102"/>
      <c r="E321" s="102"/>
      <c r="F321" s="102"/>
      <c r="G321" s="102"/>
      <c r="H321" s="102"/>
      <c r="I321" s="102"/>
      <c r="J321" s="102"/>
      <c r="K321" s="102"/>
      <c r="L321" s="102"/>
      <c r="M321" s="102"/>
      <c r="N321" s="102"/>
      <c r="O321" s="102"/>
      <c r="Q321" s="900"/>
    </row>
    <row r="322" spans="2:18" ht="15" customHeight="1">
      <c r="B322" s="97" t="s">
        <v>63</v>
      </c>
      <c r="C322" s="100"/>
      <c r="D322" s="100"/>
      <c r="E322" s="100"/>
      <c r="F322" s="100"/>
      <c r="G322" s="100"/>
      <c r="H322" s="100"/>
      <c r="I322" s="100"/>
      <c r="J322" s="100"/>
      <c r="K322" s="100"/>
      <c r="L322" s="100"/>
      <c r="M322" s="100"/>
      <c r="N322" s="100"/>
      <c r="O322" s="100"/>
      <c r="Q322" s="899" t="s">
        <v>51</v>
      </c>
    </row>
    <row r="323" spans="2:18" ht="15" customHeight="1">
      <c r="B323" s="97" t="s">
        <v>64</v>
      </c>
      <c r="C323" s="101"/>
      <c r="D323" s="101"/>
      <c r="E323" s="101"/>
      <c r="F323" s="101"/>
      <c r="G323" s="101"/>
      <c r="H323" s="101"/>
      <c r="I323" s="101"/>
      <c r="J323" s="101"/>
      <c r="K323" s="101"/>
      <c r="L323" s="101"/>
      <c r="M323" s="101"/>
      <c r="N323" s="101"/>
      <c r="O323" s="101"/>
      <c r="Q323" s="899" t="s">
        <v>51</v>
      </c>
    </row>
    <row r="324" spans="2:18" ht="15" customHeight="1">
      <c r="B324" s="97" t="s">
        <v>65</v>
      </c>
      <c r="C324" s="100"/>
      <c r="D324" s="100"/>
      <c r="E324" s="100"/>
      <c r="F324" s="100"/>
      <c r="G324" s="100"/>
      <c r="H324" s="100"/>
      <c r="I324" s="100"/>
      <c r="J324" s="100"/>
      <c r="K324" s="100"/>
      <c r="L324" s="100"/>
      <c r="M324" s="100"/>
      <c r="N324" s="100"/>
      <c r="O324" s="100"/>
      <c r="Q324" s="899" t="s">
        <v>51</v>
      </c>
      <c r="R324" s="68" t="s">
        <v>66</v>
      </c>
    </row>
    <row r="325" spans="2:18" ht="15" customHeight="1">
      <c r="B325" s="99" t="s">
        <v>67</v>
      </c>
      <c r="C325" s="102"/>
      <c r="D325" s="102"/>
      <c r="E325" s="102"/>
      <c r="F325" s="102"/>
      <c r="G325" s="102"/>
      <c r="H325" s="102"/>
      <c r="I325" s="102"/>
      <c r="J325" s="102"/>
      <c r="K325" s="102"/>
      <c r="L325" s="102"/>
      <c r="M325" s="102"/>
      <c r="N325" s="102"/>
      <c r="O325" s="102"/>
      <c r="Q325" s="899" t="s">
        <v>51</v>
      </c>
    </row>
    <row r="326" spans="2:18" ht="15" customHeight="1">
      <c r="B326" s="97" t="s">
        <v>63</v>
      </c>
      <c r="C326" s="100"/>
      <c r="D326" s="100"/>
      <c r="E326" s="100"/>
      <c r="F326" s="100"/>
      <c r="G326" s="100"/>
      <c r="H326" s="100"/>
      <c r="I326" s="100"/>
      <c r="J326" s="100"/>
      <c r="K326" s="100"/>
      <c r="L326" s="100"/>
      <c r="M326" s="100"/>
      <c r="N326" s="100"/>
      <c r="O326" s="100"/>
      <c r="Q326" s="899" t="s">
        <v>51</v>
      </c>
    </row>
    <row r="327" spans="2:18" ht="15" customHeight="1">
      <c r="B327" s="97" t="s">
        <v>64</v>
      </c>
      <c r="C327" s="101"/>
      <c r="D327" s="101"/>
      <c r="E327" s="101"/>
      <c r="F327" s="101"/>
      <c r="G327" s="101"/>
      <c r="H327" s="101"/>
      <c r="I327" s="101"/>
      <c r="J327" s="101"/>
      <c r="K327" s="101"/>
      <c r="L327" s="101"/>
      <c r="M327" s="101"/>
      <c r="N327" s="101"/>
      <c r="O327" s="101"/>
      <c r="Q327" s="899" t="s">
        <v>51</v>
      </c>
    </row>
    <row r="328" spans="2:18" ht="15" customHeight="1">
      <c r="B328" s="97" t="s">
        <v>65</v>
      </c>
      <c r="C328" s="100"/>
      <c r="D328" s="100"/>
      <c r="E328" s="100"/>
      <c r="F328" s="100"/>
      <c r="G328" s="100"/>
      <c r="H328" s="100"/>
      <c r="I328" s="100"/>
      <c r="J328" s="100"/>
      <c r="K328" s="100"/>
      <c r="L328" s="100"/>
      <c r="M328" s="100"/>
      <c r="N328" s="100"/>
      <c r="O328" s="100"/>
      <c r="Q328" s="899" t="s">
        <v>51</v>
      </c>
      <c r="R328" s="68" t="s">
        <v>68</v>
      </c>
    </row>
    <row r="329" spans="2:18" ht="15" customHeight="1">
      <c r="B329" s="99" t="s">
        <v>40</v>
      </c>
      <c r="C329" s="102"/>
      <c r="D329" s="102"/>
      <c r="E329" s="102"/>
      <c r="F329" s="102"/>
      <c r="G329" s="102"/>
      <c r="H329" s="102"/>
      <c r="I329" s="102"/>
      <c r="J329" s="102"/>
      <c r="K329" s="102"/>
      <c r="L329" s="102"/>
      <c r="M329" s="102"/>
      <c r="N329" s="102"/>
      <c r="O329" s="102"/>
      <c r="Q329" s="899" t="s">
        <v>51</v>
      </c>
    </row>
    <row r="330" spans="2:18" ht="15" customHeight="1">
      <c r="B330" s="97" t="s">
        <v>63</v>
      </c>
      <c r="C330" s="100"/>
      <c r="D330" s="100"/>
      <c r="E330" s="100"/>
      <c r="F330" s="100"/>
      <c r="G330" s="100"/>
      <c r="H330" s="100"/>
      <c r="I330" s="100"/>
      <c r="J330" s="100"/>
      <c r="K330" s="100"/>
      <c r="L330" s="100"/>
      <c r="M330" s="100"/>
      <c r="N330" s="100"/>
      <c r="O330" s="100"/>
      <c r="Q330" s="899" t="s">
        <v>51</v>
      </c>
    </row>
    <row r="331" spans="2:18" ht="15" customHeight="1">
      <c r="B331" s="97" t="s">
        <v>64</v>
      </c>
      <c r="C331" s="101"/>
      <c r="D331" s="101"/>
      <c r="E331" s="101"/>
      <c r="F331" s="101"/>
      <c r="G331" s="101"/>
      <c r="H331" s="101"/>
      <c r="I331" s="101"/>
      <c r="J331" s="101"/>
      <c r="K331" s="101"/>
      <c r="L331" s="101"/>
      <c r="M331" s="101"/>
      <c r="N331" s="101"/>
      <c r="O331" s="101"/>
      <c r="Q331" s="899" t="s">
        <v>51</v>
      </c>
    </row>
    <row r="332" spans="2:18" ht="15" customHeight="1">
      <c r="B332" s="97" t="s">
        <v>65</v>
      </c>
      <c r="C332" s="100"/>
      <c r="D332" s="100"/>
      <c r="E332" s="100"/>
      <c r="F332" s="100"/>
      <c r="G332" s="100"/>
      <c r="H332" s="100"/>
      <c r="I332" s="100"/>
      <c r="J332" s="100"/>
      <c r="K332" s="100"/>
      <c r="L332" s="100"/>
      <c r="M332" s="100"/>
      <c r="N332" s="100"/>
      <c r="O332" s="100"/>
      <c r="Q332" s="899" t="s">
        <v>51</v>
      </c>
      <c r="R332" s="68" t="s">
        <v>69</v>
      </c>
    </row>
    <row r="333" spans="2:18" ht="15" customHeight="1">
      <c r="B333" s="99" t="s">
        <v>23</v>
      </c>
      <c r="C333" s="102"/>
      <c r="D333" s="102"/>
      <c r="E333" s="102"/>
      <c r="F333" s="102"/>
      <c r="G333" s="102"/>
      <c r="H333" s="102"/>
      <c r="I333" s="102"/>
      <c r="J333" s="102"/>
      <c r="K333" s="102"/>
      <c r="L333" s="102"/>
      <c r="M333" s="102"/>
      <c r="N333" s="102"/>
      <c r="O333" s="102"/>
      <c r="Q333" s="899" t="s">
        <v>51</v>
      </c>
    </row>
    <row r="334" spans="2:18" ht="15" customHeight="1">
      <c r="B334" s="99" t="s">
        <v>62</v>
      </c>
      <c r="C334" s="102"/>
      <c r="D334" s="102"/>
      <c r="E334" s="102"/>
      <c r="F334" s="102"/>
      <c r="G334" s="102"/>
      <c r="H334" s="102"/>
      <c r="I334" s="102"/>
      <c r="J334" s="102"/>
      <c r="K334" s="102"/>
      <c r="L334" s="102"/>
      <c r="M334" s="102"/>
      <c r="N334" s="102"/>
      <c r="O334" s="102"/>
      <c r="Q334" s="899" t="s">
        <v>51</v>
      </c>
    </row>
    <row r="335" spans="2:18" ht="15" customHeight="1">
      <c r="B335" s="97" t="s">
        <v>63</v>
      </c>
      <c r="C335" s="100"/>
      <c r="D335" s="100"/>
      <c r="E335" s="100"/>
      <c r="F335" s="100"/>
      <c r="G335" s="100"/>
      <c r="H335" s="100"/>
      <c r="I335" s="100"/>
      <c r="J335" s="100"/>
      <c r="K335" s="100"/>
      <c r="L335" s="100"/>
      <c r="M335" s="100"/>
      <c r="N335" s="100"/>
      <c r="O335" s="100"/>
      <c r="Q335" s="899" t="s">
        <v>51</v>
      </c>
    </row>
    <row r="336" spans="2:18" ht="15" customHeight="1">
      <c r="B336" s="97" t="s">
        <v>64</v>
      </c>
      <c r="C336" s="101"/>
      <c r="D336" s="101"/>
      <c r="E336" s="101"/>
      <c r="F336" s="101"/>
      <c r="G336" s="101"/>
      <c r="H336" s="101"/>
      <c r="I336" s="101"/>
      <c r="J336" s="101"/>
      <c r="K336" s="101"/>
      <c r="L336" s="101"/>
      <c r="M336" s="101"/>
      <c r="N336" s="101"/>
      <c r="O336" s="101"/>
      <c r="Q336" s="899" t="s">
        <v>51</v>
      </c>
    </row>
    <row r="337" spans="2:18" ht="15" customHeight="1">
      <c r="B337" s="97" t="s">
        <v>65</v>
      </c>
      <c r="C337" s="100"/>
      <c r="D337" s="100"/>
      <c r="E337" s="100"/>
      <c r="F337" s="100"/>
      <c r="G337" s="100"/>
      <c r="H337" s="100"/>
      <c r="I337" s="100"/>
      <c r="J337" s="100"/>
      <c r="K337" s="100"/>
      <c r="L337" s="100"/>
      <c r="M337" s="100"/>
      <c r="N337" s="100"/>
      <c r="O337" s="100"/>
      <c r="Q337" s="899" t="s">
        <v>51</v>
      </c>
      <c r="R337" s="68" t="s">
        <v>70</v>
      </c>
    </row>
    <row r="338" spans="2:18" ht="15" customHeight="1">
      <c r="B338" s="99" t="s">
        <v>67</v>
      </c>
      <c r="C338" s="102"/>
      <c r="D338" s="102"/>
      <c r="E338" s="102"/>
      <c r="F338" s="102"/>
      <c r="G338" s="102"/>
      <c r="H338" s="102"/>
      <c r="I338" s="102"/>
      <c r="J338" s="102"/>
      <c r="K338" s="102"/>
      <c r="L338" s="102"/>
      <c r="M338" s="102"/>
      <c r="N338" s="102"/>
      <c r="O338" s="102"/>
      <c r="Q338" s="899" t="s">
        <v>51</v>
      </c>
    </row>
    <row r="339" spans="2:18" ht="15" customHeight="1">
      <c r="B339" s="97" t="s">
        <v>63</v>
      </c>
      <c r="C339" s="100"/>
      <c r="D339" s="100"/>
      <c r="E339" s="100"/>
      <c r="F339" s="100"/>
      <c r="G339" s="100"/>
      <c r="H339" s="100"/>
      <c r="I339" s="100"/>
      <c r="J339" s="100"/>
      <c r="K339" s="100"/>
      <c r="L339" s="100"/>
      <c r="M339" s="100"/>
      <c r="N339" s="100"/>
      <c r="O339" s="100"/>
      <c r="Q339" s="899" t="s">
        <v>51</v>
      </c>
    </row>
    <row r="340" spans="2:18" ht="15" customHeight="1">
      <c r="B340" s="97" t="s">
        <v>64</v>
      </c>
      <c r="C340" s="101"/>
      <c r="D340" s="101"/>
      <c r="E340" s="101"/>
      <c r="F340" s="101"/>
      <c r="G340" s="101"/>
      <c r="H340" s="101"/>
      <c r="I340" s="101"/>
      <c r="J340" s="101"/>
      <c r="K340" s="101"/>
      <c r="L340" s="101"/>
      <c r="M340" s="101"/>
      <c r="N340" s="101"/>
      <c r="O340" s="101"/>
      <c r="Q340" s="899" t="s">
        <v>51</v>
      </c>
    </row>
    <row r="341" spans="2:18" ht="15" customHeight="1">
      <c r="B341" s="97" t="s">
        <v>65</v>
      </c>
      <c r="C341" s="100"/>
      <c r="D341" s="100"/>
      <c r="E341" s="100"/>
      <c r="F341" s="100"/>
      <c r="G341" s="100"/>
      <c r="H341" s="100"/>
      <c r="I341" s="100"/>
      <c r="J341" s="100"/>
      <c r="K341" s="100"/>
      <c r="L341" s="100"/>
      <c r="M341" s="100"/>
      <c r="N341" s="100"/>
      <c r="O341" s="100"/>
      <c r="Q341" s="899" t="s">
        <v>51</v>
      </c>
      <c r="R341" s="68" t="s">
        <v>71</v>
      </c>
    </row>
    <row r="342" spans="2:18" ht="15" customHeight="1">
      <c r="B342" s="99" t="s">
        <v>40</v>
      </c>
      <c r="C342" s="102"/>
      <c r="D342" s="102"/>
      <c r="E342" s="102"/>
      <c r="F342" s="102"/>
      <c r="G342" s="102"/>
      <c r="H342" s="102"/>
      <c r="I342" s="102"/>
      <c r="J342" s="102"/>
      <c r="K342" s="102"/>
      <c r="L342" s="102"/>
      <c r="M342" s="102"/>
      <c r="N342" s="102"/>
      <c r="O342" s="102"/>
      <c r="Q342" s="899" t="s">
        <v>51</v>
      </c>
    </row>
    <row r="343" spans="2:18" ht="15" customHeight="1">
      <c r="B343" s="97" t="s">
        <v>63</v>
      </c>
      <c r="C343" s="100"/>
      <c r="D343" s="100"/>
      <c r="E343" s="100"/>
      <c r="F343" s="100"/>
      <c r="G343" s="100"/>
      <c r="H343" s="100"/>
      <c r="I343" s="100"/>
      <c r="J343" s="100"/>
      <c r="K343" s="100"/>
      <c r="L343" s="100"/>
      <c r="M343" s="100"/>
      <c r="N343" s="100"/>
      <c r="O343" s="100"/>
      <c r="Q343" s="899" t="s">
        <v>51</v>
      </c>
    </row>
    <row r="344" spans="2:18" ht="15" customHeight="1">
      <c r="B344" s="97" t="s">
        <v>64</v>
      </c>
      <c r="C344" s="101"/>
      <c r="D344" s="101"/>
      <c r="E344" s="101"/>
      <c r="F344" s="101"/>
      <c r="G344" s="101"/>
      <c r="H344" s="101"/>
      <c r="I344" s="101"/>
      <c r="J344" s="101"/>
      <c r="K344" s="101"/>
      <c r="L344" s="101"/>
      <c r="M344" s="101"/>
      <c r="N344" s="101"/>
      <c r="O344" s="101"/>
      <c r="Q344" s="899" t="s">
        <v>51</v>
      </c>
    </row>
    <row r="345" spans="2:18" ht="15" customHeight="1">
      <c r="B345" s="97" t="s">
        <v>65</v>
      </c>
      <c r="C345" s="100"/>
      <c r="D345" s="100"/>
      <c r="E345" s="100"/>
      <c r="F345" s="100"/>
      <c r="G345" s="100"/>
      <c r="H345" s="100"/>
      <c r="I345" s="100"/>
      <c r="J345" s="100"/>
      <c r="K345" s="100"/>
      <c r="L345" s="100"/>
      <c r="M345" s="100"/>
      <c r="N345" s="100"/>
      <c r="O345" s="100"/>
      <c r="Q345" s="899" t="s">
        <v>51</v>
      </c>
      <c r="R345" s="68" t="s">
        <v>72</v>
      </c>
    </row>
    <row r="347" spans="2:18" ht="15" customHeight="1" thickBot="1">
      <c r="B347" s="75" t="s">
        <v>52</v>
      </c>
      <c r="C347" s="75"/>
      <c r="D347" s="75"/>
      <c r="E347" s="163" t="s">
        <v>84</v>
      </c>
    </row>
    <row r="349" spans="2:18" ht="15" customHeight="1">
      <c r="B349" s="74" t="s">
        <v>23</v>
      </c>
      <c r="C349" s="74" t="s">
        <v>36</v>
      </c>
      <c r="D349" s="74" t="s">
        <v>698</v>
      </c>
      <c r="E349" s="74" t="s">
        <v>699</v>
      </c>
      <c r="F349" s="74" t="s">
        <v>700</v>
      </c>
      <c r="G349" s="74" t="s">
        <v>701</v>
      </c>
      <c r="H349" s="74" t="s">
        <v>702</v>
      </c>
      <c r="I349" s="74" t="s">
        <v>703</v>
      </c>
      <c r="J349" s="74" t="s">
        <v>704</v>
      </c>
      <c r="K349" s="74" t="s">
        <v>705</v>
      </c>
      <c r="L349" s="74" t="s">
        <v>706</v>
      </c>
      <c r="M349" s="74" t="s">
        <v>707</v>
      </c>
      <c r="N349" s="74" t="s">
        <v>708</v>
      </c>
      <c r="O349" s="74" t="s">
        <v>709</v>
      </c>
    </row>
    <row r="350" spans="2:18" ht="15" customHeight="1">
      <c r="B350" s="74" t="s">
        <v>37</v>
      </c>
      <c r="C350" s="74">
        <v>-1</v>
      </c>
      <c r="D350" s="74">
        <v>1</v>
      </c>
      <c r="E350" s="74">
        <v>2</v>
      </c>
      <c r="F350" s="74">
        <v>3</v>
      </c>
      <c r="G350" s="74">
        <v>4</v>
      </c>
      <c r="H350" s="74">
        <v>5</v>
      </c>
      <c r="I350" s="74">
        <v>6</v>
      </c>
      <c r="J350" s="74">
        <v>7</v>
      </c>
      <c r="K350" s="74">
        <v>8</v>
      </c>
      <c r="L350" s="74">
        <v>9</v>
      </c>
      <c r="M350" s="74">
        <v>10</v>
      </c>
      <c r="N350" s="74">
        <v>11</v>
      </c>
      <c r="O350" s="74">
        <v>12</v>
      </c>
    </row>
    <row r="351" spans="2:18" ht="15" customHeight="1">
      <c r="B351" s="99" t="s">
        <v>61</v>
      </c>
      <c r="C351" s="102"/>
      <c r="D351" s="102"/>
      <c r="E351" s="102"/>
      <c r="F351" s="102"/>
      <c r="G351" s="102"/>
      <c r="H351" s="102"/>
      <c r="I351" s="102"/>
      <c r="J351" s="102"/>
      <c r="K351" s="102"/>
      <c r="L351" s="102"/>
      <c r="M351" s="102"/>
      <c r="N351" s="102"/>
      <c r="O351" s="102"/>
      <c r="Q351" s="900"/>
    </row>
    <row r="352" spans="2:18" ht="15" customHeight="1">
      <c r="B352" s="99" t="s">
        <v>62</v>
      </c>
      <c r="C352" s="102"/>
      <c r="D352" s="102"/>
      <c r="E352" s="102"/>
      <c r="F352" s="102"/>
      <c r="G352" s="102"/>
      <c r="H352" s="102"/>
      <c r="I352" s="102"/>
      <c r="J352" s="102"/>
      <c r="K352" s="102"/>
      <c r="L352" s="102"/>
      <c r="M352" s="102"/>
      <c r="N352" s="102"/>
      <c r="O352" s="102"/>
      <c r="Q352" s="900"/>
    </row>
    <row r="353" spans="2:18" ht="15" customHeight="1">
      <c r="B353" s="97" t="s">
        <v>63</v>
      </c>
      <c r="C353" s="100"/>
      <c r="D353" s="100"/>
      <c r="E353" s="100"/>
      <c r="F353" s="100"/>
      <c r="G353" s="100"/>
      <c r="H353" s="100"/>
      <c r="I353" s="100"/>
      <c r="J353" s="100"/>
      <c r="K353" s="100"/>
      <c r="L353" s="100"/>
      <c r="M353" s="100"/>
      <c r="N353" s="100"/>
      <c r="O353" s="100"/>
      <c r="Q353" s="899" t="s">
        <v>52</v>
      </c>
    </row>
    <row r="354" spans="2:18" ht="15" customHeight="1">
      <c r="B354" s="97" t="s">
        <v>64</v>
      </c>
      <c r="C354" s="101"/>
      <c r="D354" s="101"/>
      <c r="E354" s="101"/>
      <c r="F354" s="101"/>
      <c r="G354" s="101"/>
      <c r="H354" s="101"/>
      <c r="I354" s="101"/>
      <c r="J354" s="101"/>
      <c r="K354" s="101"/>
      <c r="L354" s="101"/>
      <c r="M354" s="101"/>
      <c r="N354" s="101"/>
      <c r="O354" s="101"/>
      <c r="Q354" s="899" t="s">
        <v>52</v>
      </c>
    </row>
    <row r="355" spans="2:18" ht="15" customHeight="1">
      <c r="B355" s="97" t="s">
        <v>65</v>
      </c>
      <c r="C355" s="100"/>
      <c r="D355" s="100"/>
      <c r="E355" s="100"/>
      <c r="F355" s="100"/>
      <c r="G355" s="100"/>
      <c r="H355" s="100"/>
      <c r="I355" s="100"/>
      <c r="J355" s="100"/>
      <c r="K355" s="100"/>
      <c r="L355" s="100"/>
      <c r="M355" s="100"/>
      <c r="N355" s="100"/>
      <c r="O355" s="100"/>
      <c r="Q355" s="899" t="s">
        <v>52</v>
      </c>
      <c r="R355" s="68" t="s">
        <v>66</v>
      </c>
    </row>
    <row r="356" spans="2:18" ht="15" customHeight="1">
      <c r="B356" s="99" t="s">
        <v>67</v>
      </c>
      <c r="C356" s="102"/>
      <c r="D356" s="102"/>
      <c r="E356" s="102"/>
      <c r="F356" s="102"/>
      <c r="G356" s="102"/>
      <c r="H356" s="102"/>
      <c r="I356" s="102"/>
      <c r="J356" s="102"/>
      <c r="K356" s="102"/>
      <c r="L356" s="102"/>
      <c r="M356" s="102"/>
      <c r="N356" s="102"/>
      <c r="O356" s="102"/>
      <c r="Q356" s="899" t="s">
        <v>52</v>
      </c>
    </row>
    <row r="357" spans="2:18" ht="15" customHeight="1">
      <c r="B357" s="97" t="s">
        <v>63</v>
      </c>
      <c r="C357" s="100"/>
      <c r="D357" s="100"/>
      <c r="E357" s="100"/>
      <c r="F357" s="100"/>
      <c r="G357" s="100"/>
      <c r="H357" s="100"/>
      <c r="I357" s="100"/>
      <c r="J357" s="100"/>
      <c r="K357" s="100"/>
      <c r="L357" s="100"/>
      <c r="M357" s="100"/>
      <c r="N357" s="100"/>
      <c r="O357" s="100"/>
      <c r="Q357" s="899" t="s">
        <v>52</v>
      </c>
    </row>
    <row r="358" spans="2:18" ht="15" customHeight="1">
      <c r="B358" s="97" t="s">
        <v>64</v>
      </c>
      <c r="C358" s="101"/>
      <c r="D358" s="101"/>
      <c r="E358" s="101"/>
      <c r="F358" s="101"/>
      <c r="G358" s="101"/>
      <c r="H358" s="101"/>
      <c r="I358" s="101"/>
      <c r="J358" s="101"/>
      <c r="K358" s="101"/>
      <c r="L358" s="101"/>
      <c r="M358" s="101"/>
      <c r="N358" s="101"/>
      <c r="O358" s="101"/>
      <c r="Q358" s="899" t="s">
        <v>52</v>
      </c>
    </row>
    <row r="359" spans="2:18" ht="15" customHeight="1">
      <c r="B359" s="97" t="s">
        <v>65</v>
      </c>
      <c r="C359" s="100"/>
      <c r="D359" s="100"/>
      <c r="E359" s="100"/>
      <c r="F359" s="100"/>
      <c r="G359" s="100"/>
      <c r="H359" s="100"/>
      <c r="I359" s="100"/>
      <c r="J359" s="100"/>
      <c r="K359" s="100"/>
      <c r="L359" s="100"/>
      <c r="M359" s="100"/>
      <c r="N359" s="100"/>
      <c r="O359" s="100"/>
      <c r="Q359" s="899" t="s">
        <v>52</v>
      </c>
      <c r="R359" s="68" t="s">
        <v>68</v>
      </c>
    </row>
    <row r="360" spans="2:18" ht="15" customHeight="1">
      <c r="B360" s="99" t="s">
        <v>40</v>
      </c>
      <c r="C360" s="102"/>
      <c r="D360" s="102"/>
      <c r="E360" s="102"/>
      <c r="F360" s="102"/>
      <c r="G360" s="102"/>
      <c r="H360" s="102"/>
      <c r="I360" s="102"/>
      <c r="J360" s="102"/>
      <c r="K360" s="102"/>
      <c r="L360" s="102"/>
      <c r="M360" s="102"/>
      <c r="N360" s="102"/>
      <c r="O360" s="102"/>
      <c r="Q360" s="899" t="s">
        <v>52</v>
      </c>
    </row>
    <row r="361" spans="2:18" ht="15" customHeight="1">
      <c r="B361" s="97" t="s">
        <v>63</v>
      </c>
      <c r="C361" s="100"/>
      <c r="D361" s="100"/>
      <c r="E361" s="100"/>
      <c r="F361" s="100"/>
      <c r="G361" s="100"/>
      <c r="H361" s="100"/>
      <c r="I361" s="100"/>
      <c r="J361" s="100"/>
      <c r="K361" s="100"/>
      <c r="L361" s="100"/>
      <c r="M361" s="100"/>
      <c r="N361" s="100"/>
      <c r="O361" s="100"/>
      <c r="Q361" s="899" t="s">
        <v>52</v>
      </c>
    </row>
    <row r="362" spans="2:18" ht="15" customHeight="1">
      <c r="B362" s="97" t="s">
        <v>64</v>
      </c>
      <c r="C362" s="101"/>
      <c r="D362" s="101"/>
      <c r="E362" s="101"/>
      <c r="F362" s="101"/>
      <c r="G362" s="101"/>
      <c r="H362" s="101"/>
      <c r="I362" s="101"/>
      <c r="J362" s="101"/>
      <c r="K362" s="101"/>
      <c r="L362" s="101"/>
      <c r="M362" s="101"/>
      <c r="N362" s="101"/>
      <c r="O362" s="101"/>
      <c r="Q362" s="899" t="s">
        <v>52</v>
      </c>
    </row>
    <row r="363" spans="2:18" ht="15" customHeight="1">
      <c r="B363" s="97" t="s">
        <v>65</v>
      </c>
      <c r="C363" s="100"/>
      <c r="D363" s="100"/>
      <c r="E363" s="100"/>
      <c r="F363" s="100"/>
      <c r="G363" s="100"/>
      <c r="H363" s="100"/>
      <c r="I363" s="100"/>
      <c r="J363" s="100"/>
      <c r="K363" s="100"/>
      <c r="L363" s="100"/>
      <c r="M363" s="100"/>
      <c r="N363" s="100"/>
      <c r="O363" s="100"/>
      <c r="Q363" s="899" t="s">
        <v>52</v>
      </c>
      <c r="R363" s="68" t="s">
        <v>69</v>
      </c>
    </row>
    <row r="364" spans="2:18" ht="15" customHeight="1">
      <c r="B364" s="99" t="s">
        <v>23</v>
      </c>
      <c r="C364" s="102"/>
      <c r="D364" s="102"/>
      <c r="E364" s="102"/>
      <c r="F364" s="102"/>
      <c r="G364" s="102"/>
      <c r="H364" s="102"/>
      <c r="I364" s="102"/>
      <c r="J364" s="102"/>
      <c r="K364" s="102"/>
      <c r="L364" s="102"/>
      <c r="M364" s="102"/>
      <c r="N364" s="102"/>
      <c r="O364" s="102"/>
      <c r="Q364" s="899" t="s">
        <v>52</v>
      </c>
    </row>
    <row r="365" spans="2:18" ht="15" customHeight="1">
      <c r="B365" s="99" t="s">
        <v>62</v>
      </c>
      <c r="C365" s="102"/>
      <c r="D365" s="102"/>
      <c r="E365" s="102"/>
      <c r="F365" s="102"/>
      <c r="G365" s="102"/>
      <c r="H365" s="102"/>
      <c r="I365" s="102"/>
      <c r="J365" s="102"/>
      <c r="K365" s="102"/>
      <c r="L365" s="102"/>
      <c r="M365" s="102"/>
      <c r="N365" s="102"/>
      <c r="O365" s="102"/>
      <c r="Q365" s="899" t="s">
        <v>52</v>
      </c>
    </row>
    <row r="366" spans="2:18" ht="15" customHeight="1">
      <c r="B366" s="97" t="s">
        <v>63</v>
      </c>
      <c r="C366" s="100"/>
      <c r="D366" s="100"/>
      <c r="E366" s="100"/>
      <c r="F366" s="100"/>
      <c r="G366" s="100"/>
      <c r="H366" s="100"/>
      <c r="I366" s="100"/>
      <c r="J366" s="100"/>
      <c r="K366" s="100"/>
      <c r="L366" s="100"/>
      <c r="M366" s="100"/>
      <c r="N366" s="100"/>
      <c r="O366" s="100"/>
      <c r="Q366" s="899" t="s">
        <v>52</v>
      </c>
    </row>
    <row r="367" spans="2:18" ht="15" customHeight="1">
      <c r="B367" s="97" t="s">
        <v>64</v>
      </c>
      <c r="C367" s="101"/>
      <c r="D367" s="101"/>
      <c r="E367" s="101"/>
      <c r="F367" s="101"/>
      <c r="G367" s="101"/>
      <c r="H367" s="101"/>
      <c r="I367" s="101"/>
      <c r="J367" s="101"/>
      <c r="K367" s="101"/>
      <c r="L367" s="101"/>
      <c r="M367" s="101"/>
      <c r="N367" s="101"/>
      <c r="O367" s="101"/>
      <c r="Q367" s="899" t="s">
        <v>52</v>
      </c>
    </row>
    <row r="368" spans="2:18" ht="15" customHeight="1">
      <c r="B368" s="97" t="s">
        <v>65</v>
      </c>
      <c r="C368" s="100"/>
      <c r="D368" s="100"/>
      <c r="E368" s="100"/>
      <c r="F368" s="100"/>
      <c r="G368" s="100"/>
      <c r="H368" s="100"/>
      <c r="I368" s="100"/>
      <c r="J368" s="100"/>
      <c r="K368" s="100"/>
      <c r="L368" s="100"/>
      <c r="M368" s="100"/>
      <c r="N368" s="100"/>
      <c r="O368" s="100"/>
      <c r="Q368" s="899" t="s">
        <v>52</v>
      </c>
      <c r="R368" s="68" t="s">
        <v>70</v>
      </c>
    </row>
    <row r="369" spans="2:18" ht="15" customHeight="1">
      <c r="B369" s="99" t="s">
        <v>67</v>
      </c>
      <c r="C369" s="102"/>
      <c r="D369" s="102"/>
      <c r="E369" s="102"/>
      <c r="F369" s="102"/>
      <c r="G369" s="102"/>
      <c r="H369" s="102"/>
      <c r="I369" s="102"/>
      <c r="J369" s="102"/>
      <c r="K369" s="102"/>
      <c r="L369" s="102"/>
      <c r="M369" s="102"/>
      <c r="N369" s="102"/>
      <c r="O369" s="102"/>
      <c r="Q369" s="899" t="s">
        <v>52</v>
      </c>
    </row>
    <row r="370" spans="2:18" ht="15" customHeight="1">
      <c r="B370" s="97" t="s">
        <v>63</v>
      </c>
      <c r="C370" s="100"/>
      <c r="D370" s="100"/>
      <c r="E370" s="100"/>
      <c r="F370" s="100"/>
      <c r="G370" s="100"/>
      <c r="H370" s="100"/>
      <c r="I370" s="100"/>
      <c r="J370" s="100"/>
      <c r="K370" s="100"/>
      <c r="L370" s="100"/>
      <c r="M370" s="100"/>
      <c r="N370" s="100"/>
      <c r="O370" s="100"/>
      <c r="Q370" s="899" t="s">
        <v>52</v>
      </c>
    </row>
    <row r="371" spans="2:18" ht="15" customHeight="1">
      <c r="B371" s="97" t="s">
        <v>64</v>
      </c>
      <c r="C371" s="101"/>
      <c r="D371" s="101"/>
      <c r="E371" s="101"/>
      <c r="F371" s="101"/>
      <c r="G371" s="101"/>
      <c r="H371" s="101"/>
      <c r="I371" s="101"/>
      <c r="J371" s="101"/>
      <c r="K371" s="101"/>
      <c r="L371" s="101"/>
      <c r="M371" s="101"/>
      <c r="N371" s="101"/>
      <c r="O371" s="101"/>
      <c r="Q371" s="899" t="s">
        <v>52</v>
      </c>
    </row>
    <row r="372" spans="2:18" ht="15" customHeight="1">
      <c r="B372" s="97" t="s">
        <v>65</v>
      </c>
      <c r="C372" s="100"/>
      <c r="D372" s="100"/>
      <c r="E372" s="100"/>
      <c r="F372" s="100"/>
      <c r="G372" s="100"/>
      <c r="H372" s="100"/>
      <c r="I372" s="100"/>
      <c r="J372" s="100"/>
      <c r="K372" s="100"/>
      <c r="L372" s="100"/>
      <c r="M372" s="100"/>
      <c r="N372" s="100"/>
      <c r="O372" s="100"/>
      <c r="Q372" s="899" t="s">
        <v>52</v>
      </c>
      <c r="R372" s="68" t="s">
        <v>71</v>
      </c>
    </row>
    <row r="373" spans="2:18" ht="15" customHeight="1">
      <c r="B373" s="99" t="s">
        <v>40</v>
      </c>
      <c r="C373" s="102"/>
      <c r="D373" s="102"/>
      <c r="E373" s="102"/>
      <c r="F373" s="102"/>
      <c r="G373" s="102"/>
      <c r="H373" s="102"/>
      <c r="I373" s="102"/>
      <c r="J373" s="102"/>
      <c r="K373" s="102"/>
      <c r="L373" s="102"/>
      <c r="M373" s="102"/>
      <c r="N373" s="102"/>
      <c r="O373" s="102"/>
      <c r="Q373" s="899" t="s">
        <v>52</v>
      </c>
    </row>
    <row r="374" spans="2:18" ht="15" customHeight="1">
      <c r="B374" s="97" t="s">
        <v>63</v>
      </c>
      <c r="C374" s="100"/>
      <c r="D374" s="100"/>
      <c r="E374" s="100"/>
      <c r="F374" s="100"/>
      <c r="G374" s="100"/>
      <c r="H374" s="100"/>
      <c r="I374" s="100"/>
      <c r="J374" s="100"/>
      <c r="K374" s="100"/>
      <c r="L374" s="100"/>
      <c r="M374" s="100"/>
      <c r="N374" s="100"/>
      <c r="O374" s="100"/>
      <c r="Q374" s="899" t="s">
        <v>52</v>
      </c>
    </row>
    <row r="375" spans="2:18" ht="15" customHeight="1">
      <c r="B375" s="97" t="s">
        <v>64</v>
      </c>
      <c r="C375" s="101"/>
      <c r="D375" s="101"/>
      <c r="E375" s="101"/>
      <c r="F375" s="101"/>
      <c r="G375" s="101"/>
      <c r="H375" s="101"/>
      <c r="I375" s="101"/>
      <c r="J375" s="101"/>
      <c r="K375" s="101"/>
      <c r="L375" s="101"/>
      <c r="M375" s="101"/>
      <c r="N375" s="101"/>
      <c r="O375" s="101"/>
      <c r="Q375" s="899" t="s">
        <v>52</v>
      </c>
    </row>
    <row r="376" spans="2:18" ht="15" customHeight="1">
      <c r="B376" s="97" t="s">
        <v>65</v>
      </c>
      <c r="C376" s="100"/>
      <c r="D376" s="100"/>
      <c r="E376" s="100"/>
      <c r="F376" s="100"/>
      <c r="G376" s="100"/>
      <c r="H376" s="100"/>
      <c r="I376" s="100"/>
      <c r="J376" s="100"/>
      <c r="K376" s="100"/>
      <c r="L376" s="100"/>
      <c r="M376" s="100"/>
      <c r="N376" s="100"/>
      <c r="O376" s="100"/>
      <c r="Q376" s="899" t="s">
        <v>52</v>
      </c>
      <c r="R376" s="68" t="s">
        <v>72</v>
      </c>
    </row>
    <row r="378" spans="2:18" ht="15" customHeight="1" thickBot="1">
      <c r="B378" s="75" t="s">
        <v>85</v>
      </c>
      <c r="C378" s="75"/>
      <c r="D378" s="75"/>
      <c r="E378" s="163" t="s">
        <v>86</v>
      </c>
    </row>
    <row r="380" spans="2:18" ht="15" customHeight="1">
      <c r="B380" s="74" t="s">
        <v>23</v>
      </c>
      <c r="C380" s="74" t="s">
        <v>36</v>
      </c>
      <c r="D380" s="74" t="s">
        <v>698</v>
      </c>
      <c r="E380" s="74" t="s">
        <v>699</v>
      </c>
      <c r="F380" s="74" t="s">
        <v>700</v>
      </c>
      <c r="G380" s="74" t="s">
        <v>701</v>
      </c>
      <c r="H380" s="74" t="s">
        <v>702</v>
      </c>
      <c r="I380" s="74" t="s">
        <v>703</v>
      </c>
      <c r="J380" s="74" t="s">
        <v>704</v>
      </c>
      <c r="K380" s="74" t="s">
        <v>705</v>
      </c>
      <c r="L380" s="74" t="s">
        <v>706</v>
      </c>
      <c r="M380" s="74" t="s">
        <v>707</v>
      </c>
      <c r="N380" s="74" t="s">
        <v>708</v>
      </c>
      <c r="O380" s="74" t="s">
        <v>709</v>
      </c>
    </row>
    <row r="381" spans="2:18" ht="15" customHeight="1">
      <c r="B381" s="74" t="s">
        <v>37</v>
      </c>
      <c r="C381" s="74">
        <v>-1</v>
      </c>
      <c r="D381" s="74">
        <v>1</v>
      </c>
      <c r="E381" s="74">
        <v>2</v>
      </c>
      <c r="F381" s="74">
        <v>3</v>
      </c>
      <c r="G381" s="74">
        <v>4</v>
      </c>
      <c r="H381" s="74">
        <v>5</v>
      </c>
      <c r="I381" s="74">
        <v>6</v>
      </c>
      <c r="J381" s="74">
        <v>7</v>
      </c>
      <c r="K381" s="74">
        <v>8</v>
      </c>
      <c r="L381" s="74">
        <v>9</v>
      </c>
      <c r="M381" s="74">
        <v>10</v>
      </c>
      <c r="N381" s="74">
        <v>11</v>
      </c>
      <c r="O381" s="74">
        <v>12</v>
      </c>
    </row>
    <row r="382" spans="2:18" ht="15" customHeight="1">
      <c r="B382" s="99" t="s">
        <v>61</v>
      </c>
      <c r="C382" s="102"/>
      <c r="D382" s="102"/>
      <c r="E382" s="102"/>
      <c r="F382" s="102"/>
      <c r="G382" s="102"/>
      <c r="H382" s="102"/>
      <c r="I382" s="102"/>
      <c r="J382" s="102"/>
      <c r="K382" s="102"/>
      <c r="L382" s="102"/>
      <c r="M382" s="102"/>
      <c r="N382" s="102"/>
      <c r="O382" s="102"/>
      <c r="Q382" s="900"/>
    </row>
    <row r="383" spans="2:18" ht="15" customHeight="1">
      <c r="B383" s="99" t="s">
        <v>62</v>
      </c>
      <c r="C383" s="102"/>
      <c r="D383" s="102"/>
      <c r="E383" s="102"/>
      <c r="F383" s="102"/>
      <c r="G383" s="102"/>
      <c r="H383" s="102"/>
      <c r="I383" s="102"/>
      <c r="J383" s="102"/>
      <c r="K383" s="102"/>
      <c r="L383" s="102"/>
      <c r="M383" s="102"/>
      <c r="N383" s="102"/>
      <c r="O383" s="102"/>
      <c r="Q383" s="900"/>
    </row>
    <row r="384" spans="2:18" ht="15" customHeight="1">
      <c r="B384" s="97" t="s">
        <v>63</v>
      </c>
      <c r="C384" s="100"/>
      <c r="D384" s="100"/>
      <c r="E384" s="100"/>
      <c r="F384" s="100"/>
      <c r="G384" s="100"/>
      <c r="H384" s="100"/>
      <c r="I384" s="100"/>
      <c r="J384" s="100"/>
      <c r="K384" s="100"/>
      <c r="L384" s="100"/>
      <c r="M384" s="100"/>
      <c r="N384" s="100"/>
      <c r="O384" s="100"/>
      <c r="Q384" s="899" t="s">
        <v>85</v>
      </c>
    </row>
    <row r="385" spans="2:18" ht="15" customHeight="1">
      <c r="B385" s="97" t="s">
        <v>64</v>
      </c>
      <c r="C385" s="101"/>
      <c r="D385" s="101"/>
      <c r="E385" s="101"/>
      <c r="F385" s="101"/>
      <c r="G385" s="101"/>
      <c r="H385" s="101"/>
      <c r="I385" s="101"/>
      <c r="J385" s="101"/>
      <c r="K385" s="101"/>
      <c r="L385" s="101"/>
      <c r="M385" s="101"/>
      <c r="N385" s="101"/>
      <c r="O385" s="101"/>
      <c r="Q385" s="899" t="s">
        <v>85</v>
      </c>
    </row>
    <row r="386" spans="2:18" ht="15" customHeight="1">
      <c r="B386" s="97" t="s">
        <v>65</v>
      </c>
      <c r="C386" s="100"/>
      <c r="D386" s="100"/>
      <c r="E386" s="100"/>
      <c r="F386" s="100"/>
      <c r="G386" s="100"/>
      <c r="H386" s="100"/>
      <c r="I386" s="100"/>
      <c r="J386" s="100"/>
      <c r="K386" s="100"/>
      <c r="L386" s="100"/>
      <c r="M386" s="100"/>
      <c r="N386" s="100"/>
      <c r="O386" s="100"/>
      <c r="Q386" s="899" t="s">
        <v>85</v>
      </c>
      <c r="R386" s="68" t="s">
        <v>66</v>
      </c>
    </row>
    <row r="387" spans="2:18" ht="15" customHeight="1">
      <c r="B387" s="99" t="s">
        <v>67</v>
      </c>
      <c r="C387" s="102"/>
      <c r="D387" s="102"/>
      <c r="E387" s="102"/>
      <c r="F387" s="102"/>
      <c r="G387" s="102"/>
      <c r="H387" s="102"/>
      <c r="I387" s="102"/>
      <c r="J387" s="102"/>
      <c r="K387" s="102"/>
      <c r="L387" s="102"/>
      <c r="M387" s="102"/>
      <c r="N387" s="102"/>
      <c r="O387" s="102"/>
      <c r="Q387" s="899" t="s">
        <v>85</v>
      </c>
    </row>
    <row r="388" spans="2:18" ht="15" customHeight="1">
      <c r="B388" s="97" t="s">
        <v>63</v>
      </c>
      <c r="C388" s="100"/>
      <c r="D388" s="100"/>
      <c r="E388" s="100"/>
      <c r="F388" s="100"/>
      <c r="G388" s="100"/>
      <c r="H388" s="100"/>
      <c r="I388" s="100"/>
      <c r="J388" s="100"/>
      <c r="K388" s="100"/>
      <c r="L388" s="100"/>
      <c r="M388" s="100"/>
      <c r="N388" s="100"/>
      <c r="O388" s="100"/>
      <c r="Q388" s="899" t="s">
        <v>85</v>
      </c>
    </row>
    <row r="389" spans="2:18" ht="15" customHeight="1">
      <c r="B389" s="97" t="s">
        <v>64</v>
      </c>
      <c r="C389" s="101"/>
      <c r="D389" s="101"/>
      <c r="E389" s="101"/>
      <c r="F389" s="101"/>
      <c r="G389" s="101"/>
      <c r="H389" s="101"/>
      <c r="I389" s="101"/>
      <c r="J389" s="101"/>
      <c r="K389" s="101"/>
      <c r="L389" s="101"/>
      <c r="M389" s="101"/>
      <c r="N389" s="101"/>
      <c r="O389" s="101"/>
      <c r="Q389" s="899" t="s">
        <v>85</v>
      </c>
    </row>
    <row r="390" spans="2:18" ht="15" customHeight="1">
      <c r="B390" s="97" t="s">
        <v>65</v>
      </c>
      <c r="C390" s="100"/>
      <c r="D390" s="100"/>
      <c r="E390" s="100"/>
      <c r="F390" s="100"/>
      <c r="G390" s="100"/>
      <c r="H390" s="100"/>
      <c r="I390" s="100"/>
      <c r="J390" s="100"/>
      <c r="K390" s="100"/>
      <c r="L390" s="100"/>
      <c r="M390" s="100"/>
      <c r="N390" s="100"/>
      <c r="O390" s="100"/>
      <c r="Q390" s="899" t="s">
        <v>85</v>
      </c>
      <c r="R390" s="68" t="s">
        <v>68</v>
      </c>
    </row>
    <row r="391" spans="2:18" ht="15" customHeight="1">
      <c r="B391" s="99" t="s">
        <v>40</v>
      </c>
      <c r="C391" s="102"/>
      <c r="D391" s="102"/>
      <c r="E391" s="102"/>
      <c r="F391" s="102"/>
      <c r="G391" s="102"/>
      <c r="H391" s="102"/>
      <c r="I391" s="102"/>
      <c r="J391" s="102"/>
      <c r="K391" s="102"/>
      <c r="L391" s="102"/>
      <c r="M391" s="102"/>
      <c r="N391" s="102"/>
      <c r="O391" s="102"/>
      <c r="Q391" s="899" t="s">
        <v>85</v>
      </c>
    </row>
    <row r="392" spans="2:18" ht="15" customHeight="1">
      <c r="B392" s="97" t="s">
        <v>63</v>
      </c>
      <c r="C392" s="100"/>
      <c r="D392" s="100"/>
      <c r="E392" s="100"/>
      <c r="F392" s="100"/>
      <c r="G392" s="100"/>
      <c r="H392" s="100"/>
      <c r="I392" s="100"/>
      <c r="J392" s="100"/>
      <c r="K392" s="100"/>
      <c r="L392" s="100"/>
      <c r="M392" s="100"/>
      <c r="N392" s="100"/>
      <c r="O392" s="100"/>
      <c r="Q392" s="899" t="s">
        <v>85</v>
      </c>
    </row>
    <row r="393" spans="2:18" ht="15" customHeight="1">
      <c r="B393" s="97" t="s">
        <v>64</v>
      </c>
      <c r="C393" s="101"/>
      <c r="D393" s="101"/>
      <c r="E393" s="101"/>
      <c r="F393" s="101"/>
      <c r="G393" s="101"/>
      <c r="H393" s="101"/>
      <c r="I393" s="101"/>
      <c r="J393" s="101"/>
      <c r="K393" s="101"/>
      <c r="L393" s="101"/>
      <c r="M393" s="101"/>
      <c r="N393" s="101"/>
      <c r="O393" s="101"/>
      <c r="Q393" s="899" t="s">
        <v>85</v>
      </c>
    </row>
    <row r="394" spans="2:18" ht="15" customHeight="1">
      <c r="B394" s="97" t="s">
        <v>65</v>
      </c>
      <c r="C394" s="100"/>
      <c r="D394" s="100"/>
      <c r="E394" s="100"/>
      <c r="F394" s="100"/>
      <c r="G394" s="100"/>
      <c r="H394" s="100"/>
      <c r="I394" s="100"/>
      <c r="J394" s="100"/>
      <c r="K394" s="100"/>
      <c r="L394" s="100"/>
      <c r="M394" s="100"/>
      <c r="N394" s="100"/>
      <c r="O394" s="100"/>
      <c r="Q394" s="899" t="s">
        <v>85</v>
      </c>
      <c r="R394" s="68" t="s">
        <v>69</v>
      </c>
    </row>
    <row r="395" spans="2:18" ht="15" customHeight="1">
      <c r="B395" s="99" t="s">
        <v>23</v>
      </c>
      <c r="C395" s="102"/>
      <c r="D395" s="102"/>
      <c r="E395" s="102"/>
      <c r="F395" s="102"/>
      <c r="G395" s="102"/>
      <c r="H395" s="102"/>
      <c r="I395" s="102"/>
      <c r="J395" s="102"/>
      <c r="K395" s="102"/>
      <c r="L395" s="102"/>
      <c r="M395" s="102"/>
      <c r="N395" s="102"/>
      <c r="O395" s="102"/>
      <c r="Q395" s="899" t="s">
        <v>85</v>
      </c>
    </row>
    <row r="396" spans="2:18" ht="15" customHeight="1">
      <c r="B396" s="99" t="s">
        <v>62</v>
      </c>
      <c r="C396" s="102"/>
      <c r="D396" s="102"/>
      <c r="E396" s="102"/>
      <c r="F396" s="102"/>
      <c r="G396" s="102"/>
      <c r="H396" s="102"/>
      <c r="I396" s="102"/>
      <c r="J396" s="102"/>
      <c r="K396" s="102"/>
      <c r="L396" s="102"/>
      <c r="M396" s="102"/>
      <c r="N396" s="102"/>
      <c r="O396" s="102"/>
      <c r="Q396" s="899" t="s">
        <v>85</v>
      </c>
    </row>
    <row r="397" spans="2:18" ht="15" customHeight="1">
      <c r="B397" s="97" t="s">
        <v>63</v>
      </c>
      <c r="C397" s="100"/>
      <c r="D397" s="100"/>
      <c r="E397" s="100"/>
      <c r="F397" s="100"/>
      <c r="G397" s="100"/>
      <c r="H397" s="100"/>
      <c r="I397" s="100"/>
      <c r="J397" s="100"/>
      <c r="K397" s="100"/>
      <c r="L397" s="100"/>
      <c r="M397" s="100"/>
      <c r="N397" s="100"/>
      <c r="O397" s="100"/>
      <c r="Q397" s="899" t="s">
        <v>85</v>
      </c>
    </row>
    <row r="398" spans="2:18" ht="15" customHeight="1">
      <c r="B398" s="97" t="s">
        <v>64</v>
      </c>
      <c r="C398" s="101"/>
      <c r="D398" s="101"/>
      <c r="E398" s="101"/>
      <c r="F398" s="101"/>
      <c r="G398" s="101"/>
      <c r="H398" s="101"/>
      <c r="I398" s="101"/>
      <c r="J398" s="101"/>
      <c r="K398" s="101"/>
      <c r="L398" s="101"/>
      <c r="M398" s="101"/>
      <c r="N398" s="101"/>
      <c r="O398" s="101"/>
      <c r="Q398" s="899" t="s">
        <v>85</v>
      </c>
    </row>
    <row r="399" spans="2:18" ht="15" customHeight="1">
      <c r="B399" s="97" t="s">
        <v>65</v>
      </c>
      <c r="C399" s="100"/>
      <c r="D399" s="100"/>
      <c r="E399" s="100"/>
      <c r="F399" s="100"/>
      <c r="G399" s="100"/>
      <c r="H399" s="100"/>
      <c r="I399" s="100"/>
      <c r="J399" s="100"/>
      <c r="K399" s="100"/>
      <c r="L399" s="100"/>
      <c r="M399" s="100"/>
      <c r="N399" s="100"/>
      <c r="O399" s="100"/>
      <c r="Q399" s="899" t="s">
        <v>85</v>
      </c>
      <c r="R399" s="68" t="s">
        <v>70</v>
      </c>
    </row>
    <row r="400" spans="2:18" ht="15" customHeight="1">
      <c r="B400" s="99" t="s">
        <v>67</v>
      </c>
      <c r="C400" s="102"/>
      <c r="D400" s="102"/>
      <c r="E400" s="102"/>
      <c r="F400" s="102"/>
      <c r="G400" s="102"/>
      <c r="H400" s="102"/>
      <c r="I400" s="102"/>
      <c r="J400" s="102"/>
      <c r="K400" s="102"/>
      <c r="L400" s="102"/>
      <c r="M400" s="102"/>
      <c r="N400" s="102"/>
      <c r="O400" s="102"/>
      <c r="Q400" s="899" t="s">
        <v>85</v>
      </c>
    </row>
    <row r="401" spans="2:18" ht="15" customHeight="1">
      <c r="B401" s="97" t="s">
        <v>63</v>
      </c>
      <c r="C401" s="100"/>
      <c r="D401" s="100"/>
      <c r="E401" s="100"/>
      <c r="F401" s="100"/>
      <c r="G401" s="100"/>
      <c r="H401" s="100"/>
      <c r="I401" s="100"/>
      <c r="J401" s="100"/>
      <c r="K401" s="100"/>
      <c r="L401" s="100"/>
      <c r="M401" s="100"/>
      <c r="N401" s="100"/>
      <c r="O401" s="100"/>
      <c r="Q401" s="899" t="s">
        <v>85</v>
      </c>
    </row>
    <row r="402" spans="2:18" ht="15" customHeight="1">
      <c r="B402" s="97" t="s">
        <v>64</v>
      </c>
      <c r="C402" s="101"/>
      <c r="D402" s="101"/>
      <c r="E402" s="101"/>
      <c r="F402" s="101"/>
      <c r="G402" s="101"/>
      <c r="H402" s="101"/>
      <c r="I402" s="101"/>
      <c r="J402" s="101"/>
      <c r="K402" s="101"/>
      <c r="L402" s="101"/>
      <c r="M402" s="101"/>
      <c r="N402" s="101"/>
      <c r="O402" s="101"/>
      <c r="Q402" s="899" t="s">
        <v>85</v>
      </c>
    </row>
    <row r="403" spans="2:18" ht="15" customHeight="1">
      <c r="B403" s="97" t="s">
        <v>65</v>
      </c>
      <c r="C403" s="100"/>
      <c r="D403" s="100"/>
      <c r="E403" s="100"/>
      <c r="F403" s="100"/>
      <c r="G403" s="100"/>
      <c r="H403" s="100"/>
      <c r="I403" s="100"/>
      <c r="J403" s="100"/>
      <c r="K403" s="100"/>
      <c r="L403" s="100"/>
      <c r="M403" s="100"/>
      <c r="N403" s="100"/>
      <c r="O403" s="100"/>
      <c r="Q403" s="899" t="s">
        <v>85</v>
      </c>
      <c r="R403" s="68" t="s">
        <v>71</v>
      </c>
    </row>
    <row r="404" spans="2:18" ht="15" customHeight="1">
      <c r="B404" s="99" t="s">
        <v>40</v>
      </c>
      <c r="C404" s="102"/>
      <c r="D404" s="102"/>
      <c r="E404" s="102"/>
      <c r="F404" s="102"/>
      <c r="G404" s="102"/>
      <c r="H404" s="102"/>
      <c r="I404" s="102"/>
      <c r="J404" s="102"/>
      <c r="K404" s="102"/>
      <c r="L404" s="102"/>
      <c r="M404" s="102"/>
      <c r="N404" s="102"/>
      <c r="O404" s="102"/>
      <c r="Q404" s="899" t="s">
        <v>85</v>
      </c>
    </row>
    <row r="405" spans="2:18" ht="15" customHeight="1">
      <c r="B405" s="97" t="s">
        <v>63</v>
      </c>
      <c r="C405" s="100"/>
      <c r="D405" s="100"/>
      <c r="E405" s="100"/>
      <c r="F405" s="100"/>
      <c r="G405" s="100"/>
      <c r="H405" s="100"/>
      <c r="I405" s="100"/>
      <c r="J405" s="100"/>
      <c r="K405" s="100"/>
      <c r="L405" s="100"/>
      <c r="M405" s="100"/>
      <c r="N405" s="100"/>
      <c r="O405" s="100"/>
      <c r="Q405" s="899" t="s">
        <v>85</v>
      </c>
    </row>
    <row r="406" spans="2:18" ht="15" customHeight="1">
      <c r="B406" s="97" t="s">
        <v>64</v>
      </c>
      <c r="C406" s="101"/>
      <c r="D406" s="101"/>
      <c r="E406" s="101"/>
      <c r="F406" s="101"/>
      <c r="G406" s="101"/>
      <c r="H406" s="101"/>
      <c r="I406" s="101"/>
      <c r="J406" s="101"/>
      <c r="K406" s="101"/>
      <c r="L406" s="101"/>
      <c r="M406" s="101"/>
      <c r="N406" s="101"/>
      <c r="O406" s="101"/>
      <c r="Q406" s="899" t="s">
        <v>85</v>
      </c>
    </row>
    <row r="407" spans="2:18" ht="15" customHeight="1">
      <c r="B407" s="97" t="s">
        <v>65</v>
      </c>
      <c r="C407" s="100"/>
      <c r="D407" s="100"/>
      <c r="E407" s="100"/>
      <c r="F407" s="100"/>
      <c r="G407" s="100"/>
      <c r="H407" s="100"/>
      <c r="I407" s="100"/>
      <c r="J407" s="100"/>
      <c r="K407" s="100"/>
      <c r="L407" s="100"/>
      <c r="M407" s="100"/>
      <c r="N407" s="100"/>
      <c r="O407" s="100"/>
      <c r="Q407" s="899" t="s">
        <v>85</v>
      </c>
      <c r="R407" s="68" t="s">
        <v>72</v>
      </c>
    </row>
    <row r="409" spans="2:18" ht="15" customHeight="1" thickBot="1">
      <c r="B409" s="75" t="s">
        <v>53</v>
      </c>
      <c r="C409" s="75"/>
      <c r="D409" s="75"/>
      <c r="E409" s="163" t="s">
        <v>87</v>
      </c>
    </row>
    <row r="411" spans="2:18" ht="15" customHeight="1">
      <c r="B411" s="74" t="s">
        <v>23</v>
      </c>
      <c r="C411" s="74" t="s">
        <v>36</v>
      </c>
      <c r="D411" s="74" t="s">
        <v>698</v>
      </c>
      <c r="E411" s="74" t="s">
        <v>699</v>
      </c>
      <c r="F411" s="74" t="s">
        <v>700</v>
      </c>
      <c r="G411" s="74" t="s">
        <v>701</v>
      </c>
      <c r="H411" s="74" t="s">
        <v>702</v>
      </c>
      <c r="I411" s="74" t="s">
        <v>703</v>
      </c>
      <c r="J411" s="74" t="s">
        <v>704</v>
      </c>
      <c r="K411" s="74" t="s">
        <v>705</v>
      </c>
      <c r="L411" s="74" t="s">
        <v>706</v>
      </c>
      <c r="M411" s="74" t="s">
        <v>707</v>
      </c>
      <c r="N411" s="74" t="s">
        <v>708</v>
      </c>
      <c r="O411" s="74" t="s">
        <v>709</v>
      </c>
    </row>
    <row r="412" spans="2:18" ht="15" customHeight="1">
      <c r="B412" s="74" t="s">
        <v>37</v>
      </c>
      <c r="C412" s="74">
        <v>-1</v>
      </c>
      <c r="D412" s="74">
        <v>1</v>
      </c>
      <c r="E412" s="74">
        <v>2</v>
      </c>
      <c r="F412" s="74">
        <v>3</v>
      </c>
      <c r="G412" s="74">
        <v>4</v>
      </c>
      <c r="H412" s="74">
        <v>5</v>
      </c>
      <c r="I412" s="74">
        <v>6</v>
      </c>
      <c r="J412" s="74">
        <v>7</v>
      </c>
      <c r="K412" s="74">
        <v>8</v>
      </c>
      <c r="L412" s="74">
        <v>9</v>
      </c>
      <c r="M412" s="74">
        <v>10</v>
      </c>
      <c r="N412" s="74">
        <v>11</v>
      </c>
      <c r="O412" s="74">
        <v>12</v>
      </c>
    </row>
    <row r="413" spans="2:18" ht="15" customHeight="1">
      <c r="B413" s="99" t="s">
        <v>61</v>
      </c>
      <c r="C413" s="102"/>
      <c r="D413" s="102"/>
      <c r="E413" s="102"/>
      <c r="F413" s="102"/>
      <c r="G413" s="102"/>
      <c r="H413" s="102"/>
      <c r="I413" s="102"/>
      <c r="J413" s="102"/>
      <c r="K413" s="102"/>
      <c r="L413" s="102"/>
      <c r="M413" s="102"/>
      <c r="N413" s="102"/>
      <c r="O413" s="102"/>
      <c r="Q413" s="900"/>
    </row>
    <row r="414" spans="2:18" ht="15" customHeight="1">
      <c r="B414" s="99" t="s">
        <v>62</v>
      </c>
      <c r="C414" s="102"/>
      <c r="D414" s="102"/>
      <c r="E414" s="102"/>
      <c r="F414" s="102"/>
      <c r="G414" s="102"/>
      <c r="H414" s="102"/>
      <c r="I414" s="102"/>
      <c r="J414" s="102"/>
      <c r="K414" s="102"/>
      <c r="L414" s="102"/>
      <c r="M414" s="102"/>
      <c r="N414" s="102"/>
      <c r="O414" s="102"/>
      <c r="Q414" s="900"/>
    </row>
    <row r="415" spans="2:18" ht="15" customHeight="1">
      <c r="B415" s="97" t="s">
        <v>63</v>
      </c>
      <c r="C415" s="100"/>
      <c r="D415" s="100"/>
      <c r="E415" s="100"/>
      <c r="F415" s="100"/>
      <c r="G415" s="100"/>
      <c r="H415" s="100"/>
      <c r="I415" s="100"/>
      <c r="J415" s="100"/>
      <c r="K415" s="100"/>
      <c r="L415" s="100"/>
      <c r="M415" s="100"/>
      <c r="N415" s="100"/>
      <c r="O415" s="100"/>
      <c r="Q415" s="899" t="s">
        <v>53</v>
      </c>
    </row>
    <row r="416" spans="2:18" ht="15" customHeight="1">
      <c r="B416" s="97" t="s">
        <v>64</v>
      </c>
      <c r="C416" s="101"/>
      <c r="D416" s="101"/>
      <c r="E416" s="101"/>
      <c r="F416" s="101"/>
      <c r="G416" s="101"/>
      <c r="H416" s="101"/>
      <c r="I416" s="101"/>
      <c r="J416" s="101"/>
      <c r="K416" s="101"/>
      <c r="L416" s="101"/>
      <c r="M416" s="101"/>
      <c r="N416" s="101"/>
      <c r="O416" s="101"/>
      <c r="Q416" s="899" t="s">
        <v>53</v>
      </c>
    </row>
    <row r="417" spans="2:18" ht="15" customHeight="1">
      <c r="B417" s="97" t="s">
        <v>65</v>
      </c>
      <c r="C417" s="100"/>
      <c r="D417" s="100"/>
      <c r="E417" s="100"/>
      <c r="F417" s="100"/>
      <c r="G417" s="100"/>
      <c r="H417" s="100"/>
      <c r="I417" s="100"/>
      <c r="J417" s="100"/>
      <c r="K417" s="100"/>
      <c r="L417" s="100"/>
      <c r="M417" s="100"/>
      <c r="N417" s="100"/>
      <c r="O417" s="100"/>
      <c r="Q417" s="899" t="s">
        <v>53</v>
      </c>
      <c r="R417" s="68" t="s">
        <v>66</v>
      </c>
    </row>
    <row r="418" spans="2:18" ht="15" customHeight="1">
      <c r="B418" s="99" t="s">
        <v>67</v>
      </c>
      <c r="C418" s="102"/>
      <c r="D418" s="102"/>
      <c r="E418" s="102"/>
      <c r="F418" s="102"/>
      <c r="G418" s="102"/>
      <c r="H418" s="102"/>
      <c r="I418" s="102"/>
      <c r="J418" s="102"/>
      <c r="K418" s="102"/>
      <c r="L418" s="102"/>
      <c r="M418" s="102"/>
      <c r="N418" s="102"/>
      <c r="O418" s="102"/>
      <c r="Q418" s="899" t="s">
        <v>53</v>
      </c>
    </row>
    <row r="419" spans="2:18" ht="15" customHeight="1">
      <c r="B419" s="97" t="s">
        <v>63</v>
      </c>
      <c r="C419" s="100"/>
      <c r="D419" s="100"/>
      <c r="E419" s="100"/>
      <c r="F419" s="100"/>
      <c r="G419" s="100"/>
      <c r="H419" s="100"/>
      <c r="I419" s="100"/>
      <c r="J419" s="100"/>
      <c r="K419" s="100"/>
      <c r="L419" s="100"/>
      <c r="M419" s="100"/>
      <c r="N419" s="100"/>
      <c r="O419" s="100"/>
      <c r="Q419" s="899" t="s">
        <v>53</v>
      </c>
    </row>
    <row r="420" spans="2:18" ht="15" customHeight="1">
      <c r="B420" s="97" t="s">
        <v>64</v>
      </c>
      <c r="C420" s="101"/>
      <c r="D420" s="101"/>
      <c r="E420" s="101"/>
      <c r="F420" s="101"/>
      <c r="G420" s="101"/>
      <c r="H420" s="101"/>
      <c r="I420" s="101"/>
      <c r="J420" s="101"/>
      <c r="K420" s="101"/>
      <c r="L420" s="101"/>
      <c r="M420" s="101"/>
      <c r="N420" s="101"/>
      <c r="O420" s="101"/>
      <c r="Q420" s="899" t="s">
        <v>53</v>
      </c>
    </row>
    <row r="421" spans="2:18" ht="15" customHeight="1">
      <c r="B421" s="97" t="s">
        <v>65</v>
      </c>
      <c r="C421" s="100"/>
      <c r="D421" s="100"/>
      <c r="E421" s="100"/>
      <c r="F421" s="100"/>
      <c r="G421" s="100"/>
      <c r="H421" s="100"/>
      <c r="I421" s="100"/>
      <c r="J421" s="100"/>
      <c r="K421" s="100"/>
      <c r="L421" s="100"/>
      <c r="M421" s="100"/>
      <c r="N421" s="100"/>
      <c r="O421" s="100"/>
      <c r="Q421" s="899" t="s">
        <v>53</v>
      </c>
      <c r="R421" s="68" t="s">
        <v>68</v>
      </c>
    </row>
    <row r="422" spans="2:18" ht="15" customHeight="1">
      <c r="B422" s="99" t="s">
        <v>40</v>
      </c>
      <c r="C422" s="102"/>
      <c r="D422" s="102"/>
      <c r="E422" s="102"/>
      <c r="F422" s="102"/>
      <c r="G422" s="102"/>
      <c r="H422" s="102"/>
      <c r="I422" s="102"/>
      <c r="J422" s="102"/>
      <c r="K422" s="102"/>
      <c r="L422" s="102"/>
      <c r="M422" s="102"/>
      <c r="N422" s="102"/>
      <c r="O422" s="102"/>
      <c r="Q422" s="899" t="s">
        <v>53</v>
      </c>
    </row>
    <row r="423" spans="2:18" ht="15" customHeight="1">
      <c r="B423" s="97" t="s">
        <v>63</v>
      </c>
      <c r="C423" s="100"/>
      <c r="D423" s="100"/>
      <c r="E423" s="100"/>
      <c r="F423" s="100"/>
      <c r="G423" s="100"/>
      <c r="H423" s="100"/>
      <c r="I423" s="100"/>
      <c r="J423" s="100"/>
      <c r="K423" s="100"/>
      <c r="L423" s="100"/>
      <c r="M423" s="100"/>
      <c r="N423" s="100"/>
      <c r="O423" s="100"/>
      <c r="Q423" s="899" t="s">
        <v>53</v>
      </c>
    </row>
    <row r="424" spans="2:18" ht="15" customHeight="1">
      <c r="B424" s="97" t="s">
        <v>64</v>
      </c>
      <c r="C424" s="101"/>
      <c r="D424" s="101"/>
      <c r="E424" s="101"/>
      <c r="F424" s="101"/>
      <c r="G424" s="101"/>
      <c r="H424" s="101"/>
      <c r="I424" s="101"/>
      <c r="J424" s="101"/>
      <c r="K424" s="101"/>
      <c r="L424" s="101"/>
      <c r="M424" s="101"/>
      <c r="N424" s="101"/>
      <c r="O424" s="101"/>
      <c r="Q424" s="899" t="s">
        <v>53</v>
      </c>
    </row>
    <row r="425" spans="2:18" ht="15" customHeight="1">
      <c r="B425" s="97" t="s">
        <v>65</v>
      </c>
      <c r="C425" s="100"/>
      <c r="D425" s="100"/>
      <c r="E425" s="100"/>
      <c r="F425" s="100"/>
      <c r="G425" s="100"/>
      <c r="H425" s="100"/>
      <c r="I425" s="100"/>
      <c r="J425" s="100"/>
      <c r="K425" s="100"/>
      <c r="L425" s="100"/>
      <c r="M425" s="100"/>
      <c r="N425" s="100"/>
      <c r="O425" s="100"/>
      <c r="Q425" s="899" t="s">
        <v>53</v>
      </c>
      <c r="R425" s="68" t="s">
        <v>69</v>
      </c>
    </row>
    <row r="426" spans="2:18" ht="15" customHeight="1">
      <c r="B426" s="99" t="s">
        <v>23</v>
      </c>
      <c r="C426" s="102"/>
      <c r="D426" s="102"/>
      <c r="E426" s="102"/>
      <c r="F426" s="102"/>
      <c r="G426" s="102"/>
      <c r="H426" s="102"/>
      <c r="I426" s="102"/>
      <c r="J426" s="102"/>
      <c r="K426" s="102"/>
      <c r="L426" s="102"/>
      <c r="M426" s="102"/>
      <c r="N426" s="102"/>
      <c r="O426" s="102"/>
      <c r="Q426" s="899" t="s">
        <v>53</v>
      </c>
    </row>
    <row r="427" spans="2:18" ht="15" customHeight="1">
      <c r="B427" s="99" t="s">
        <v>62</v>
      </c>
      <c r="C427" s="102"/>
      <c r="D427" s="102"/>
      <c r="E427" s="102"/>
      <c r="F427" s="102"/>
      <c r="G427" s="102"/>
      <c r="H427" s="102"/>
      <c r="I427" s="102"/>
      <c r="J427" s="102"/>
      <c r="K427" s="102"/>
      <c r="L427" s="102"/>
      <c r="M427" s="102"/>
      <c r="N427" s="102"/>
      <c r="O427" s="102"/>
      <c r="Q427" s="899" t="s">
        <v>53</v>
      </c>
    </row>
    <row r="428" spans="2:18" ht="15" customHeight="1">
      <c r="B428" s="97" t="s">
        <v>63</v>
      </c>
      <c r="C428" s="100"/>
      <c r="D428" s="100"/>
      <c r="E428" s="100"/>
      <c r="F428" s="100"/>
      <c r="G428" s="100"/>
      <c r="H428" s="100"/>
      <c r="I428" s="100"/>
      <c r="J428" s="100"/>
      <c r="K428" s="100"/>
      <c r="L428" s="100"/>
      <c r="M428" s="100"/>
      <c r="N428" s="100"/>
      <c r="O428" s="100"/>
      <c r="Q428" s="899" t="s">
        <v>53</v>
      </c>
    </row>
    <row r="429" spans="2:18" ht="15" customHeight="1">
      <c r="B429" s="97" t="s">
        <v>64</v>
      </c>
      <c r="C429" s="101"/>
      <c r="D429" s="101"/>
      <c r="E429" s="101"/>
      <c r="F429" s="101"/>
      <c r="G429" s="101"/>
      <c r="H429" s="101"/>
      <c r="I429" s="101"/>
      <c r="J429" s="101"/>
      <c r="K429" s="101"/>
      <c r="L429" s="101"/>
      <c r="M429" s="101"/>
      <c r="N429" s="101"/>
      <c r="O429" s="101"/>
      <c r="Q429" s="899" t="s">
        <v>53</v>
      </c>
    </row>
    <row r="430" spans="2:18" ht="15" customHeight="1">
      <c r="B430" s="97" t="s">
        <v>65</v>
      </c>
      <c r="C430" s="100"/>
      <c r="D430" s="100"/>
      <c r="E430" s="100"/>
      <c r="F430" s="100"/>
      <c r="G430" s="100"/>
      <c r="H430" s="100"/>
      <c r="I430" s="100"/>
      <c r="J430" s="100"/>
      <c r="K430" s="100"/>
      <c r="L430" s="100"/>
      <c r="M430" s="100"/>
      <c r="N430" s="100"/>
      <c r="O430" s="100"/>
      <c r="Q430" s="899" t="s">
        <v>53</v>
      </c>
      <c r="R430" s="68" t="s">
        <v>70</v>
      </c>
    </row>
    <row r="431" spans="2:18" ht="15" customHeight="1">
      <c r="B431" s="99" t="s">
        <v>67</v>
      </c>
      <c r="C431" s="102"/>
      <c r="D431" s="102"/>
      <c r="E431" s="102"/>
      <c r="F431" s="102"/>
      <c r="G431" s="102"/>
      <c r="H431" s="102"/>
      <c r="I431" s="102"/>
      <c r="J431" s="102"/>
      <c r="K431" s="102"/>
      <c r="L431" s="102"/>
      <c r="M431" s="102"/>
      <c r="N431" s="102"/>
      <c r="O431" s="102"/>
      <c r="Q431" s="899" t="s">
        <v>53</v>
      </c>
    </row>
    <row r="432" spans="2:18" ht="15" customHeight="1">
      <c r="B432" s="97" t="s">
        <v>63</v>
      </c>
      <c r="C432" s="100"/>
      <c r="D432" s="100"/>
      <c r="E432" s="100"/>
      <c r="F432" s="100"/>
      <c r="G432" s="100"/>
      <c r="H432" s="100"/>
      <c r="I432" s="100"/>
      <c r="J432" s="100"/>
      <c r="K432" s="100"/>
      <c r="L432" s="100"/>
      <c r="M432" s="100"/>
      <c r="N432" s="100"/>
      <c r="O432" s="100"/>
      <c r="Q432" s="899" t="s">
        <v>53</v>
      </c>
    </row>
    <row r="433" spans="2:18" ht="15" customHeight="1">
      <c r="B433" s="97" t="s">
        <v>64</v>
      </c>
      <c r="C433" s="101"/>
      <c r="D433" s="101"/>
      <c r="E433" s="101"/>
      <c r="F433" s="101"/>
      <c r="G433" s="101"/>
      <c r="H433" s="101"/>
      <c r="I433" s="101"/>
      <c r="J433" s="101"/>
      <c r="K433" s="101"/>
      <c r="L433" s="101"/>
      <c r="M433" s="101"/>
      <c r="N433" s="101"/>
      <c r="O433" s="101"/>
      <c r="Q433" s="899" t="s">
        <v>53</v>
      </c>
    </row>
    <row r="434" spans="2:18" ht="15" customHeight="1">
      <c r="B434" s="97" t="s">
        <v>65</v>
      </c>
      <c r="C434" s="100"/>
      <c r="D434" s="100"/>
      <c r="E434" s="100"/>
      <c r="F434" s="100"/>
      <c r="G434" s="100"/>
      <c r="H434" s="100"/>
      <c r="I434" s="100"/>
      <c r="J434" s="100"/>
      <c r="K434" s="100"/>
      <c r="L434" s="100"/>
      <c r="M434" s="100"/>
      <c r="N434" s="100"/>
      <c r="O434" s="100"/>
      <c r="Q434" s="899" t="s">
        <v>53</v>
      </c>
      <c r="R434" s="68" t="s">
        <v>71</v>
      </c>
    </row>
    <row r="435" spans="2:18" ht="15" customHeight="1">
      <c r="B435" s="99" t="s">
        <v>40</v>
      </c>
      <c r="C435" s="102"/>
      <c r="D435" s="102"/>
      <c r="E435" s="102"/>
      <c r="F435" s="102"/>
      <c r="G435" s="102"/>
      <c r="H435" s="102"/>
      <c r="I435" s="102"/>
      <c r="J435" s="102"/>
      <c r="K435" s="102"/>
      <c r="L435" s="102"/>
      <c r="M435" s="102"/>
      <c r="N435" s="102"/>
      <c r="O435" s="102"/>
      <c r="Q435" s="899" t="s">
        <v>53</v>
      </c>
    </row>
    <row r="436" spans="2:18" ht="15" customHeight="1">
      <c r="B436" s="97" t="s">
        <v>63</v>
      </c>
      <c r="C436" s="100"/>
      <c r="D436" s="100"/>
      <c r="E436" s="100"/>
      <c r="F436" s="100"/>
      <c r="G436" s="100"/>
      <c r="H436" s="100"/>
      <c r="I436" s="100"/>
      <c r="J436" s="100"/>
      <c r="K436" s="100"/>
      <c r="L436" s="100"/>
      <c r="M436" s="100"/>
      <c r="N436" s="100"/>
      <c r="O436" s="100"/>
      <c r="Q436" s="899" t="s">
        <v>53</v>
      </c>
    </row>
    <row r="437" spans="2:18" ht="15" customHeight="1">
      <c r="B437" s="97" t="s">
        <v>64</v>
      </c>
      <c r="C437" s="101"/>
      <c r="D437" s="101"/>
      <c r="E437" s="101"/>
      <c r="F437" s="101"/>
      <c r="G437" s="101"/>
      <c r="H437" s="101"/>
      <c r="I437" s="101"/>
      <c r="J437" s="101"/>
      <c r="K437" s="101"/>
      <c r="L437" s="101"/>
      <c r="M437" s="101"/>
      <c r="N437" s="101"/>
      <c r="O437" s="101"/>
      <c r="Q437" s="899" t="s">
        <v>53</v>
      </c>
    </row>
    <row r="438" spans="2:18" ht="15" customHeight="1">
      <c r="B438" s="97" t="s">
        <v>65</v>
      </c>
      <c r="C438" s="100"/>
      <c r="D438" s="100"/>
      <c r="E438" s="100"/>
      <c r="F438" s="100"/>
      <c r="G438" s="100"/>
      <c r="H438" s="100"/>
      <c r="I438" s="100"/>
      <c r="J438" s="100"/>
      <c r="K438" s="100"/>
      <c r="L438" s="100"/>
      <c r="M438" s="100"/>
      <c r="N438" s="100"/>
      <c r="O438" s="100"/>
      <c r="Q438" s="899" t="s">
        <v>53</v>
      </c>
      <c r="R438" s="68" t="s">
        <v>72</v>
      </c>
    </row>
    <row r="440" spans="2:18" ht="15" customHeight="1" thickBot="1">
      <c r="B440" s="75" t="s">
        <v>54</v>
      </c>
      <c r="C440" s="75"/>
      <c r="D440" s="75"/>
      <c r="E440" s="163" t="s">
        <v>88</v>
      </c>
    </row>
    <row r="442" spans="2:18" ht="15" customHeight="1">
      <c r="B442" s="74" t="s">
        <v>23</v>
      </c>
      <c r="C442" s="74" t="s">
        <v>36</v>
      </c>
      <c r="D442" s="74" t="s">
        <v>698</v>
      </c>
      <c r="E442" s="74" t="s">
        <v>699</v>
      </c>
      <c r="F442" s="74" t="s">
        <v>700</v>
      </c>
      <c r="G442" s="74" t="s">
        <v>701</v>
      </c>
      <c r="H442" s="74" t="s">
        <v>702</v>
      </c>
      <c r="I442" s="74" t="s">
        <v>703</v>
      </c>
      <c r="J442" s="74" t="s">
        <v>704</v>
      </c>
      <c r="K442" s="74" t="s">
        <v>705</v>
      </c>
      <c r="L442" s="74" t="s">
        <v>706</v>
      </c>
      <c r="M442" s="74" t="s">
        <v>707</v>
      </c>
      <c r="N442" s="74" t="s">
        <v>708</v>
      </c>
      <c r="O442" s="74" t="s">
        <v>709</v>
      </c>
    </row>
    <row r="443" spans="2:18" ht="15" customHeight="1">
      <c r="B443" s="74" t="s">
        <v>37</v>
      </c>
      <c r="C443" s="74">
        <v>-1</v>
      </c>
      <c r="D443" s="74">
        <v>1</v>
      </c>
      <c r="E443" s="74">
        <v>2</v>
      </c>
      <c r="F443" s="74">
        <v>3</v>
      </c>
      <c r="G443" s="74">
        <v>4</v>
      </c>
      <c r="H443" s="74">
        <v>5</v>
      </c>
      <c r="I443" s="74">
        <v>6</v>
      </c>
      <c r="J443" s="74">
        <v>7</v>
      </c>
      <c r="K443" s="74">
        <v>8</v>
      </c>
      <c r="L443" s="74">
        <v>9</v>
      </c>
      <c r="M443" s="74">
        <v>10</v>
      </c>
      <c r="N443" s="74">
        <v>11</v>
      </c>
      <c r="O443" s="74">
        <v>12</v>
      </c>
    </row>
    <row r="444" spans="2:18" ht="15" customHeight="1">
      <c r="B444" s="99" t="s">
        <v>61</v>
      </c>
      <c r="C444" s="102"/>
      <c r="D444" s="102"/>
      <c r="E444" s="102"/>
      <c r="F444" s="102"/>
      <c r="G444" s="102"/>
      <c r="H444" s="102"/>
      <c r="I444" s="102"/>
      <c r="J444" s="102"/>
      <c r="K444" s="102"/>
      <c r="L444" s="102"/>
      <c r="M444" s="102"/>
      <c r="N444" s="102"/>
      <c r="O444" s="102"/>
      <c r="Q444" s="900"/>
    </row>
    <row r="445" spans="2:18" ht="15" customHeight="1">
      <c r="B445" s="99" t="s">
        <v>62</v>
      </c>
      <c r="C445" s="102"/>
      <c r="D445" s="102"/>
      <c r="E445" s="102"/>
      <c r="F445" s="102"/>
      <c r="G445" s="102"/>
      <c r="H445" s="102"/>
      <c r="I445" s="102"/>
      <c r="J445" s="102"/>
      <c r="K445" s="102"/>
      <c r="L445" s="102"/>
      <c r="M445" s="102"/>
      <c r="N445" s="102"/>
      <c r="O445" s="102"/>
      <c r="Q445" s="900"/>
    </row>
    <row r="446" spans="2:18" ht="15" customHeight="1">
      <c r="B446" s="97" t="s">
        <v>63</v>
      </c>
      <c r="C446" s="100"/>
      <c r="D446" s="100"/>
      <c r="E446" s="100"/>
      <c r="F446" s="100"/>
      <c r="G446" s="100"/>
      <c r="H446" s="100"/>
      <c r="I446" s="100"/>
      <c r="J446" s="100"/>
      <c r="K446" s="100"/>
      <c r="L446" s="100"/>
      <c r="M446" s="100"/>
      <c r="N446" s="100"/>
      <c r="O446" s="100"/>
      <c r="Q446" s="899" t="s">
        <v>54</v>
      </c>
    </row>
    <row r="447" spans="2:18" ht="15" customHeight="1">
      <c r="B447" s="97" t="s">
        <v>64</v>
      </c>
      <c r="C447" s="101"/>
      <c r="D447" s="101"/>
      <c r="E447" s="101"/>
      <c r="F447" s="101"/>
      <c r="G447" s="101"/>
      <c r="H447" s="101"/>
      <c r="I447" s="101"/>
      <c r="J447" s="101"/>
      <c r="K447" s="101"/>
      <c r="L447" s="101"/>
      <c r="M447" s="101"/>
      <c r="N447" s="101"/>
      <c r="O447" s="101"/>
      <c r="Q447" s="899" t="s">
        <v>54</v>
      </c>
    </row>
    <row r="448" spans="2:18" ht="15" customHeight="1">
      <c r="B448" s="97" t="s">
        <v>65</v>
      </c>
      <c r="C448" s="100"/>
      <c r="D448" s="100"/>
      <c r="E448" s="100"/>
      <c r="F448" s="100"/>
      <c r="G448" s="100"/>
      <c r="H448" s="100"/>
      <c r="I448" s="100"/>
      <c r="J448" s="100"/>
      <c r="K448" s="100"/>
      <c r="L448" s="100"/>
      <c r="M448" s="100"/>
      <c r="N448" s="100"/>
      <c r="O448" s="100"/>
      <c r="Q448" s="899" t="s">
        <v>54</v>
      </c>
      <c r="R448" s="68" t="s">
        <v>66</v>
      </c>
    </row>
    <row r="449" spans="2:18" ht="15" customHeight="1">
      <c r="B449" s="99" t="s">
        <v>67</v>
      </c>
      <c r="C449" s="102"/>
      <c r="D449" s="102"/>
      <c r="E449" s="102"/>
      <c r="F449" s="102"/>
      <c r="G449" s="102"/>
      <c r="H449" s="102"/>
      <c r="I449" s="102"/>
      <c r="J449" s="102"/>
      <c r="K449" s="102"/>
      <c r="L449" s="102"/>
      <c r="M449" s="102"/>
      <c r="N449" s="102"/>
      <c r="O449" s="102"/>
      <c r="Q449" s="899" t="s">
        <v>54</v>
      </c>
    </row>
    <row r="450" spans="2:18" ht="15" customHeight="1">
      <c r="B450" s="97" t="s">
        <v>63</v>
      </c>
      <c r="C450" s="100"/>
      <c r="D450" s="100"/>
      <c r="E450" s="100"/>
      <c r="F450" s="100"/>
      <c r="G450" s="100"/>
      <c r="H450" s="100"/>
      <c r="I450" s="100"/>
      <c r="J450" s="100"/>
      <c r="K450" s="100"/>
      <c r="L450" s="100"/>
      <c r="M450" s="100"/>
      <c r="N450" s="100"/>
      <c r="O450" s="100"/>
      <c r="Q450" s="899" t="s">
        <v>54</v>
      </c>
    </row>
    <row r="451" spans="2:18" ht="15" customHeight="1">
      <c r="B451" s="97" t="s">
        <v>64</v>
      </c>
      <c r="C451" s="101"/>
      <c r="D451" s="101"/>
      <c r="E451" s="101"/>
      <c r="F451" s="101"/>
      <c r="G451" s="101"/>
      <c r="H451" s="101"/>
      <c r="I451" s="101"/>
      <c r="J451" s="101"/>
      <c r="K451" s="101"/>
      <c r="L451" s="101"/>
      <c r="M451" s="101"/>
      <c r="N451" s="101"/>
      <c r="O451" s="101"/>
      <c r="Q451" s="899" t="s">
        <v>54</v>
      </c>
    </row>
    <row r="452" spans="2:18" ht="15" customHeight="1">
      <c r="B452" s="97" t="s">
        <v>65</v>
      </c>
      <c r="C452" s="100"/>
      <c r="D452" s="100"/>
      <c r="E452" s="100"/>
      <c r="F452" s="100"/>
      <c r="G452" s="100"/>
      <c r="H452" s="100"/>
      <c r="I452" s="100"/>
      <c r="J452" s="100"/>
      <c r="K452" s="100"/>
      <c r="L452" s="100"/>
      <c r="M452" s="100"/>
      <c r="N452" s="100"/>
      <c r="O452" s="100"/>
      <c r="Q452" s="899" t="s">
        <v>54</v>
      </c>
      <c r="R452" s="68" t="s">
        <v>68</v>
      </c>
    </row>
    <row r="453" spans="2:18" ht="15" customHeight="1">
      <c r="B453" s="99" t="s">
        <v>40</v>
      </c>
      <c r="C453" s="102"/>
      <c r="D453" s="102"/>
      <c r="E453" s="102"/>
      <c r="F453" s="102"/>
      <c r="G453" s="102"/>
      <c r="H453" s="102"/>
      <c r="I453" s="102"/>
      <c r="J453" s="102"/>
      <c r="K453" s="102"/>
      <c r="L453" s="102"/>
      <c r="M453" s="102"/>
      <c r="N453" s="102"/>
      <c r="O453" s="102"/>
      <c r="Q453" s="899" t="s">
        <v>54</v>
      </c>
    </row>
    <row r="454" spans="2:18" ht="15" customHeight="1">
      <c r="B454" s="97" t="s">
        <v>63</v>
      </c>
      <c r="C454" s="100"/>
      <c r="D454" s="100"/>
      <c r="E454" s="100"/>
      <c r="F454" s="100"/>
      <c r="G454" s="100"/>
      <c r="H454" s="100"/>
      <c r="I454" s="100"/>
      <c r="J454" s="100"/>
      <c r="K454" s="100"/>
      <c r="L454" s="100"/>
      <c r="M454" s="100"/>
      <c r="N454" s="100"/>
      <c r="O454" s="100"/>
      <c r="Q454" s="899" t="s">
        <v>54</v>
      </c>
    </row>
    <row r="455" spans="2:18" ht="15" customHeight="1">
      <c r="B455" s="97" t="s">
        <v>64</v>
      </c>
      <c r="C455" s="101"/>
      <c r="D455" s="101"/>
      <c r="E455" s="101"/>
      <c r="F455" s="101"/>
      <c r="G455" s="101"/>
      <c r="H455" s="101"/>
      <c r="I455" s="101"/>
      <c r="J455" s="101"/>
      <c r="K455" s="101"/>
      <c r="L455" s="101"/>
      <c r="M455" s="101"/>
      <c r="N455" s="101"/>
      <c r="O455" s="101"/>
      <c r="Q455" s="899" t="s">
        <v>54</v>
      </c>
    </row>
    <row r="456" spans="2:18" ht="15" customHeight="1">
      <c r="B456" s="97" t="s">
        <v>65</v>
      </c>
      <c r="C456" s="100"/>
      <c r="D456" s="100"/>
      <c r="E456" s="100"/>
      <c r="F456" s="100"/>
      <c r="G456" s="100"/>
      <c r="H456" s="100"/>
      <c r="I456" s="100"/>
      <c r="J456" s="100"/>
      <c r="K456" s="100"/>
      <c r="L456" s="100"/>
      <c r="M456" s="100"/>
      <c r="N456" s="100"/>
      <c r="O456" s="100"/>
      <c r="Q456" s="899" t="s">
        <v>54</v>
      </c>
      <c r="R456" s="68" t="s">
        <v>69</v>
      </c>
    </row>
    <row r="457" spans="2:18" ht="15" customHeight="1">
      <c r="B457" s="99" t="s">
        <v>23</v>
      </c>
      <c r="C457" s="102"/>
      <c r="D457" s="102"/>
      <c r="E457" s="102"/>
      <c r="F457" s="102"/>
      <c r="G457" s="102"/>
      <c r="H457" s="102"/>
      <c r="I457" s="102"/>
      <c r="J457" s="102"/>
      <c r="K457" s="102"/>
      <c r="L457" s="102"/>
      <c r="M457" s="102"/>
      <c r="N457" s="102"/>
      <c r="O457" s="102"/>
      <c r="Q457" s="899" t="s">
        <v>54</v>
      </c>
    </row>
    <row r="458" spans="2:18" ht="15" customHeight="1">
      <c r="B458" s="99" t="s">
        <v>62</v>
      </c>
      <c r="C458" s="102"/>
      <c r="D458" s="102"/>
      <c r="E458" s="102"/>
      <c r="F458" s="102"/>
      <c r="G458" s="102"/>
      <c r="H458" s="102"/>
      <c r="I458" s="102"/>
      <c r="J458" s="102"/>
      <c r="K458" s="102"/>
      <c r="L458" s="102"/>
      <c r="M458" s="102"/>
      <c r="N458" s="102"/>
      <c r="O458" s="102"/>
      <c r="Q458" s="899" t="s">
        <v>54</v>
      </c>
    </row>
    <row r="459" spans="2:18" ht="15" customHeight="1">
      <c r="B459" s="97" t="s">
        <v>63</v>
      </c>
      <c r="C459" s="100"/>
      <c r="D459" s="100"/>
      <c r="E459" s="100"/>
      <c r="F459" s="100"/>
      <c r="G459" s="100"/>
      <c r="H459" s="100"/>
      <c r="I459" s="100"/>
      <c r="J459" s="100"/>
      <c r="K459" s="100"/>
      <c r="L459" s="100"/>
      <c r="M459" s="100"/>
      <c r="N459" s="100"/>
      <c r="O459" s="100"/>
      <c r="Q459" s="899" t="s">
        <v>54</v>
      </c>
    </row>
    <row r="460" spans="2:18" ht="15" customHeight="1">
      <c r="B460" s="97" t="s">
        <v>64</v>
      </c>
      <c r="C460" s="101"/>
      <c r="D460" s="101"/>
      <c r="E460" s="101"/>
      <c r="F460" s="101"/>
      <c r="G460" s="101"/>
      <c r="H460" s="101"/>
      <c r="I460" s="101"/>
      <c r="J460" s="101"/>
      <c r="K460" s="101"/>
      <c r="L460" s="101"/>
      <c r="M460" s="101"/>
      <c r="N460" s="101"/>
      <c r="O460" s="101"/>
      <c r="Q460" s="899" t="s">
        <v>54</v>
      </c>
    </row>
    <row r="461" spans="2:18" ht="15" customHeight="1">
      <c r="B461" s="97" t="s">
        <v>65</v>
      </c>
      <c r="C461" s="100"/>
      <c r="D461" s="100"/>
      <c r="E461" s="100"/>
      <c r="F461" s="100"/>
      <c r="G461" s="100"/>
      <c r="H461" s="100"/>
      <c r="I461" s="100"/>
      <c r="J461" s="100"/>
      <c r="K461" s="100"/>
      <c r="L461" s="100"/>
      <c r="M461" s="100"/>
      <c r="N461" s="100"/>
      <c r="O461" s="100"/>
      <c r="Q461" s="899" t="s">
        <v>54</v>
      </c>
      <c r="R461" s="68" t="s">
        <v>70</v>
      </c>
    </row>
    <row r="462" spans="2:18" ht="15" customHeight="1">
      <c r="B462" s="99" t="s">
        <v>67</v>
      </c>
      <c r="C462" s="102"/>
      <c r="D462" s="102"/>
      <c r="E462" s="102"/>
      <c r="F462" s="102"/>
      <c r="G462" s="102"/>
      <c r="H462" s="102"/>
      <c r="I462" s="102"/>
      <c r="J462" s="102"/>
      <c r="K462" s="102"/>
      <c r="L462" s="102"/>
      <c r="M462" s="102"/>
      <c r="N462" s="102"/>
      <c r="O462" s="102"/>
      <c r="Q462" s="899" t="s">
        <v>54</v>
      </c>
    </row>
    <row r="463" spans="2:18" ht="15" customHeight="1">
      <c r="B463" s="97" t="s">
        <v>63</v>
      </c>
      <c r="C463" s="100"/>
      <c r="D463" s="100"/>
      <c r="E463" s="100"/>
      <c r="F463" s="100"/>
      <c r="G463" s="100"/>
      <c r="H463" s="100"/>
      <c r="I463" s="100"/>
      <c r="J463" s="100"/>
      <c r="K463" s="100"/>
      <c r="L463" s="100"/>
      <c r="M463" s="100"/>
      <c r="N463" s="100"/>
      <c r="O463" s="100"/>
      <c r="Q463" s="899" t="s">
        <v>54</v>
      </c>
    </row>
    <row r="464" spans="2:18" ht="15" customHeight="1">
      <c r="B464" s="97" t="s">
        <v>64</v>
      </c>
      <c r="C464" s="101"/>
      <c r="D464" s="101"/>
      <c r="E464" s="101"/>
      <c r="F464" s="101"/>
      <c r="G464" s="101"/>
      <c r="H464" s="101"/>
      <c r="I464" s="101"/>
      <c r="J464" s="101"/>
      <c r="K464" s="101"/>
      <c r="L464" s="101"/>
      <c r="M464" s="101"/>
      <c r="N464" s="101"/>
      <c r="O464" s="101"/>
      <c r="Q464" s="899" t="s">
        <v>54</v>
      </c>
    </row>
    <row r="465" spans="2:18" ht="15" customHeight="1">
      <c r="B465" s="97" t="s">
        <v>65</v>
      </c>
      <c r="C465" s="100"/>
      <c r="D465" s="100"/>
      <c r="E465" s="100"/>
      <c r="F465" s="100"/>
      <c r="G465" s="100"/>
      <c r="H465" s="100"/>
      <c r="I465" s="100"/>
      <c r="J465" s="100"/>
      <c r="K465" s="100"/>
      <c r="L465" s="100"/>
      <c r="M465" s="100"/>
      <c r="N465" s="100"/>
      <c r="O465" s="100"/>
      <c r="Q465" s="899" t="s">
        <v>54</v>
      </c>
      <c r="R465" s="68" t="s">
        <v>71</v>
      </c>
    </row>
    <row r="466" spans="2:18" ht="15" customHeight="1">
      <c r="B466" s="99" t="s">
        <v>40</v>
      </c>
      <c r="C466" s="102"/>
      <c r="D466" s="102"/>
      <c r="E466" s="102"/>
      <c r="F466" s="102"/>
      <c r="G466" s="102"/>
      <c r="H466" s="102"/>
      <c r="I466" s="102"/>
      <c r="J466" s="102"/>
      <c r="K466" s="102"/>
      <c r="L466" s="102"/>
      <c r="M466" s="102"/>
      <c r="N466" s="102"/>
      <c r="O466" s="102"/>
      <c r="Q466" s="899" t="s">
        <v>54</v>
      </c>
    </row>
    <row r="467" spans="2:18" ht="15" customHeight="1">
      <c r="B467" s="97" t="s">
        <v>63</v>
      </c>
      <c r="C467" s="100"/>
      <c r="D467" s="100"/>
      <c r="E467" s="100"/>
      <c r="F467" s="100"/>
      <c r="G467" s="100"/>
      <c r="H467" s="100"/>
      <c r="I467" s="100"/>
      <c r="J467" s="100"/>
      <c r="K467" s="100"/>
      <c r="L467" s="100"/>
      <c r="M467" s="100"/>
      <c r="N467" s="100"/>
      <c r="O467" s="100"/>
      <c r="Q467" s="899" t="s">
        <v>54</v>
      </c>
    </row>
    <row r="468" spans="2:18" ht="15" customHeight="1">
      <c r="B468" s="97" t="s">
        <v>64</v>
      </c>
      <c r="C468" s="101"/>
      <c r="D468" s="101"/>
      <c r="E468" s="101"/>
      <c r="F468" s="101"/>
      <c r="G468" s="101"/>
      <c r="H468" s="101"/>
      <c r="I468" s="101"/>
      <c r="J468" s="101"/>
      <c r="K468" s="101"/>
      <c r="L468" s="101"/>
      <c r="M468" s="101"/>
      <c r="N468" s="101"/>
      <c r="O468" s="101"/>
      <c r="Q468" s="899" t="s">
        <v>54</v>
      </c>
    </row>
    <row r="469" spans="2:18" ht="15" customHeight="1">
      <c r="B469" s="97" t="s">
        <v>65</v>
      </c>
      <c r="C469" s="100"/>
      <c r="D469" s="100"/>
      <c r="E469" s="100"/>
      <c r="F469" s="100"/>
      <c r="G469" s="100"/>
      <c r="H469" s="100"/>
      <c r="I469" s="100"/>
      <c r="J469" s="100"/>
      <c r="K469" s="100"/>
      <c r="L469" s="100"/>
      <c r="M469" s="100"/>
      <c r="N469" s="100"/>
      <c r="O469" s="100"/>
      <c r="Q469" s="899" t="s">
        <v>54</v>
      </c>
      <c r="R469" s="68" t="s">
        <v>72</v>
      </c>
    </row>
    <row r="470" spans="2:18" ht="15" customHeight="1">
      <c r="G470" s="170"/>
    </row>
    <row r="471" spans="2:18" ht="15" customHeight="1" thickBot="1">
      <c r="B471" s="75" t="s">
        <v>89</v>
      </c>
      <c r="C471" s="75"/>
      <c r="D471" s="75"/>
      <c r="E471" s="163" t="s">
        <v>90</v>
      </c>
    </row>
    <row r="473" spans="2:18" ht="15" customHeight="1">
      <c r="B473" s="74" t="s">
        <v>23</v>
      </c>
      <c r="C473" s="74" t="s">
        <v>36</v>
      </c>
      <c r="D473" s="74" t="s">
        <v>698</v>
      </c>
      <c r="E473" s="74" t="s">
        <v>699</v>
      </c>
      <c r="F473" s="74" t="s">
        <v>700</v>
      </c>
      <c r="G473" s="74" t="s">
        <v>701</v>
      </c>
      <c r="H473" s="74" t="s">
        <v>702</v>
      </c>
      <c r="I473" s="74" t="s">
        <v>703</v>
      </c>
      <c r="J473" s="74" t="s">
        <v>704</v>
      </c>
      <c r="K473" s="74" t="s">
        <v>705</v>
      </c>
      <c r="L473" s="74" t="s">
        <v>706</v>
      </c>
      <c r="M473" s="74" t="s">
        <v>707</v>
      </c>
      <c r="N473" s="74" t="s">
        <v>708</v>
      </c>
      <c r="O473" s="74" t="s">
        <v>709</v>
      </c>
    </row>
    <row r="474" spans="2:18" ht="15" customHeight="1">
      <c r="B474" s="74" t="s">
        <v>37</v>
      </c>
      <c r="C474" s="74">
        <v>-1</v>
      </c>
      <c r="D474" s="74">
        <v>1</v>
      </c>
      <c r="E474" s="74">
        <v>2</v>
      </c>
      <c r="F474" s="74">
        <v>3</v>
      </c>
      <c r="G474" s="74">
        <v>4</v>
      </c>
      <c r="H474" s="74">
        <v>5</v>
      </c>
      <c r="I474" s="74">
        <v>6</v>
      </c>
      <c r="J474" s="74">
        <v>7</v>
      </c>
      <c r="K474" s="74">
        <v>8</v>
      </c>
      <c r="L474" s="74">
        <v>9</v>
      </c>
      <c r="M474" s="74">
        <v>10</v>
      </c>
      <c r="N474" s="74">
        <v>11</v>
      </c>
      <c r="O474" s="74">
        <v>12</v>
      </c>
    </row>
    <row r="475" spans="2:18" ht="15" customHeight="1">
      <c r="B475" s="99" t="s">
        <v>61</v>
      </c>
      <c r="C475" s="102"/>
      <c r="D475" s="102"/>
      <c r="E475" s="102"/>
      <c r="F475" s="102"/>
      <c r="G475" s="102"/>
      <c r="H475" s="102"/>
      <c r="I475" s="102"/>
      <c r="J475" s="102"/>
      <c r="K475" s="102"/>
      <c r="L475" s="102"/>
      <c r="M475" s="102"/>
      <c r="N475" s="102"/>
      <c r="O475" s="102"/>
      <c r="Q475" s="900"/>
    </row>
    <row r="476" spans="2:18" ht="15" customHeight="1">
      <c r="B476" s="99" t="s">
        <v>62</v>
      </c>
      <c r="C476" s="102"/>
      <c r="D476" s="102"/>
      <c r="E476" s="102"/>
      <c r="F476" s="102"/>
      <c r="G476" s="102"/>
      <c r="H476" s="102"/>
      <c r="I476" s="102"/>
      <c r="J476" s="102"/>
      <c r="K476" s="102"/>
      <c r="L476" s="102"/>
      <c r="M476" s="102"/>
      <c r="N476" s="102"/>
      <c r="O476" s="102"/>
      <c r="Q476" s="900"/>
    </row>
    <row r="477" spans="2:18" ht="15" customHeight="1">
      <c r="B477" s="97" t="s">
        <v>63</v>
      </c>
      <c r="C477" s="100"/>
      <c r="D477" s="100"/>
      <c r="E477" s="100"/>
      <c r="F477" s="100"/>
      <c r="G477" s="100"/>
      <c r="H477" s="100"/>
      <c r="I477" s="100"/>
      <c r="J477" s="100"/>
      <c r="K477" s="100"/>
      <c r="L477" s="100"/>
      <c r="M477" s="100"/>
      <c r="N477" s="100"/>
      <c r="O477" s="100"/>
      <c r="Q477" s="901" t="s">
        <v>89</v>
      </c>
    </row>
    <row r="478" spans="2:18" ht="15" customHeight="1">
      <c r="B478" s="97" t="s">
        <v>64</v>
      </c>
      <c r="C478" s="101"/>
      <c r="D478" s="101"/>
      <c r="E478" s="101"/>
      <c r="F478" s="101"/>
      <c r="G478" s="101"/>
      <c r="H478" s="101"/>
      <c r="I478" s="101"/>
      <c r="J478" s="101"/>
      <c r="K478" s="101"/>
      <c r="L478" s="101"/>
      <c r="M478" s="101"/>
      <c r="N478" s="101"/>
      <c r="O478" s="101"/>
      <c r="Q478" s="901" t="s">
        <v>89</v>
      </c>
    </row>
    <row r="479" spans="2:18" ht="15" customHeight="1">
      <c r="B479" s="97" t="s">
        <v>65</v>
      </c>
      <c r="C479" s="100"/>
      <c r="D479" s="100"/>
      <c r="E479" s="100"/>
      <c r="F479" s="100"/>
      <c r="G479" s="100"/>
      <c r="H479" s="100"/>
      <c r="I479" s="100"/>
      <c r="J479" s="100"/>
      <c r="K479" s="100"/>
      <c r="L479" s="100"/>
      <c r="M479" s="100"/>
      <c r="N479" s="100"/>
      <c r="O479" s="100"/>
      <c r="Q479" s="901" t="s">
        <v>89</v>
      </c>
      <c r="R479" s="68" t="s">
        <v>66</v>
      </c>
    </row>
    <row r="480" spans="2:18" ht="15" customHeight="1">
      <c r="B480" s="99" t="s">
        <v>67</v>
      </c>
      <c r="C480" s="102"/>
      <c r="D480" s="102"/>
      <c r="E480" s="102"/>
      <c r="F480" s="102"/>
      <c r="G480" s="102"/>
      <c r="H480" s="102"/>
      <c r="I480" s="102"/>
      <c r="J480" s="102"/>
      <c r="K480" s="102"/>
      <c r="L480" s="102"/>
      <c r="M480" s="102"/>
      <c r="N480" s="102"/>
      <c r="O480" s="102"/>
      <c r="Q480" s="901" t="s">
        <v>89</v>
      </c>
    </row>
    <row r="481" spans="2:18" ht="15" customHeight="1">
      <c r="B481" s="97" t="s">
        <v>63</v>
      </c>
      <c r="C481" s="100"/>
      <c r="D481" s="100"/>
      <c r="E481" s="100"/>
      <c r="F481" s="100"/>
      <c r="G481" s="100"/>
      <c r="H481" s="100"/>
      <c r="I481" s="100"/>
      <c r="J481" s="100"/>
      <c r="K481" s="100"/>
      <c r="L481" s="100"/>
      <c r="M481" s="100"/>
      <c r="N481" s="100"/>
      <c r="O481" s="100"/>
      <c r="Q481" s="901" t="s">
        <v>89</v>
      </c>
    </row>
    <row r="482" spans="2:18" ht="15" customHeight="1">
      <c r="B482" s="97" t="s">
        <v>64</v>
      </c>
      <c r="C482" s="101"/>
      <c r="D482" s="101"/>
      <c r="E482" s="101"/>
      <c r="F482" s="101"/>
      <c r="G482" s="101"/>
      <c r="H482" s="101"/>
      <c r="I482" s="101"/>
      <c r="J482" s="101"/>
      <c r="K482" s="101"/>
      <c r="L482" s="101"/>
      <c r="M482" s="101"/>
      <c r="N482" s="101"/>
      <c r="O482" s="101"/>
      <c r="Q482" s="901" t="s">
        <v>89</v>
      </c>
    </row>
    <row r="483" spans="2:18" ht="15" customHeight="1">
      <c r="B483" s="97" t="s">
        <v>65</v>
      </c>
      <c r="C483" s="100"/>
      <c r="D483" s="100"/>
      <c r="E483" s="100"/>
      <c r="F483" s="100"/>
      <c r="G483" s="100"/>
      <c r="H483" s="100"/>
      <c r="I483" s="100"/>
      <c r="J483" s="100"/>
      <c r="K483" s="100"/>
      <c r="L483" s="100"/>
      <c r="M483" s="100"/>
      <c r="N483" s="100"/>
      <c r="O483" s="100"/>
      <c r="Q483" s="901" t="s">
        <v>89</v>
      </c>
      <c r="R483" s="68" t="s">
        <v>68</v>
      </c>
    </row>
    <row r="484" spans="2:18" ht="15" customHeight="1">
      <c r="B484" s="99" t="s">
        <v>40</v>
      </c>
      <c r="C484" s="102"/>
      <c r="D484" s="102"/>
      <c r="E484" s="102"/>
      <c r="F484" s="102"/>
      <c r="G484" s="102"/>
      <c r="H484" s="102"/>
      <c r="I484" s="102"/>
      <c r="J484" s="102"/>
      <c r="K484" s="102"/>
      <c r="L484" s="102"/>
      <c r="M484" s="102"/>
      <c r="N484" s="102"/>
      <c r="O484" s="102"/>
      <c r="Q484" s="901" t="s">
        <v>89</v>
      </c>
    </row>
    <row r="485" spans="2:18" ht="15" customHeight="1">
      <c r="B485" s="97" t="s">
        <v>63</v>
      </c>
      <c r="C485" s="100"/>
      <c r="D485" s="100"/>
      <c r="E485" s="100"/>
      <c r="F485" s="100"/>
      <c r="G485" s="100"/>
      <c r="H485" s="100"/>
      <c r="I485" s="100"/>
      <c r="J485" s="100"/>
      <c r="K485" s="100"/>
      <c r="L485" s="100"/>
      <c r="M485" s="100"/>
      <c r="N485" s="100"/>
      <c r="O485" s="100"/>
      <c r="Q485" s="901" t="s">
        <v>89</v>
      </c>
    </row>
    <row r="486" spans="2:18" ht="15" customHeight="1">
      <c r="B486" s="97" t="s">
        <v>64</v>
      </c>
      <c r="C486" s="101"/>
      <c r="D486" s="101"/>
      <c r="E486" s="101"/>
      <c r="F486" s="101"/>
      <c r="G486" s="101"/>
      <c r="H486" s="101"/>
      <c r="I486" s="101"/>
      <c r="J486" s="101"/>
      <c r="K486" s="101"/>
      <c r="L486" s="101"/>
      <c r="M486" s="101"/>
      <c r="N486" s="101"/>
      <c r="O486" s="101"/>
      <c r="Q486" s="901" t="s">
        <v>89</v>
      </c>
    </row>
    <row r="487" spans="2:18" ht="15" customHeight="1">
      <c r="B487" s="97" t="s">
        <v>65</v>
      </c>
      <c r="C487" s="100"/>
      <c r="D487" s="100"/>
      <c r="E487" s="100"/>
      <c r="F487" s="100"/>
      <c r="G487" s="100"/>
      <c r="H487" s="100"/>
      <c r="I487" s="100"/>
      <c r="J487" s="100"/>
      <c r="K487" s="100"/>
      <c r="L487" s="100"/>
      <c r="M487" s="100"/>
      <c r="N487" s="100"/>
      <c r="O487" s="100"/>
      <c r="Q487" s="901" t="s">
        <v>89</v>
      </c>
      <c r="R487" s="68" t="s">
        <v>69</v>
      </c>
    </row>
    <row r="488" spans="2:18" ht="15" customHeight="1">
      <c r="B488" s="99" t="s">
        <v>23</v>
      </c>
      <c r="C488" s="102"/>
      <c r="D488" s="102"/>
      <c r="E488" s="102"/>
      <c r="F488" s="102"/>
      <c r="G488" s="102"/>
      <c r="H488" s="102"/>
      <c r="I488" s="102"/>
      <c r="J488" s="102"/>
      <c r="K488" s="102"/>
      <c r="L488" s="102"/>
      <c r="M488" s="102"/>
      <c r="N488" s="102"/>
      <c r="O488" s="102"/>
      <c r="Q488" s="901" t="s">
        <v>89</v>
      </c>
    </row>
    <row r="489" spans="2:18" ht="15" customHeight="1">
      <c r="B489" s="99" t="s">
        <v>62</v>
      </c>
      <c r="C489" s="102"/>
      <c r="D489" s="102"/>
      <c r="E489" s="102"/>
      <c r="F489" s="102"/>
      <c r="G489" s="102"/>
      <c r="H489" s="102"/>
      <c r="I489" s="102"/>
      <c r="J489" s="102"/>
      <c r="K489" s="102"/>
      <c r="L489" s="102"/>
      <c r="M489" s="102"/>
      <c r="N489" s="102"/>
      <c r="O489" s="102"/>
      <c r="Q489" s="901" t="s">
        <v>89</v>
      </c>
    </row>
    <row r="490" spans="2:18" ht="15" customHeight="1">
      <c r="B490" s="97" t="s">
        <v>63</v>
      </c>
      <c r="C490" s="100"/>
      <c r="D490" s="100"/>
      <c r="E490" s="100"/>
      <c r="F490" s="100"/>
      <c r="G490" s="100"/>
      <c r="H490" s="100"/>
      <c r="I490" s="100"/>
      <c r="J490" s="100"/>
      <c r="K490" s="100"/>
      <c r="L490" s="100"/>
      <c r="M490" s="100"/>
      <c r="N490" s="100"/>
      <c r="O490" s="100"/>
      <c r="Q490" s="901" t="s">
        <v>89</v>
      </c>
    </row>
    <row r="491" spans="2:18" ht="15" customHeight="1">
      <c r="B491" s="97" t="s">
        <v>64</v>
      </c>
      <c r="C491" s="101"/>
      <c r="D491" s="101"/>
      <c r="E491" s="101"/>
      <c r="F491" s="101"/>
      <c r="G491" s="101"/>
      <c r="H491" s="101"/>
      <c r="I491" s="101"/>
      <c r="J491" s="101"/>
      <c r="K491" s="101"/>
      <c r="L491" s="101"/>
      <c r="M491" s="101"/>
      <c r="N491" s="101"/>
      <c r="O491" s="101"/>
      <c r="Q491" s="901" t="s">
        <v>89</v>
      </c>
    </row>
    <row r="492" spans="2:18" ht="15" customHeight="1">
      <c r="B492" s="97" t="s">
        <v>65</v>
      </c>
      <c r="C492" s="100"/>
      <c r="D492" s="100"/>
      <c r="E492" s="100"/>
      <c r="F492" s="100"/>
      <c r="G492" s="100"/>
      <c r="H492" s="100"/>
      <c r="I492" s="100"/>
      <c r="J492" s="100"/>
      <c r="K492" s="100"/>
      <c r="L492" s="100"/>
      <c r="M492" s="100"/>
      <c r="N492" s="100"/>
      <c r="O492" s="100"/>
      <c r="Q492" s="901" t="s">
        <v>89</v>
      </c>
      <c r="R492" s="68" t="s">
        <v>70</v>
      </c>
    </row>
    <row r="493" spans="2:18" ht="15" customHeight="1">
      <c r="B493" s="99" t="s">
        <v>67</v>
      </c>
      <c r="C493" s="102"/>
      <c r="D493" s="102"/>
      <c r="E493" s="102"/>
      <c r="F493" s="102"/>
      <c r="G493" s="102"/>
      <c r="H493" s="102"/>
      <c r="I493" s="102"/>
      <c r="J493" s="102"/>
      <c r="K493" s="102"/>
      <c r="L493" s="102"/>
      <c r="M493" s="102"/>
      <c r="N493" s="102"/>
      <c r="O493" s="102"/>
      <c r="Q493" s="901" t="s">
        <v>89</v>
      </c>
    </row>
    <row r="494" spans="2:18" ht="15" customHeight="1">
      <c r="B494" s="97" t="s">
        <v>63</v>
      </c>
      <c r="C494" s="100"/>
      <c r="D494" s="100"/>
      <c r="E494" s="100"/>
      <c r="F494" s="100"/>
      <c r="G494" s="100"/>
      <c r="H494" s="100"/>
      <c r="I494" s="100"/>
      <c r="J494" s="100"/>
      <c r="K494" s="100"/>
      <c r="L494" s="100"/>
      <c r="M494" s="100"/>
      <c r="N494" s="100"/>
      <c r="O494" s="100"/>
      <c r="Q494" s="901" t="s">
        <v>89</v>
      </c>
    </row>
    <row r="495" spans="2:18" ht="15" customHeight="1">
      <c r="B495" s="97" t="s">
        <v>64</v>
      </c>
      <c r="C495" s="101"/>
      <c r="D495" s="101"/>
      <c r="E495" s="101"/>
      <c r="F495" s="101"/>
      <c r="G495" s="101"/>
      <c r="H495" s="101"/>
      <c r="I495" s="101"/>
      <c r="J495" s="101"/>
      <c r="K495" s="101"/>
      <c r="L495" s="101"/>
      <c r="M495" s="101"/>
      <c r="N495" s="101"/>
      <c r="O495" s="101"/>
      <c r="Q495" s="901" t="s">
        <v>89</v>
      </c>
    </row>
    <row r="496" spans="2:18" ht="15" customHeight="1">
      <c r="B496" s="97" t="s">
        <v>65</v>
      </c>
      <c r="C496" s="100"/>
      <c r="D496" s="100"/>
      <c r="E496" s="100"/>
      <c r="F496" s="100"/>
      <c r="G496" s="100"/>
      <c r="H496" s="100"/>
      <c r="I496" s="100"/>
      <c r="J496" s="100"/>
      <c r="K496" s="100"/>
      <c r="L496" s="100"/>
      <c r="M496" s="100"/>
      <c r="N496" s="100"/>
      <c r="O496" s="100"/>
      <c r="Q496" s="901" t="s">
        <v>89</v>
      </c>
      <c r="R496" s="68" t="s">
        <v>71</v>
      </c>
    </row>
    <row r="497" spans="2:18" ht="15" customHeight="1">
      <c r="B497" s="99" t="s">
        <v>40</v>
      </c>
      <c r="C497" s="102"/>
      <c r="D497" s="102"/>
      <c r="E497" s="102"/>
      <c r="F497" s="102"/>
      <c r="G497" s="102"/>
      <c r="H497" s="102"/>
      <c r="I497" s="102"/>
      <c r="J497" s="102"/>
      <c r="K497" s="102"/>
      <c r="L497" s="102"/>
      <c r="M497" s="102"/>
      <c r="N497" s="102"/>
      <c r="O497" s="102"/>
      <c r="Q497" s="901" t="s">
        <v>89</v>
      </c>
    </row>
    <row r="498" spans="2:18" ht="15" customHeight="1">
      <c r="B498" s="97" t="s">
        <v>63</v>
      </c>
      <c r="C498" s="100"/>
      <c r="D498" s="100"/>
      <c r="E498" s="100"/>
      <c r="F498" s="100"/>
      <c r="G498" s="100"/>
      <c r="H498" s="100"/>
      <c r="I498" s="100"/>
      <c r="J498" s="100"/>
      <c r="K498" s="100"/>
      <c r="L498" s="100"/>
      <c r="M498" s="100"/>
      <c r="N498" s="100"/>
      <c r="O498" s="100"/>
      <c r="Q498" s="901" t="s">
        <v>89</v>
      </c>
    </row>
    <row r="499" spans="2:18" ht="15" customHeight="1">
      <c r="B499" s="97" t="s">
        <v>64</v>
      </c>
      <c r="C499" s="101"/>
      <c r="D499" s="101"/>
      <c r="E499" s="101"/>
      <c r="F499" s="101"/>
      <c r="G499" s="101"/>
      <c r="H499" s="101"/>
      <c r="I499" s="101"/>
      <c r="J499" s="101"/>
      <c r="K499" s="101"/>
      <c r="L499" s="101"/>
      <c r="M499" s="101"/>
      <c r="N499" s="101"/>
      <c r="O499" s="101"/>
      <c r="Q499" s="901" t="s">
        <v>89</v>
      </c>
    </row>
    <row r="500" spans="2:18" ht="15" customHeight="1">
      <c r="B500" s="97" t="s">
        <v>65</v>
      </c>
      <c r="C500" s="100"/>
      <c r="D500" s="100"/>
      <c r="E500" s="100"/>
      <c r="F500" s="100"/>
      <c r="G500" s="100"/>
      <c r="H500" s="100"/>
      <c r="I500" s="100"/>
      <c r="J500" s="100"/>
      <c r="K500" s="100"/>
      <c r="L500" s="100"/>
      <c r="M500" s="100"/>
      <c r="N500" s="100"/>
      <c r="O500" s="100"/>
      <c r="Q500" s="901" t="s">
        <v>89</v>
      </c>
      <c r="R500" s="68" t="s">
        <v>72</v>
      </c>
    </row>
    <row r="501" spans="2:18" ht="15" customHeight="1">
      <c r="B501" s="97"/>
      <c r="C501" s="100"/>
      <c r="D501" s="100"/>
      <c r="E501" s="100"/>
      <c r="F501" s="100"/>
      <c r="G501" s="100"/>
      <c r="H501" s="100"/>
      <c r="I501" s="100"/>
      <c r="J501" s="100"/>
      <c r="K501" s="100"/>
      <c r="L501" s="100"/>
      <c r="M501" s="100"/>
      <c r="N501" s="100"/>
      <c r="O501" s="100"/>
      <c r="Q501" s="901"/>
    </row>
    <row r="502" spans="2:18" ht="15" customHeight="1" thickBot="1">
      <c r="B502" s="75" t="s">
        <v>91</v>
      </c>
      <c r="C502" s="75"/>
      <c r="D502" s="75"/>
      <c r="E502" s="163" t="s">
        <v>92</v>
      </c>
    </row>
    <row r="504" spans="2:18" ht="15" customHeight="1">
      <c r="B504" s="74" t="s">
        <v>23</v>
      </c>
      <c r="C504" s="74" t="s">
        <v>36</v>
      </c>
      <c r="D504" s="74" t="s">
        <v>698</v>
      </c>
      <c r="E504" s="74" t="s">
        <v>699</v>
      </c>
      <c r="F504" s="74" t="s">
        <v>700</v>
      </c>
      <c r="G504" s="74" t="s">
        <v>701</v>
      </c>
      <c r="H504" s="74" t="s">
        <v>702</v>
      </c>
      <c r="I504" s="74" t="s">
        <v>703</v>
      </c>
      <c r="J504" s="74" t="s">
        <v>704</v>
      </c>
      <c r="K504" s="74" t="s">
        <v>705</v>
      </c>
      <c r="L504" s="74" t="s">
        <v>706</v>
      </c>
      <c r="M504" s="74" t="s">
        <v>707</v>
      </c>
      <c r="N504" s="74" t="s">
        <v>708</v>
      </c>
      <c r="O504" s="74" t="s">
        <v>709</v>
      </c>
    </row>
    <row r="505" spans="2:18" ht="15" customHeight="1">
      <c r="B505" s="74" t="s">
        <v>37</v>
      </c>
      <c r="C505" s="74">
        <v>-1</v>
      </c>
      <c r="D505" s="74">
        <v>1</v>
      </c>
      <c r="E505" s="74">
        <v>2</v>
      </c>
      <c r="F505" s="74">
        <v>3</v>
      </c>
      <c r="G505" s="74">
        <v>4</v>
      </c>
      <c r="H505" s="74">
        <v>5</v>
      </c>
      <c r="I505" s="74">
        <v>6</v>
      </c>
      <c r="J505" s="74">
        <v>7</v>
      </c>
      <c r="K505" s="74">
        <v>8</v>
      </c>
      <c r="L505" s="74">
        <v>9</v>
      </c>
      <c r="M505" s="74">
        <v>10</v>
      </c>
      <c r="N505" s="74">
        <v>11</v>
      </c>
      <c r="O505" s="74">
        <v>12</v>
      </c>
    </row>
    <row r="506" spans="2:18" ht="15" customHeight="1">
      <c r="B506" s="99" t="s">
        <v>61</v>
      </c>
      <c r="C506" s="102"/>
      <c r="D506" s="102"/>
      <c r="E506" s="102"/>
      <c r="F506" s="102"/>
      <c r="G506" s="102"/>
      <c r="H506" s="102"/>
      <c r="I506" s="102"/>
      <c r="J506" s="102"/>
      <c r="K506" s="102"/>
      <c r="L506" s="102"/>
      <c r="M506" s="102"/>
      <c r="N506" s="102"/>
      <c r="O506" s="102"/>
      <c r="Q506" s="899" t="s">
        <v>91</v>
      </c>
    </row>
    <row r="507" spans="2:18" ht="15" customHeight="1">
      <c r="B507" s="99" t="s">
        <v>62</v>
      </c>
      <c r="C507" s="102"/>
      <c r="D507" s="102"/>
      <c r="E507" s="102"/>
      <c r="F507" s="102"/>
      <c r="G507" s="102"/>
      <c r="H507" s="102"/>
      <c r="I507" s="102"/>
      <c r="J507" s="102"/>
      <c r="K507" s="102"/>
      <c r="L507" s="102"/>
      <c r="M507" s="102"/>
      <c r="N507" s="102"/>
      <c r="O507" s="102"/>
      <c r="Q507" s="899" t="s">
        <v>91</v>
      </c>
    </row>
    <row r="508" spans="2:18" ht="15" customHeight="1">
      <c r="B508" s="97" t="s">
        <v>63</v>
      </c>
      <c r="C508" s="100"/>
      <c r="D508" s="100"/>
      <c r="E508" s="100"/>
      <c r="F508" s="100"/>
      <c r="G508" s="100"/>
      <c r="H508" s="100"/>
      <c r="I508" s="100"/>
      <c r="J508" s="100"/>
      <c r="K508" s="100"/>
      <c r="L508" s="100"/>
      <c r="M508" s="100"/>
      <c r="N508" s="100"/>
      <c r="O508" s="100"/>
      <c r="Q508" s="899" t="s">
        <v>91</v>
      </c>
    </row>
    <row r="509" spans="2:18" ht="15" customHeight="1">
      <c r="B509" s="97" t="s">
        <v>64</v>
      </c>
      <c r="C509" s="101"/>
      <c r="D509" s="101"/>
      <c r="E509" s="101"/>
      <c r="F509" s="101"/>
      <c r="G509" s="101"/>
      <c r="H509" s="101"/>
      <c r="I509" s="101"/>
      <c r="J509" s="101"/>
      <c r="K509" s="101"/>
      <c r="L509" s="101"/>
      <c r="M509" s="101"/>
      <c r="N509" s="101"/>
      <c r="O509" s="101"/>
      <c r="Q509" s="899" t="s">
        <v>91</v>
      </c>
    </row>
    <row r="510" spans="2:18" ht="15" customHeight="1">
      <c r="B510" s="97" t="s">
        <v>65</v>
      </c>
      <c r="C510" s="100"/>
      <c r="D510" s="100"/>
      <c r="E510" s="100"/>
      <c r="F510" s="100"/>
      <c r="G510" s="100"/>
      <c r="H510" s="100"/>
      <c r="I510" s="100"/>
      <c r="J510" s="100"/>
      <c r="K510" s="100"/>
      <c r="L510" s="100"/>
      <c r="M510" s="100"/>
      <c r="N510" s="100"/>
      <c r="O510" s="100"/>
      <c r="Q510" s="899" t="s">
        <v>91</v>
      </c>
      <c r="R510" s="68" t="s">
        <v>66</v>
      </c>
    </row>
    <row r="511" spans="2:18" ht="15" customHeight="1">
      <c r="B511" s="99" t="s">
        <v>67</v>
      </c>
      <c r="C511" s="102"/>
      <c r="D511" s="102"/>
      <c r="E511" s="102"/>
      <c r="F511" s="102"/>
      <c r="G511" s="102"/>
      <c r="H511" s="102"/>
      <c r="I511" s="102"/>
      <c r="J511" s="102"/>
      <c r="K511" s="102"/>
      <c r="L511" s="102"/>
      <c r="M511" s="102"/>
      <c r="N511" s="102"/>
      <c r="O511" s="102"/>
      <c r="Q511" s="899" t="s">
        <v>91</v>
      </c>
    </row>
    <row r="512" spans="2:18" ht="15" customHeight="1">
      <c r="B512" s="97" t="s">
        <v>63</v>
      </c>
      <c r="C512" s="100"/>
      <c r="D512" s="100"/>
      <c r="E512" s="100"/>
      <c r="F512" s="100"/>
      <c r="G512" s="100"/>
      <c r="H512" s="100"/>
      <c r="I512" s="100"/>
      <c r="J512" s="100"/>
      <c r="K512" s="100"/>
      <c r="L512" s="100"/>
      <c r="M512" s="100"/>
      <c r="N512" s="100"/>
      <c r="O512" s="100"/>
      <c r="Q512" s="899" t="s">
        <v>91</v>
      </c>
    </row>
    <row r="513" spans="2:18" ht="15" customHeight="1">
      <c r="B513" s="97" t="s">
        <v>64</v>
      </c>
      <c r="C513" s="101"/>
      <c r="D513" s="101"/>
      <c r="E513" s="101"/>
      <c r="F513" s="101"/>
      <c r="G513" s="101"/>
      <c r="H513" s="101"/>
      <c r="I513" s="101"/>
      <c r="J513" s="101"/>
      <c r="K513" s="101"/>
      <c r="L513" s="101"/>
      <c r="M513" s="101"/>
      <c r="N513" s="101"/>
      <c r="O513" s="101"/>
      <c r="Q513" s="899" t="s">
        <v>91</v>
      </c>
    </row>
    <row r="514" spans="2:18" ht="15" customHeight="1">
      <c r="B514" s="97" t="s">
        <v>65</v>
      </c>
      <c r="C514" s="100"/>
      <c r="D514" s="100"/>
      <c r="E514" s="100"/>
      <c r="F514" s="100"/>
      <c r="G514" s="100"/>
      <c r="H514" s="100"/>
      <c r="I514" s="100"/>
      <c r="J514" s="100"/>
      <c r="K514" s="100"/>
      <c r="L514" s="100"/>
      <c r="M514" s="100"/>
      <c r="N514" s="100"/>
      <c r="O514" s="100"/>
      <c r="Q514" s="899" t="s">
        <v>91</v>
      </c>
      <c r="R514" s="68" t="s">
        <v>68</v>
      </c>
    </row>
    <row r="515" spans="2:18" ht="15" customHeight="1">
      <c r="B515" s="99" t="s">
        <v>40</v>
      </c>
      <c r="C515" s="102"/>
      <c r="D515" s="102"/>
      <c r="E515" s="102"/>
      <c r="F515" s="102"/>
      <c r="G515" s="102"/>
      <c r="H515" s="102"/>
      <c r="I515" s="102"/>
      <c r="J515" s="102"/>
      <c r="K515" s="102"/>
      <c r="L515" s="102"/>
      <c r="M515" s="102"/>
      <c r="N515" s="102"/>
      <c r="O515" s="102"/>
      <c r="Q515" s="899" t="s">
        <v>91</v>
      </c>
    </row>
    <row r="516" spans="2:18" ht="15" customHeight="1">
      <c r="B516" s="97" t="s">
        <v>63</v>
      </c>
      <c r="C516" s="100"/>
      <c r="D516" s="100"/>
      <c r="E516" s="100"/>
      <c r="F516" s="100"/>
      <c r="G516" s="100"/>
      <c r="H516" s="100"/>
      <c r="I516" s="100"/>
      <c r="J516" s="100"/>
      <c r="K516" s="100"/>
      <c r="L516" s="100"/>
      <c r="M516" s="100"/>
      <c r="N516" s="100"/>
      <c r="O516" s="100"/>
      <c r="Q516" s="899" t="s">
        <v>91</v>
      </c>
    </row>
    <row r="517" spans="2:18" ht="15" customHeight="1">
      <c r="B517" s="97" t="s">
        <v>64</v>
      </c>
      <c r="C517" s="101"/>
      <c r="D517" s="101"/>
      <c r="E517" s="101"/>
      <c r="F517" s="101"/>
      <c r="G517" s="101"/>
      <c r="H517" s="101"/>
      <c r="I517" s="101"/>
      <c r="J517" s="101"/>
      <c r="K517" s="101"/>
      <c r="L517" s="101"/>
      <c r="M517" s="101"/>
      <c r="N517" s="101"/>
      <c r="O517" s="101"/>
      <c r="Q517" s="899" t="s">
        <v>91</v>
      </c>
    </row>
    <row r="518" spans="2:18" ht="15" customHeight="1">
      <c r="B518" s="97" t="s">
        <v>65</v>
      </c>
      <c r="C518" s="100"/>
      <c r="D518" s="100"/>
      <c r="E518" s="100"/>
      <c r="F518" s="100"/>
      <c r="G518" s="100"/>
      <c r="H518" s="100"/>
      <c r="I518" s="100"/>
      <c r="J518" s="100"/>
      <c r="K518" s="100"/>
      <c r="L518" s="100"/>
      <c r="M518" s="100"/>
      <c r="N518" s="100"/>
      <c r="O518" s="100"/>
      <c r="Q518" s="899" t="s">
        <v>91</v>
      </c>
      <c r="R518" s="68" t="s">
        <v>69</v>
      </c>
    </row>
    <row r="519" spans="2:18" ht="15" customHeight="1">
      <c r="B519" s="99" t="s">
        <v>23</v>
      </c>
      <c r="C519" s="102"/>
      <c r="D519" s="102"/>
      <c r="E519" s="102"/>
      <c r="F519" s="102"/>
      <c r="G519" s="102"/>
      <c r="H519" s="102"/>
      <c r="I519" s="102"/>
      <c r="J519" s="102"/>
      <c r="K519" s="102"/>
      <c r="L519" s="102"/>
      <c r="M519" s="102"/>
      <c r="N519" s="102"/>
      <c r="O519" s="102"/>
      <c r="Q519" s="899" t="s">
        <v>91</v>
      </c>
    </row>
    <row r="520" spans="2:18" ht="15" customHeight="1">
      <c r="B520" s="99" t="s">
        <v>62</v>
      </c>
      <c r="C520" s="102"/>
      <c r="D520" s="102"/>
      <c r="E520" s="102"/>
      <c r="F520" s="102"/>
      <c r="G520" s="102"/>
      <c r="H520" s="102"/>
      <c r="I520" s="102"/>
      <c r="J520" s="102"/>
      <c r="K520" s="102"/>
      <c r="L520" s="102"/>
      <c r="M520" s="102"/>
      <c r="N520" s="102"/>
      <c r="O520" s="102"/>
      <c r="Q520" s="899" t="s">
        <v>91</v>
      </c>
    </row>
    <row r="521" spans="2:18" ht="15" customHeight="1">
      <c r="B521" s="97" t="s">
        <v>63</v>
      </c>
      <c r="C521" s="100"/>
      <c r="D521" s="100"/>
      <c r="E521" s="100"/>
      <c r="F521" s="100"/>
      <c r="G521" s="100"/>
      <c r="H521" s="100"/>
      <c r="I521" s="100"/>
      <c r="J521" s="100"/>
      <c r="K521" s="100"/>
      <c r="L521" s="100"/>
      <c r="M521" s="100"/>
      <c r="N521" s="100"/>
      <c r="O521" s="100"/>
      <c r="Q521" s="899" t="s">
        <v>91</v>
      </c>
    </row>
    <row r="522" spans="2:18" ht="15" customHeight="1">
      <c r="B522" s="97" t="s">
        <v>64</v>
      </c>
      <c r="C522" s="101"/>
      <c r="D522" s="101"/>
      <c r="E522" s="101"/>
      <c r="F522" s="101"/>
      <c r="G522" s="101"/>
      <c r="H522" s="101"/>
      <c r="I522" s="101"/>
      <c r="J522" s="101"/>
      <c r="K522" s="101"/>
      <c r="L522" s="101"/>
      <c r="M522" s="101"/>
      <c r="N522" s="101"/>
      <c r="O522" s="101"/>
      <c r="Q522" s="899" t="s">
        <v>91</v>
      </c>
    </row>
    <row r="523" spans="2:18" ht="15" customHeight="1">
      <c r="B523" s="97" t="s">
        <v>65</v>
      </c>
      <c r="C523" s="100"/>
      <c r="D523" s="100"/>
      <c r="E523" s="100"/>
      <c r="F523" s="100"/>
      <c r="G523" s="100"/>
      <c r="H523" s="100"/>
      <c r="I523" s="100"/>
      <c r="J523" s="100"/>
      <c r="K523" s="100"/>
      <c r="L523" s="100"/>
      <c r="M523" s="100"/>
      <c r="N523" s="100"/>
      <c r="O523" s="100"/>
      <c r="Q523" s="899" t="s">
        <v>91</v>
      </c>
      <c r="R523" s="68" t="s">
        <v>70</v>
      </c>
    </row>
    <row r="524" spans="2:18" ht="15" customHeight="1">
      <c r="B524" s="99" t="s">
        <v>67</v>
      </c>
      <c r="C524" s="102"/>
      <c r="D524" s="102"/>
      <c r="E524" s="102"/>
      <c r="F524" s="102"/>
      <c r="G524" s="102"/>
      <c r="H524" s="102"/>
      <c r="I524" s="102"/>
      <c r="J524" s="102"/>
      <c r="K524" s="102"/>
      <c r="L524" s="102"/>
      <c r="M524" s="102"/>
      <c r="N524" s="102"/>
      <c r="O524" s="102"/>
      <c r="Q524" s="899" t="s">
        <v>91</v>
      </c>
    </row>
    <row r="525" spans="2:18" ht="15" customHeight="1">
      <c r="B525" s="97" t="s">
        <v>63</v>
      </c>
      <c r="C525" s="100"/>
      <c r="D525" s="100"/>
      <c r="E525" s="100"/>
      <c r="F525" s="100"/>
      <c r="G525" s="100"/>
      <c r="H525" s="100"/>
      <c r="I525" s="100"/>
      <c r="J525" s="100"/>
      <c r="K525" s="100"/>
      <c r="L525" s="100"/>
      <c r="M525" s="100"/>
      <c r="N525" s="100"/>
      <c r="O525" s="100"/>
      <c r="Q525" s="899" t="s">
        <v>91</v>
      </c>
    </row>
    <row r="526" spans="2:18" ht="15" customHeight="1">
      <c r="B526" s="97" t="s">
        <v>64</v>
      </c>
      <c r="C526" s="101"/>
      <c r="D526" s="101"/>
      <c r="E526" s="101"/>
      <c r="F526" s="101"/>
      <c r="G526" s="101"/>
      <c r="H526" s="101"/>
      <c r="I526" s="101"/>
      <c r="J526" s="101"/>
      <c r="K526" s="101"/>
      <c r="L526" s="101"/>
      <c r="M526" s="101"/>
      <c r="N526" s="101"/>
      <c r="O526" s="101"/>
      <c r="Q526" s="899" t="s">
        <v>91</v>
      </c>
    </row>
    <row r="527" spans="2:18" ht="15" customHeight="1">
      <c r="B527" s="97" t="s">
        <v>65</v>
      </c>
      <c r="C527" s="100"/>
      <c r="D527" s="100"/>
      <c r="E527" s="100"/>
      <c r="F527" s="100"/>
      <c r="G527" s="100"/>
      <c r="H527" s="100"/>
      <c r="I527" s="100"/>
      <c r="J527" s="100"/>
      <c r="K527" s="100"/>
      <c r="L527" s="100"/>
      <c r="M527" s="100"/>
      <c r="N527" s="100"/>
      <c r="O527" s="100"/>
      <c r="Q527" s="899" t="s">
        <v>91</v>
      </c>
      <c r="R527" s="68" t="s">
        <v>71</v>
      </c>
    </row>
    <row r="528" spans="2:18" ht="15" customHeight="1">
      <c r="B528" s="99" t="s">
        <v>40</v>
      </c>
      <c r="C528" s="102"/>
      <c r="D528" s="102"/>
      <c r="E528" s="102"/>
      <c r="F528" s="102"/>
      <c r="G528" s="102"/>
      <c r="H528" s="102"/>
      <c r="I528" s="102"/>
      <c r="J528" s="102"/>
      <c r="K528" s="102"/>
      <c r="L528" s="102"/>
      <c r="M528" s="102"/>
      <c r="N528" s="102"/>
      <c r="O528" s="102"/>
      <c r="Q528" s="899" t="s">
        <v>91</v>
      </c>
    </row>
    <row r="529" spans="2:18" ht="15" customHeight="1">
      <c r="B529" s="97" t="s">
        <v>63</v>
      </c>
      <c r="C529" s="100"/>
      <c r="D529" s="100"/>
      <c r="E529" s="100"/>
      <c r="F529" s="100"/>
      <c r="G529" s="100"/>
      <c r="H529" s="100"/>
      <c r="I529" s="100"/>
      <c r="J529" s="100"/>
      <c r="K529" s="100"/>
      <c r="L529" s="100"/>
      <c r="M529" s="100"/>
      <c r="N529" s="100"/>
      <c r="O529" s="100"/>
      <c r="Q529" s="899" t="s">
        <v>91</v>
      </c>
    </row>
    <row r="530" spans="2:18" ht="15" customHeight="1">
      <c r="B530" s="97" t="s">
        <v>64</v>
      </c>
      <c r="C530" s="101"/>
      <c r="D530" s="101"/>
      <c r="E530" s="101"/>
      <c r="F530" s="101"/>
      <c r="G530" s="101"/>
      <c r="H530" s="101"/>
      <c r="I530" s="101"/>
      <c r="J530" s="101"/>
      <c r="K530" s="101"/>
      <c r="L530" s="101"/>
      <c r="M530" s="101"/>
      <c r="N530" s="101"/>
      <c r="O530" s="101"/>
      <c r="Q530" s="899" t="s">
        <v>91</v>
      </c>
    </row>
    <row r="531" spans="2:18" ht="15" customHeight="1">
      <c r="B531" s="97" t="s">
        <v>65</v>
      </c>
      <c r="C531" s="100"/>
      <c r="D531" s="100"/>
      <c r="E531" s="100"/>
      <c r="F531" s="100"/>
      <c r="G531" s="100"/>
      <c r="H531" s="100"/>
      <c r="I531" s="100"/>
      <c r="J531" s="100"/>
      <c r="K531" s="100"/>
      <c r="L531" s="100"/>
      <c r="M531" s="100"/>
      <c r="N531" s="100"/>
      <c r="O531" s="100"/>
      <c r="Q531" s="899" t="s">
        <v>91</v>
      </c>
      <c r="R531" s="68" t="s">
        <v>72</v>
      </c>
    </row>
    <row r="532" spans="2:18" ht="15" customHeight="1">
      <c r="B532" s="97"/>
      <c r="C532" s="100"/>
      <c r="D532" s="100"/>
      <c r="E532" s="100"/>
      <c r="F532" s="100"/>
      <c r="G532" s="100"/>
      <c r="H532" s="100"/>
      <c r="I532" s="100"/>
      <c r="J532" s="100"/>
      <c r="K532" s="100"/>
      <c r="L532" s="100"/>
      <c r="M532" s="100"/>
      <c r="N532" s="100"/>
      <c r="O532" s="100"/>
      <c r="Q532" s="899" t="s">
        <v>91</v>
      </c>
    </row>
    <row r="533" spans="2:18" ht="15" customHeight="1" thickBot="1">
      <c r="B533" s="75" t="s">
        <v>45</v>
      </c>
      <c r="C533" s="75"/>
      <c r="D533" s="75"/>
      <c r="E533" s="163" t="s">
        <v>93</v>
      </c>
      <c r="Q533" s="899" t="s">
        <v>91</v>
      </c>
    </row>
    <row r="534" spans="2:18" ht="15" customHeight="1">
      <c r="Q534" s="899" t="s">
        <v>91</v>
      </c>
    </row>
    <row r="535" spans="2:18" ht="15" customHeight="1">
      <c r="B535" s="74" t="s">
        <v>23</v>
      </c>
      <c r="C535" s="74" t="s">
        <v>36</v>
      </c>
      <c r="D535" s="74" t="s">
        <v>698</v>
      </c>
      <c r="E535" s="74" t="s">
        <v>699</v>
      </c>
      <c r="F535" s="74" t="s">
        <v>700</v>
      </c>
      <c r="G535" s="74" t="s">
        <v>701</v>
      </c>
      <c r="H535" s="74" t="s">
        <v>702</v>
      </c>
      <c r="I535" s="74" t="s">
        <v>703</v>
      </c>
      <c r="J535" s="74" t="s">
        <v>704</v>
      </c>
      <c r="K535" s="74" t="s">
        <v>705</v>
      </c>
      <c r="L535" s="74" t="s">
        <v>706</v>
      </c>
      <c r="M535" s="74" t="s">
        <v>707</v>
      </c>
      <c r="N535" s="74" t="s">
        <v>708</v>
      </c>
      <c r="O535" s="74" t="s">
        <v>709</v>
      </c>
      <c r="Q535" s="899" t="s">
        <v>91</v>
      </c>
    </row>
    <row r="536" spans="2:18" ht="15" customHeight="1">
      <c r="B536" s="74" t="s">
        <v>37</v>
      </c>
      <c r="C536" s="74">
        <v>-1</v>
      </c>
      <c r="D536" s="74">
        <v>1</v>
      </c>
      <c r="E536" s="74">
        <v>2</v>
      </c>
      <c r="F536" s="74">
        <v>3</v>
      </c>
      <c r="G536" s="74">
        <v>4</v>
      </c>
      <c r="H536" s="74">
        <v>5</v>
      </c>
      <c r="I536" s="74">
        <v>6</v>
      </c>
      <c r="J536" s="74">
        <v>7</v>
      </c>
      <c r="K536" s="74">
        <v>8</v>
      </c>
      <c r="L536" s="74">
        <v>9</v>
      </c>
      <c r="M536" s="74">
        <v>10</v>
      </c>
      <c r="N536" s="74">
        <v>11</v>
      </c>
      <c r="O536" s="74">
        <v>12</v>
      </c>
      <c r="Q536" s="899" t="s">
        <v>91</v>
      </c>
    </row>
    <row r="537" spans="2:18" ht="15" customHeight="1">
      <c r="B537" s="99" t="s">
        <v>61</v>
      </c>
      <c r="C537" s="102"/>
      <c r="D537" s="102"/>
      <c r="E537" s="102"/>
      <c r="F537" s="102"/>
      <c r="G537" s="102"/>
      <c r="H537" s="102"/>
      <c r="I537" s="102"/>
      <c r="J537" s="102"/>
      <c r="K537" s="102"/>
      <c r="L537" s="102"/>
      <c r="M537" s="102"/>
      <c r="N537" s="102"/>
      <c r="O537" s="102"/>
      <c r="Q537" s="899" t="s">
        <v>91</v>
      </c>
    </row>
    <row r="538" spans="2:18" ht="15" customHeight="1">
      <c r="B538" s="99" t="s">
        <v>62</v>
      </c>
      <c r="C538" s="102"/>
      <c r="D538" s="102"/>
      <c r="E538" s="102"/>
      <c r="F538" s="102"/>
      <c r="G538" s="102"/>
      <c r="H538" s="102"/>
      <c r="I538" s="102"/>
      <c r="J538" s="102"/>
      <c r="K538" s="102"/>
      <c r="L538" s="102"/>
      <c r="M538" s="102"/>
      <c r="N538" s="102"/>
      <c r="O538" s="102"/>
      <c r="Q538" s="899" t="s">
        <v>91</v>
      </c>
    </row>
    <row r="539" spans="2:18" ht="15" customHeight="1">
      <c r="B539" s="97" t="s">
        <v>63</v>
      </c>
      <c r="C539" s="100"/>
      <c r="D539" s="100"/>
      <c r="E539" s="100"/>
      <c r="F539" s="100"/>
      <c r="G539" s="100"/>
      <c r="H539" s="100"/>
      <c r="I539" s="100"/>
      <c r="J539" s="100"/>
      <c r="K539" s="100"/>
      <c r="L539" s="100"/>
      <c r="M539" s="100"/>
      <c r="N539" s="100"/>
      <c r="O539" s="100"/>
      <c r="Q539" s="899" t="s">
        <v>91</v>
      </c>
    </row>
    <row r="540" spans="2:18" ht="15" customHeight="1">
      <c r="B540" s="97" t="s">
        <v>64</v>
      </c>
      <c r="C540" s="101"/>
      <c r="D540" s="101"/>
      <c r="E540" s="101"/>
      <c r="F540" s="101"/>
      <c r="G540" s="101"/>
      <c r="H540" s="101"/>
      <c r="I540" s="101"/>
      <c r="J540" s="101"/>
      <c r="K540" s="101"/>
      <c r="L540" s="101"/>
      <c r="M540" s="101"/>
      <c r="N540" s="101"/>
      <c r="O540" s="101"/>
      <c r="Q540" s="899" t="s">
        <v>91</v>
      </c>
    </row>
    <row r="541" spans="2:18" ht="15" customHeight="1">
      <c r="B541" s="97" t="s">
        <v>65</v>
      </c>
      <c r="C541" s="100"/>
      <c r="D541" s="100"/>
      <c r="E541" s="100"/>
      <c r="F541" s="100"/>
      <c r="G541" s="100"/>
      <c r="H541" s="100"/>
      <c r="I541" s="100"/>
      <c r="J541" s="100"/>
      <c r="K541" s="100"/>
      <c r="L541" s="100"/>
      <c r="M541" s="100"/>
      <c r="N541" s="100"/>
      <c r="O541" s="100"/>
      <c r="Q541" s="899" t="s">
        <v>91</v>
      </c>
      <c r="R541" s="68" t="s">
        <v>66</v>
      </c>
    </row>
    <row r="542" spans="2:18" ht="15" customHeight="1">
      <c r="B542" s="99" t="s">
        <v>67</v>
      </c>
      <c r="C542" s="102"/>
      <c r="D542" s="102"/>
      <c r="E542" s="102"/>
      <c r="F542" s="102"/>
      <c r="G542" s="102"/>
      <c r="H542" s="102"/>
      <c r="I542" s="102"/>
      <c r="J542" s="102"/>
      <c r="K542" s="102"/>
      <c r="L542" s="102"/>
      <c r="M542" s="102"/>
      <c r="N542" s="102"/>
      <c r="O542" s="102"/>
      <c r="Q542" s="899" t="s">
        <v>91</v>
      </c>
    </row>
    <row r="543" spans="2:18" ht="15" customHeight="1">
      <c r="B543" s="97" t="s">
        <v>63</v>
      </c>
      <c r="C543" s="100"/>
      <c r="D543" s="100"/>
      <c r="E543" s="100"/>
      <c r="F543" s="100"/>
      <c r="G543" s="100"/>
      <c r="H543" s="100"/>
      <c r="I543" s="100"/>
      <c r="J543" s="100"/>
      <c r="K543" s="100"/>
      <c r="L543" s="100"/>
      <c r="M543" s="100"/>
      <c r="N543" s="100"/>
      <c r="O543" s="100"/>
      <c r="Q543" s="899" t="s">
        <v>91</v>
      </c>
    </row>
    <row r="544" spans="2:18" ht="15" customHeight="1">
      <c r="B544" s="97" t="s">
        <v>64</v>
      </c>
      <c r="C544" s="101"/>
      <c r="D544" s="101"/>
      <c r="E544" s="101"/>
      <c r="F544" s="101"/>
      <c r="G544" s="101"/>
      <c r="H544" s="101"/>
      <c r="I544" s="101"/>
      <c r="J544" s="101"/>
      <c r="K544" s="101"/>
      <c r="L544" s="101"/>
      <c r="M544" s="101"/>
      <c r="N544" s="101"/>
      <c r="O544" s="101"/>
      <c r="Q544" s="899" t="s">
        <v>91</v>
      </c>
    </row>
    <row r="545" spans="2:18" ht="15" customHeight="1">
      <c r="B545" s="97" t="s">
        <v>65</v>
      </c>
      <c r="C545" s="100"/>
      <c r="D545" s="100"/>
      <c r="E545" s="100"/>
      <c r="F545" s="100"/>
      <c r="G545" s="100"/>
      <c r="H545" s="100"/>
      <c r="I545" s="100"/>
      <c r="J545" s="100"/>
      <c r="K545" s="100"/>
      <c r="L545" s="100"/>
      <c r="M545" s="100"/>
      <c r="N545" s="100"/>
      <c r="O545" s="100"/>
      <c r="Q545" s="899" t="s">
        <v>91</v>
      </c>
      <c r="R545" s="68" t="s">
        <v>68</v>
      </c>
    </row>
    <row r="546" spans="2:18" ht="15" customHeight="1">
      <c r="B546" s="99" t="s">
        <v>40</v>
      </c>
      <c r="C546" s="102"/>
      <c r="D546" s="102"/>
      <c r="E546" s="102"/>
      <c r="F546" s="102"/>
      <c r="G546" s="102"/>
      <c r="H546" s="102"/>
      <c r="I546" s="102"/>
      <c r="J546" s="102"/>
      <c r="K546" s="102"/>
      <c r="L546" s="102"/>
      <c r="M546" s="102"/>
      <c r="N546" s="102"/>
      <c r="O546" s="102"/>
      <c r="Q546" s="899" t="s">
        <v>91</v>
      </c>
    </row>
    <row r="547" spans="2:18" ht="15" customHeight="1">
      <c r="B547" s="97" t="s">
        <v>63</v>
      </c>
      <c r="C547" s="100"/>
      <c r="D547" s="100"/>
      <c r="E547" s="100"/>
      <c r="F547" s="100"/>
      <c r="G547" s="100"/>
      <c r="H547" s="100"/>
      <c r="I547" s="100"/>
      <c r="J547" s="100"/>
      <c r="K547" s="100"/>
      <c r="L547" s="100"/>
      <c r="M547" s="100"/>
      <c r="N547" s="100"/>
      <c r="O547" s="100"/>
      <c r="Q547" s="899" t="s">
        <v>91</v>
      </c>
    </row>
    <row r="548" spans="2:18" ht="15" customHeight="1">
      <c r="B548" s="97" t="s">
        <v>64</v>
      </c>
      <c r="C548" s="101"/>
      <c r="D548" s="101"/>
      <c r="E548" s="101"/>
      <c r="F548" s="101"/>
      <c r="G548" s="101"/>
      <c r="H548" s="101"/>
      <c r="I548" s="101"/>
      <c r="J548" s="101"/>
      <c r="K548" s="101"/>
      <c r="L548" s="101"/>
      <c r="M548" s="101"/>
      <c r="N548" s="101"/>
      <c r="O548" s="101"/>
      <c r="Q548" s="899" t="s">
        <v>91</v>
      </c>
    </row>
    <row r="549" spans="2:18" ht="15" customHeight="1">
      <c r="B549" s="97" t="s">
        <v>65</v>
      </c>
      <c r="C549" s="100"/>
      <c r="D549" s="100"/>
      <c r="E549" s="100"/>
      <c r="F549" s="100"/>
      <c r="G549" s="100"/>
      <c r="H549" s="100"/>
      <c r="I549" s="100"/>
      <c r="J549" s="100"/>
      <c r="K549" s="100"/>
      <c r="L549" s="100"/>
      <c r="M549" s="100"/>
      <c r="N549" s="100"/>
      <c r="O549" s="100"/>
      <c r="Q549" s="899" t="s">
        <v>91</v>
      </c>
      <c r="R549" s="68" t="s">
        <v>69</v>
      </c>
    </row>
    <row r="550" spans="2:18" ht="15" customHeight="1">
      <c r="B550" s="99" t="s">
        <v>23</v>
      </c>
      <c r="C550" s="102"/>
      <c r="D550" s="102"/>
      <c r="E550" s="102"/>
      <c r="F550" s="102"/>
      <c r="G550" s="102"/>
      <c r="H550" s="102"/>
      <c r="I550" s="102"/>
      <c r="J550" s="102"/>
      <c r="K550" s="102"/>
      <c r="L550" s="102"/>
      <c r="M550" s="102"/>
      <c r="N550" s="102"/>
      <c r="O550" s="102"/>
      <c r="Q550" s="899" t="s">
        <v>91</v>
      </c>
    </row>
    <row r="551" spans="2:18" ht="15" customHeight="1">
      <c r="B551" s="99" t="s">
        <v>62</v>
      </c>
      <c r="C551" s="102"/>
      <c r="D551" s="102"/>
      <c r="E551" s="102"/>
      <c r="F551" s="102"/>
      <c r="G551" s="102"/>
      <c r="H551" s="102"/>
      <c r="I551" s="102"/>
      <c r="J551" s="102"/>
      <c r="K551" s="102"/>
      <c r="L551" s="102"/>
      <c r="M551" s="102"/>
      <c r="N551" s="102"/>
      <c r="O551" s="102"/>
      <c r="Q551" s="899" t="s">
        <v>91</v>
      </c>
    </row>
    <row r="552" spans="2:18" ht="15" customHeight="1">
      <c r="B552" s="97" t="s">
        <v>63</v>
      </c>
      <c r="C552" s="100"/>
      <c r="D552" s="100"/>
      <c r="E552" s="100"/>
      <c r="F552" s="100"/>
      <c r="G552" s="100"/>
      <c r="H552" s="100"/>
      <c r="I552" s="100"/>
      <c r="J552" s="100"/>
      <c r="K552" s="100"/>
      <c r="L552" s="100"/>
      <c r="M552" s="100"/>
      <c r="N552" s="100"/>
      <c r="O552" s="100"/>
      <c r="Q552" s="899" t="s">
        <v>91</v>
      </c>
    </row>
    <row r="553" spans="2:18" ht="15" customHeight="1">
      <c r="B553" s="97" t="s">
        <v>64</v>
      </c>
      <c r="C553" s="101"/>
      <c r="D553" s="101"/>
      <c r="E553" s="101"/>
      <c r="F553" s="101"/>
      <c r="G553" s="101"/>
      <c r="H553" s="101"/>
      <c r="I553" s="101"/>
      <c r="J553" s="101"/>
      <c r="K553" s="101"/>
      <c r="L553" s="101"/>
      <c r="M553" s="101"/>
      <c r="N553" s="101"/>
      <c r="O553" s="101"/>
      <c r="Q553" s="899" t="s">
        <v>91</v>
      </c>
    </row>
    <row r="554" spans="2:18" ht="15" customHeight="1">
      <c r="B554" s="97" t="s">
        <v>65</v>
      </c>
      <c r="C554" s="100"/>
      <c r="D554" s="100"/>
      <c r="E554" s="100"/>
      <c r="F554" s="100"/>
      <c r="G554" s="100"/>
      <c r="H554" s="100"/>
      <c r="I554" s="100"/>
      <c r="J554" s="100"/>
      <c r="K554" s="100"/>
      <c r="L554" s="100"/>
      <c r="M554" s="100"/>
      <c r="N554" s="100"/>
      <c r="O554" s="100"/>
      <c r="Q554" s="899" t="s">
        <v>91</v>
      </c>
      <c r="R554" s="68" t="s">
        <v>70</v>
      </c>
    </row>
    <row r="555" spans="2:18" ht="15" customHeight="1">
      <c r="B555" s="99" t="s">
        <v>67</v>
      </c>
      <c r="C555" s="102"/>
      <c r="D555" s="102"/>
      <c r="E555" s="102"/>
      <c r="F555" s="102"/>
      <c r="G555" s="102"/>
      <c r="H555" s="102"/>
      <c r="I555" s="102"/>
      <c r="J555" s="102"/>
      <c r="K555" s="102"/>
      <c r="L555" s="102"/>
      <c r="M555" s="102"/>
      <c r="N555" s="102"/>
      <c r="O555" s="102"/>
      <c r="Q555" s="899" t="s">
        <v>91</v>
      </c>
    </row>
    <row r="556" spans="2:18" ht="15" customHeight="1">
      <c r="B556" s="97" t="s">
        <v>63</v>
      </c>
      <c r="C556" s="100"/>
      <c r="D556" s="100"/>
      <c r="E556" s="100"/>
      <c r="F556" s="100"/>
      <c r="G556" s="100"/>
      <c r="H556" s="100"/>
      <c r="I556" s="100"/>
      <c r="J556" s="100"/>
      <c r="K556" s="100"/>
      <c r="L556" s="100"/>
      <c r="M556" s="100"/>
      <c r="N556" s="100"/>
      <c r="O556" s="100"/>
      <c r="Q556" s="899" t="s">
        <v>91</v>
      </c>
    </row>
    <row r="557" spans="2:18" ht="15" customHeight="1">
      <c r="B557" s="97" t="s">
        <v>64</v>
      </c>
      <c r="C557" s="101"/>
      <c r="D557" s="101"/>
      <c r="E557" s="101"/>
      <c r="F557" s="101"/>
      <c r="G557" s="101"/>
      <c r="H557" s="101"/>
      <c r="I557" s="101"/>
      <c r="J557" s="101"/>
      <c r="K557" s="101"/>
      <c r="L557" s="101"/>
      <c r="M557" s="101"/>
      <c r="N557" s="101"/>
      <c r="O557" s="101"/>
      <c r="Q557" s="899" t="s">
        <v>91</v>
      </c>
    </row>
    <row r="558" spans="2:18" ht="15" customHeight="1">
      <c r="B558" s="97" t="s">
        <v>65</v>
      </c>
      <c r="C558" s="100"/>
      <c r="D558" s="100"/>
      <c r="E558" s="100"/>
      <c r="F558" s="100"/>
      <c r="G558" s="100"/>
      <c r="H558" s="100"/>
      <c r="I558" s="100"/>
      <c r="J558" s="100"/>
      <c r="K558" s="100"/>
      <c r="L558" s="100"/>
      <c r="M558" s="100"/>
      <c r="N558" s="100"/>
      <c r="O558" s="100"/>
      <c r="Q558" s="899" t="s">
        <v>91</v>
      </c>
      <c r="R558" s="68" t="s">
        <v>71</v>
      </c>
    </row>
    <row r="559" spans="2:18" ht="15" customHeight="1">
      <c r="B559" s="99" t="s">
        <v>40</v>
      </c>
      <c r="C559" s="102"/>
      <c r="D559" s="102"/>
      <c r="E559" s="102"/>
      <c r="F559" s="102"/>
      <c r="G559" s="102"/>
      <c r="H559" s="102"/>
      <c r="I559" s="102"/>
      <c r="J559" s="102"/>
      <c r="K559" s="102"/>
      <c r="L559" s="102"/>
      <c r="M559" s="102"/>
      <c r="N559" s="102"/>
      <c r="O559" s="102"/>
      <c r="Q559" s="899" t="s">
        <v>91</v>
      </c>
    </row>
    <row r="560" spans="2:18" ht="15" customHeight="1">
      <c r="B560" s="97" t="s">
        <v>63</v>
      </c>
      <c r="C560" s="100"/>
      <c r="D560" s="100"/>
      <c r="E560" s="100"/>
      <c r="F560" s="100"/>
      <c r="G560" s="100"/>
      <c r="H560" s="100"/>
      <c r="I560" s="100"/>
      <c r="J560" s="100"/>
      <c r="K560" s="100"/>
      <c r="L560" s="100"/>
      <c r="M560" s="100"/>
      <c r="N560" s="100"/>
      <c r="O560" s="100"/>
      <c r="Q560" s="899" t="s">
        <v>91</v>
      </c>
    </row>
    <row r="561" spans="2:18" ht="15" customHeight="1">
      <c r="B561" s="97" t="s">
        <v>64</v>
      </c>
      <c r="C561" s="101"/>
      <c r="D561" s="101"/>
      <c r="E561" s="101"/>
      <c r="F561" s="101"/>
      <c r="G561" s="101"/>
      <c r="H561" s="101"/>
      <c r="I561" s="101"/>
      <c r="J561" s="101"/>
      <c r="K561" s="101"/>
      <c r="L561" s="101"/>
      <c r="M561" s="101"/>
      <c r="N561" s="101"/>
      <c r="O561" s="101"/>
      <c r="Q561" s="899" t="s">
        <v>91</v>
      </c>
    </row>
    <row r="562" spans="2:18" ht="15" customHeight="1">
      <c r="B562" s="97" t="s">
        <v>65</v>
      </c>
      <c r="C562" s="100"/>
      <c r="D562" s="100"/>
      <c r="E562" s="100"/>
      <c r="F562" s="100"/>
      <c r="G562" s="100"/>
      <c r="H562" s="100"/>
      <c r="I562" s="100"/>
      <c r="J562" s="100"/>
      <c r="K562" s="100"/>
      <c r="L562" s="100"/>
      <c r="M562" s="100"/>
      <c r="N562" s="100"/>
      <c r="O562" s="100"/>
      <c r="Q562" s="899" t="s">
        <v>91</v>
      </c>
      <c r="R562" s="68" t="s">
        <v>72</v>
      </c>
    </row>
    <row r="563" spans="2:18" ht="15" customHeight="1">
      <c r="B563" s="97"/>
      <c r="C563" s="100"/>
      <c r="D563" s="100"/>
      <c r="E563" s="100"/>
      <c r="F563" s="100"/>
      <c r="G563" s="100"/>
      <c r="H563" s="100"/>
      <c r="I563" s="100"/>
      <c r="J563" s="100"/>
      <c r="K563" s="100"/>
      <c r="L563" s="100"/>
      <c r="M563" s="100"/>
      <c r="N563" s="100"/>
      <c r="O563" s="100"/>
      <c r="Q563" s="901"/>
    </row>
    <row r="564" spans="2:18" ht="15" customHeight="1" thickBot="1">
      <c r="B564" s="75" t="s">
        <v>56</v>
      </c>
      <c r="C564" s="75"/>
      <c r="D564" s="75"/>
      <c r="E564" s="163" t="s">
        <v>94</v>
      </c>
    </row>
    <row r="566" spans="2:18" ht="15" customHeight="1">
      <c r="B566" s="74" t="s">
        <v>23</v>
      </c>
      <c r="C566" s="74" t="s">
        <v>36</v>
      </c>
      <c r="D566" s="74" t="s">
        <v>698</v>
      </c>
      <c r="E566" s="74" t="s">
        <v>699</v>
      </c>
      <c r="F566" s="74" t="s">
        <v>700</v>
      </c>
      <c r="G566" s="74" t="s">
        <v>701</v>
      </c>
      <c r="H566" s="74" t="s">
        <v>702</v>
      </c>
      <c r="I566" s="74" t="s">
        <v>703</v>
      </c>
      <c r="J566" s="74" t="s">
        <v>704</v>
      </c>
      <c r="K566" s="74" t="s">
        <v>705</v>
      </c>
      <c r="L566" s="74" t="s">
        <v>706</v>
      </c>
      <c r="M566" s="74" t="s">
        <v>707</v>
      </c>
      <c r="N566" s="74" t="s">
        <v>708</v>
      </c>
      <c r="O566" s="74" t="s">
        <v>709</v>
      </c>
    </row>
    <row r="567" spans="2:18" ht="15" customHeight="1">
      <c r="B567" s="74" t="s">
        <v>37</v>
      </c>
      <c r="C567" s="74">
        <v>-1</v>
      </c>
      <c r="D567" s="74">
        <v>1</v>
      </c>
      <c r="E567" s="74">
        <v>2</v>
      </c>
      <c r="F567" s="74">
        <v>3</v>
      </c>
      <c r="G567" s="74">
        <v>4</v>
      </c>
      <c r="H567" s="74">
        <v>5</v>
      </c>
      <c r="I567" s="74">
        <v>6</v>
      </c>
      <c r="J567" s="74">
        <v>7</v>
      </c>
      <c r="K567" s="74">
        <v>8</v>
      </c>
      <c r="L567" s="74">
        <v>9</v>
      </c>
      <c r="M567" s="74">
        <v>10</v>
      </c>
      <c r="N567" s="74">
        <v>11</v>
      </c>
      <c r="O567" s="74">
        <v>12</v>
      </c>
    </row>
    <row r="568" spans="2:18" ht="15" customHeight="1">
      <c r="B568" s="99" t="s">
        <v>61</v>
      </c>
      <c r="C568" s="102"/>
      <c r="D568" s="102"/>
      <c r="E568" s="102"/>
      <c r="F568" s="102"/>
      <c r="G568" s="102"/>
      <c r="H568" s="102"/>
      <c r="I568" s="102"/>
      <c r="J568" s="102"/>
      <c r="K568" s="102"/>
      <c r="L568" s="102"/>
      <c r="M568" s="102"/>
      <c r="N568" s="102"/>
      <c r="O568" s="102"/>
      <c r="Q568" s="899" t="s">
        <v>56</v>
      </c>
    </row>
    <row r="569" spans="2:18" ht="15" customHeight="1">
      <c r="B569" s="99" t="s">
        <v>62</v>
      </c>
      <c r="C569" s="102"/>
      <c r="D569" s="102"/>
      <c r="E569" s="102"/>
      <c r="F569" s="102"/>
      <c r="G569" s="102"/>
      <c r="H569" s="102"/>
      <c r="I569" s="102"/>
      <c r="J569" s="102"/>
      <c r="K569" s="102"/>
      <c r="L569" s="102"/>
      <c r="M569" s="102"/>
      <c r="N569" s="102"/>
      <c r="O569" s="102"/>
      <c r="Q569" s="899" t="s">
        <v>56</v>
      </c>
    </row>
    <row r="570" spans="2:18" ht="15" customHeight="1">
      <c r="B570" s="97" t="s">
        <v>63</v>
      </c>
      <c r="C570" s="100"/>
      <c r="D570" s="100"/>
      <c r="E570" s="100"/>
      <c r="F570" s="100"/>
      <c r="G570" s="100"/>
      <c r="H570" s="100"/>
      <c r="I570" s="100"/>
      <c r="J570" s="100"/>
      <c r="K570" s="100"/>
      <c r="L570" s="100"/>
      <c r="M570" s="100"/>
      <c r="N570" s="100"/>
      <c r="O570" s="100"/>
      <c r="Q570" s="899" t="s">
        <v>56</v>
      </c>
    </row>
    <row r="571" spans="2:18" ht="15" customHeight="1">
      <c r="B571" s="97" t="s">
        <v>64</v>
      </c>
      <c r="C571" s="101"/>
      <c r="D571" s="101"/>
      <c r="E571" s="101"/>
      <c r="F571" s="101"/>
      <c r="G571" s="101"/>
      <c r="H571" s="101"/>
      <c r="I571" s="101"/>
      <c r="J571" s="101"/>
      <c r="K571" s="101"/>
      <c r="L571" s="101"/>
      <c r="M571" s="101"/>
      <c r="N571" s="101"/>
      <c r="O571" s="101"/>
      <c r="Q571" s="899" t="s">
        <v>56</v>
      </c>
    </row>
    <row r="572" spans="2:18" ht="15" customHeight="1">
      <c r="B572" s="97" t="s">
        <v>65</v>
      </c>
      <c r="C572" s="100"/>
      <c r="D572" s="100"/>
      <c r="E572" s="100"/>
      <c r="F572" s="100"/>
      <c r="G572" s="100"/>
      <c r="H572" s="100"/>
      <c r="I572" s="100"/>
      <c r="J572" s="100"/>
      <c r="K572" s="100"/>
      <c r="L572" s="100"/>
      <c r="M572" s="100"/>
      <c r="N572" s="100"/>
      <c r="O572" s="100"/>
      <c r="Q572" s="899" t="s">
        <v>56</v>
      </c>
      <c r="R572" s="68" t="s">
        <v>66</v>
      </c>
    </row>
    <row r="573" spans="2:18" ht="15" customHeight="1">
      <c r="B573" s="99" t="s">
        <v>67</v>
      </c>
      <c r="C573" s="102"/>
      <c r="D573" s="102"/>
      <c r="E573" s="102"/>
      <c r="F573" s="102"/>
      <c r="G573" s="102"/>
      <c r="H573" s="102"/>
      <c r="I573" s="102"/>
      <c r="J573" s="102"/>
      <c r="K573" s="102"/>
      <c r="L573" s="102"/>
      <c r="M573" s="102"/>
      <c r="N573" s="102"/>
      <c r="O573" s="102"/>
      <c r="Q573" s="899" t="s">
        <v>56</v>
      </c>
    </row>
    <row r="574" spans="2:18" ht="15" customHeight="1">
      <c r="B574" s="97" t="s">
        <v>63</v>
      </c>
      <c r="C574" s="100"/>
      <c r="D574" s="100"/>
      <c r="E574" s="100"/>
      <c r="F574" s="100"/>
      <c r="G574" s="100"/>
      <c r="H574" s="100"/>
      <c r="I574" s="100"/>
      <c r="J574" s="100"/>
      <c r="K574" s="100"/>
      <c r="L574" s="100"/>
      <c r="M574" s="100"/>
      <c r="N574" s="100"/>
      <c r="O574" s="100"/>
      <c r="Q574" s="899" t="s">
        <v>56</v>
      </c>
    </row>
    <row r="575" spans="2:18" ht="15" customHeight="1">
      <c r="B575" s="97" t="s">
        <v>64</v>
      </c>
      <c r="C575" s="101"/>
      <c r="D575" s="101"/>
      <c r="E575" s="101"/>
      <c r="F575" s="101"/>
      <c r="G575" s="101"/>
      <c r="H575" s="101"/>
      <c r="I575" s="101"/>
      <c r="J575" s="101"/>
      <c r="K575" s="101"/>
      <c r="L575" s="101"/>
      <c r="M575" s="101"/>
      <c r="N575" s="101"/>
      <c r="O575" s="101"/>
      <c r="Q575" s="899" t="s">
        <v>56</v>
      </c>
    </row>
    <row r="576" spans="2:18" ht="15" customHeight="1">
      <c r="B576" s="97" t="s">
        <v>65</v>
      </c>
      <c r="C576" s="100"/>
      <c r="D576" s="100"/>
      <c r="E576" s="100"/>
      <c r="F576" s="100"/>
      <c r="G576" s="100"/>
      <c r="H576" s="100"/>
      <c r="I576" s="100"/>
      <c r="J576" s="100"/>
      <c r="K576" s="100"/>
      <c r="L576" s="100"/>
      <c r="M576" s="100"/>
      <c r="N576" s="100"/>
      <c r="O576" s="100"/>
      <c r="Q576" s="899" t="s">
        <v>56</v>
      </c>
      <c r="R576" s="68" t="s">
        <v>68</v>
      </c>
    </row>
    <row r="577" spans="2:18" ht="15" customHeight="1">
      <c r="B577" s="99" t="s">
        <v>40</v>
      </c>
      <c r="C577" s="102"/>
      <c r="D577" s="102"/>
      <c r="E577" s="102"/>
      <c r="F577" s="102"/>
      <c r="G577" s="102"/>
      <c r="H577" s="102"/>
      <c r="I577" s="102"/>
      <c r="J577" s="102"/>
      <c r="K577" s="102"/>
      <c r="L577" s="102"/>
      <c r="M577" s="102"/>
      <c r="N577" s="102"/>
      <c r="O577" s="102"/>
      <c r="Q577" s="899" t="s">
        <v>56</v>
      </c>
    </row>
    <row r="578" spans="2:18" ht="15" customHeight="1">
      <c r="B578" s="97" t="s">
        <v>63</v>
      </c>
      <c r="C578" s="100"/>
      <c r="D578" s="100"/>
      <c r="E578" s="100"/>
      <c r="F578" s="100"/>
      <c r="G578" s="100"/>
      <c r="H578" s="100"/>
      <c r="I578" s="100"/>
      <c r="J578" s="100"/>
      <c r="K578" s="100"/>
      <c r="L578" s="100"/>
      <c r="M578" s="100"/>
      <c r="N578" s="100"/>
      <c r="O578" s="100"/>
      <c r="Q578" s="899" t="s">
        <v>56</v>
      </c>
    </row>
    <row r="579" spans="2:18" ht="15" customHeight="1">
      <c r="B579" s="97" t="s">
        <v>64</v>
      </c>
      <c r="C579" s="101"/>
      <c r="D579" s="101"/>
      <c r="E579" s="101"/>
      <c r="F579" s="101"/>
      <c r="G579" s="101"/>
      <c r="H579" s="101"/>
      <c r="I579" s="101"/>
      <c r="J579" s="101"/>
      <c r="K579" s="101"/>
      <c r="L579" s="101"/>
      <c r="M579" s="101"/>
      <c r="N579" s="101"/>
      <c r="O579" s="101"/>
      <c r="Q579" s="899" t="s">
        <v>56</v>
      </c>
    </row>
    <row r="580" spans="2:18" ht="15" customHeight="1">
      <c r="B580" s="97" t="s">
        <v>65</v>
      </c>
      <c r="C580" s="100"/>
      <c r="D580" s="100"/>
      <c r="E580" s="100"/>
      <c r="F580" s="100"/>
      <c r="G580" s="100"/>
      <c r="H580" s="100"/>
      <c r="I580" s="100"/>
      <c r="J580" s="100"/>
      <c r="K580" s="100"/>
      <c r="L580" s="100"/>
      <c r="M580" s="100"/>
      <c r="N580" s="100"/>
      <c r="O580" s="100"/>
      <c r="Q580" s="899" t="s">
        <v>56</v>
      </c>
      <c r="R580" s="68" t="s">
        <v>69</v>
      </c>
    </row>
    <row r="581" spans="2:18" ht="15" customHeight="1">
      <c r="B581" s="99" t="s">
        <v>23</v>
      </c>
      <c r="C581" s="102"/>
      <c r="D581" s="102"/>
      <c r="E581" s="102"/>
      <c r="F581" s="102"/>
      <c r="G581" s="102"/>
      <c r="H581" s="102"/>
      <c r="I581" s="102"/>
      <c r="J581" s="102"/>
      <c r="K581" s="102"/>
      <c r="L581" s="102"/>
      <c r="M581" s="102"/>
      <c r="N581" s="102"/>
      <c r="O581" s="102"/>
      <c r="Q581" s="899" t="s">
        <v>56</v>
      </c>
    </row>
    <row r="582" spans="2:18" ht="15" customHeight="1">
      <c r="B582" s="99" t="s">
        <v>62</v>
      </c>
      <c r="C582" s="102"/>
      <c r="D582" s="102"/>
      <c r="E582" s="102"/>
      <c r="F582" s="102"/>
      <c r="G582" s="102"/>
      <c r="H582" s="102"/>
      <c r="I582" s="102"/>
      <c r="J582" s="102"/>
      <c r="K582" s="102"/>
      <c r="L582" s="102"/>
      <c r="M582" s="102"/>
      <c r="N582" s="102"/>
      <c r="O582" s="102"/>
      <c r="Q582" s="899" t="s">
        <v>56</v>
      </c>
    </row>
    <row r="583" spans="2:18" ht="15" customHeight="1">
      <c r="B583" s="97" t="s">
        <v>63</v>
      </c>
      <c r="C583" s="100"/>
      <c r="D583" s="100"/>
      <c r="E583" s="100"/>
      <c r="F583" s="100"/>
      <c r="G583" s="100"/>
      <c r="H583" s="100"/>
      <c r="I583" s="100"/>
      <c r="J583" s="100"/>
      <c r="K583" s="100"/>
      <c r="L583" s="100"/>
      <c r="M583" s="100"/>
      <c r="N583" s="100"/>
      <c r="O583" s="100"/>
      <c r="Q583" s="899" t="s">
        <v>56</v>
      </c>
    </row>
    <row r="584" spans="2:18" ht="15" customHeight="1">
      <c r="B584" s="97" t="s">
        <v>64</v>
      </c>
      <c r="C584" s="101"/>
      <c r="D584" s="101"/>
      <c r="E584" s="101"/>
      <c r="F584" s="101"/>
      <c r="G584" s="101"/>
      <c r="H584" s="101"/>
      <c r="I584" s="101"/>
      <c r="J584" s="101"/>
      <c r="K584" s="101"/>
      <c r="L584" s="101"/>
      <c r="M584" s="101"/>
      <c r="N584" s="101"/>
      <c r="O584" s="101"/>
      <c r="Q584" s="899" t="s">
        <v>56</v>
      </c>
    </row>
    <row r="585" spans="2:18" ht="15" customHeight="1">
      <c r="B585" s="97" t="s">
        <v>65</v>
      </c>
      <c r="C585" s="100"/>
      <c r="D585" s="100"/>
      <c r="E585" s="100"/>
      <c r="F585" s="100"/>
      <c r="G585" s="100"/>
      <c r="H585" s="100"/>
      <c r="I585" s="100"/>
      <c r="J585" s="100"/>
      <c r="K585" s="100"/>
      <c r="L585" s="100"/>
      <c r="M585" s="100"/>
      <c r="N585" s="100"/>
      <c r="O585" s="100"/>
      <c r="Q585" s="899" t="s">
        <v>56</v>
      </c>
      <c r="R585" s="68" t="s">
        <v>70</v>
      </c>
    </row>
    <row r="586" spans="2:18" ht="15" customHeight="1">
      <c r="B586" s="99" t="s">
        <v>67</v>
      </c>
      <c r="C586" s="102"/>
      <c r="D586" s="102"/>
      <c r="E586" s="102"/>
      <c r="F586" s="102"/>
      <c r="G586" s="102"/>
      <c r="H586" s="102"/>
      <c r="I586" s="102"/>
      <c r="J586" s="102"/>
      <c r="K586" s="102"/>
      <c r="L586" s="102"/>
      <c r="M586" s="102"/>
      <c r="N586" s="102"/>
      <c r="O586" s="102"/>
      <c r="Q586" s="899" t="s">
        <v>56</v>
      </c>
    </row>
    <row r="587" spans="2:18" ht="15" customHeight="1">
      <c r="B587" s="97" t="s">
        <v>63</v>
      </c>
      <c r="C587" s="100"/>
      <c r="D587" s="100"/>
      <c r="E587" s="100"/>
      <c r="F587" s="100"/>
      <c r="G587" s="100"/>
      <c r="H587" s="100"/>
      <c r="I587" s="100"/>
      <c r="J587" s="100"/>
      <c r="K587" s="100"/>
      <c r="L587" s="100"/>
      <c r="M587" s="100"/>
      <c r="N587" s="100"/>
      <c r="O587" s="100"/>
      <c r="Q587" s="899" t="s">
        <v>56</v>
      </c>
    </row>
    <row r="588" spans="2:18" ht="15" customHeight="1">
      <c r="B588" s="97" t="s">
        <v>64</v>
      </c>
      <c r="C588" s="101"/>
      <c r="D588" s="101"/>
      <c r="E588" s="101"/>
      <c r="F588" s="101"/>
      <c r="G588" s="101"/>
      <c r="H588" s="101"/>
      <c r="I588" s="101"/>
      <c r="J588" s="101"/>
      <c r="K588" s="101"/>
      <c r="L588" s="101"/>
      <c r="M588" s="101"/>
      <c r="N588" s="101"/>
      <c r="O588" s="101"/>
      <c r="Q588" s="899" t="s">
        <v>56</v>
      </c>
    </row>
    <row r="589" spans="2:18" ht="15" customHeight="1">
      <c r="B589" s="97" t="s">
        <v>65</v>
      </c>
      <c r="C589" s="100"/>
      <c r="D589" s="100"/>
      <c r="E589" s="100"/>
      <c r="F589" s="100"/>
      <c r="G589" s="100"/>
      <c r="H589" s="100"/>
      <c r="I589" s="100"/>
      <c r="J589" s="100"/>
      <c r="K589" s="100"/>
      <c r="L589" s="100"/>
      <c r="M589" s="100"/>
      <c r="N589" s="100"/>
      <c r="O589" s="100"/>
      <c r="Q589" s="899" t="s">
        <v>56</v>
      </c>
      <c r="R589" s="68" t="s">
        <v>71</v>
      </c>
    </row>
    <row r="590" spans="2:18" ht="15" customHeight="1">
      <c r="B590" s="99" t="s">
        <v>40</v>
      </c>
      <c r="C590" s="102"/>
      <c r="D590" s="102"/>
      <c r="E590" s="102"/>
      <c r="F590" s="102"/>
      <c r="G590" s="102"/>
      <c r="H590" s="102"/>
      <c r="I590" s="102"/>
      <c r="J590" s="102"/>
      <c r="K590" s="102"/>
      <c r="L590" s="102"/>
      <c r="M590" s="102"/>
      <c r="N590" s="102"/>
      <c r="O590" s="102"/>
      <c r="Q590" s="899" t="s">
        <v>56</v>
      </c>
    </row>
    <row r="591" spans="2:18" ht="15" customHeight="1">
      <c r="B591" s="97" t="s">
        <v>63</v>
      </c>
      <c r="C591" s="100"/>
      <c r="D591" s="100"/>
      <c r="E591" s="100"/>
      <c r="F591" s="100"/>
      <c r="G591" s="100"/>
      <c r="H591" s="100"/>
      <c r="I591" s="100"/>
      <c r="J591" s="100"/>
      <c r="K591" s="100"/>
      <c r="L591" s="100"/>
      <c r="M591" s="100"/>
      <c r="N591" s="100"/>
      <c r="O591" s="100"/>
      <c r="Q591" s="899" t="s">
        <v>56</v>
      </c>
    </row>
    <row r="592" spans="2:18" ht="15" customHeight="1">
      <c r="B592" s="97" t="s">
        <v>64</v>
      </c>
      <c r="C592" s="101"/>
      <c r="D592" s="101"/>
      <c r="E592" s="101"/>
      <c r="F592" s="101"/>
      <c r="G592" s="101"/>
      <c r="H592" s="101"/>
      <c r="I592" s="101"/>
      <c r="J592" s="101"/>
      <c r="K592" s="101"/>
      <c r="L592" s="101"/>
      <c r="M592" s="101"/>
      <c r="N592" s="101"/>
      <c r="O592" s="101"/>
      <c r="Q592" s="899" t="s">
        <v>56</v>
      </c>
    </row>
    <row r="593" spans="1:18" ht="15" customHeight="1">
      <c r="B593" s="97" t="s">
        <v>65</v>
      </c>
      <c r="C593" s="100"/>
      <c r="D593" s="100"/>
      <c r="E593" s="100"/>
      <c r="F593" s="100"/>
      <c r="G593" s="100"/>
      <c r="H593" s="100"/>
      <c r="I593" s="100"/>
      <c r="J593" s="100"/>
      <c r="K593" s="100"/>
      <c r="L593" s="100"/>
      <c r="M593" s="100"/>
      <c r="N593" s="100"/>
      <c r="O593" s="100"/>
      <c r="Q593" s="899" t="s">
        <v>56</v>
      </c>
      <c r="R593" s="68" t="s">
        <v>72</v>
      </c>
    </row>
    <row r="594" spans="1:18" ht="15" customHeight="1">
      <c r="B594" s="97"/>
      <c r="C594" s="100"/>
      <c r="D594" s="100"/>
      <c r="E594" s="100"/>
      <c r="F594" s="100"/>
      <c r="G594" s="100"/>
      <c r="H594" s="100"/>
      <c r="I594" s="100"/>
      <c r="J594" s="100"/>
      <c r="K594" s="100"/>
      <c r="L594" s="100"/>
      <c r="M594" s="100"/>
      <c r="N594" s="100"/>
      <c r="O594" s="100"/>
    </row>
    <row r="595" spans="1:18" ht="15" customHeight="1" thickBot="1">
      <c r="A595" s="591"/>
      <c r="B595" s="75" t="s">
        <v>55</v>
      </c>
      <c r="C595" s="75"/>
      <c r="D595" s="75"/>
      <c r="E595" s="163" t="s">
        <v>95</v>
      </c>
    </row>
    <row r="597" spans="1:18" ht="15" customHeight="1">
      <c r="B597" s="74" t="s">
        <v>23</v>
      </c>
      <c r="C597" s="74" t="s">
        <v>36</v>
      </c>
      <c r="D597" s="74" t="s">
        <v>698</v>
      </c>
      <c r="E597" s="74" t="s">
        <v>699</v>
      </c>
      <c r="F597" s="74" t="s">
        <v>700</v>
      </c>
      <c r="G597" s="74" t="s">
        <v>701</v>
      </c>
      <c r="H597" s="74" t="s">
        <v>702</v>
      </c>
      <c r="I597" s="74" t="s">
        <v>703</v>
      </c>
      <c r="J597" s="74" t="s">
        <v>704</v>
      </c>
      <c r="K597" s="74" t="s">
        <v>705</v>
      </c>
      <c r="L597" s="74" t="s">
        <v>706</v>
      </c>
      <c r="M597" s="74" t="s">
        <v>707</v>
      </c>
      <c r="N597" s="74" t="s">
        <v>708</v>
      </c>
      <c r="O597" s="74" t="s">
        <v>709</v>
      </c>
    </row>
    <row r="598" spans="1:18" ht="15" customHeight="1">
      <c r="B598" s="74" t="s">
        <v>37</v>
      </c>
      <c r="C598" s="74">
        <v>-1</v>
      </c>
      <c r="D598" s="74">
        <v>1</v>
      </c>
      <c r="E598" s="74">
        <v>2</v>
      </c>
      <c r="F598" s="74">
        <v>3</v>
      </c>
      <c r="G598" s="74">
        <v>4</v>
      </c>
      <c r="H598" s="74">
        <v>5</v>
      </c>
      <c r="I598" s="74">
        <v>6</v>
      </c>
      <c r="J598" s="74">
        <v>7</v>
      </c>
      <c r="K598" s="74">
        <v>8</v>
      </c>
      <c r="L598" s="74">
        <v>9</v>
      </c>
      <c r="M598" s="74">
        <v>10</v>
      </c>
      <c r="N598" s="74">
        <v>11</v>
      </c>
      <c r="O598" s="74">
        <v>12</v>
      </c>
    </row>
    <row r="599" spans="1:18" ht="15" customHeight="1">
      <c r="B599" s="99" t="s">
        <v>61</v>
      </c>
      <c r="C599" s="102"/>
      <c r="D599" s="102"/>
      <c r="E599" s="102"/>
      <c r="F599" s="102"/>
      <c r="G599" s="102"/>
      <c r="H599" s="102"/>
      <c r="I599" s="102"/>
      <c r="J599" s="102"/>
      <c r="K599" s="102"/>
      <c r="L599" s="102"/>
      <c r="M599" s="102"/>
      <c r="N599" s="102"/>
      <c r="O599" s="102"/>
      <c r="Q599" s="899" t="s">
        <v>55</v>
      </c>
    </row>
    <row r="600" spans="1:18" ht="15" customHeight="1">
      <c r="B600" s="99" t="s">
        <v>62</v>
      </c>
      <c r="C600" s="102"/>
      <c r="D600" s="102"/>
      <c r="E600" s="102"/>
      <c r="F600" s="102"/>
      <c r="G600" s="102"/>
      <c r="H600" s="102"/>
      <c r="I600" s="102"/>
      <c r="J600" s="102"/>
      <c r="K600" s="102"/>
      <c r="L600" s="102"/>
      <c r="M600" s="102"/>
      <c r="N600" s="102"/>
      <c r="O600" s="102"/>
      <c r="Q600" s="899" t="s">
        <v>55</v>
      </c>
    </row>
    <row r="601" spans="1:18" ht="15" customHeight="1">
      <c r="B601" s="97" t="s">
        <v>63</v>
      </c>
      <c r="C601" s="100"/>
      <c r="D601" s="100"/>
      <c r="E601" s="100"/>
      <c r="F601" s="100"/>
      <c r="G601" s="100"/>
      <c r="H601" s="100"/>
      <c r="I601" s="100"/>
      <c r="J601" s="100"/>
      <c r="K601" s="100"/>
      <c r="L601" s="100"/>
      <c r="M601" s="100"/>
      <c r="N601" s="100"/>
      <c r="O601" s="100"/>
      <c r="Q601" s="899" t="s">
        <v>55</v>
      </c>
    </row>
    <row r="602" spans="1:18" ht="15" customHeight="1">
      <c r="B602" s="97" t="s">
        <v>64</v>
      </c>
      <c r="C602" s="101"/>
      <c r="D602" s="101"/>
      <c r="E602" s="101"/>
      <c r="F602" s="101"/>
      <c r="G602" s="101"/>
      <c r="H602" s="101"/>
      <c r="I602" s="101"/>
      <c r="J602" s="101"/>
      <c r="K602" s="101"/>
      <c r="L602" s="101"/>
      <c r="M602" s="101"/>
      <c r="N602" s="101"/>
      <c r="O602" s="101"/>
      <c r="Q602" s="899" t="s">
        <v>55</v>
      </c>
    </row>
    <row r="603" spans="1:18" ht="15" customHeight="1">
      <c r="B603" s="97" t="s">
        <v>65</v>
      </c>
      <c r="C603" s="100"/>
      <c r="D603" s="100"/>
      <c r="E603" s="100"/>
      <c r="F603" s="100"/>
      <c r="G603" s="100"/>
      <c r="H603" s="100"/>
      <c r="I603" s="100"/>
      <c r="J603" s="100"/>
      <c r="K603" s="100"/>
      <c r="L603" s="100"/>
      <c r="M603" s="100"/>
      <c r="N603" s="100"/>
      <c r="O603" s="100"/>
      <c r="Q603" s="899" t="s">
        <v>55</v>
      </c>
      <c r="R603" s="68" t="s">
        <v>66</v>
      </c>
    </row>
    <row r="604" spans="1:18" ht="15" customHeight="1">
      <c r="B604" s="99" t="s">
        <v>67</v>
      </c>
      <c r="C604" s="102"/>
      <c r="D604" s="102"/>
      <c r="E604" s="102"/>
      <c r="F604" s="102"/>
      <c r="G604" s="102"/>
      <c r="H604" s="102"/>
      <c r="I604" s="102"/>
      <c r="J604" s="102"/>
      <c r="K604" s="102"/>
      <c r="L604" s="102"/>
      <c r="M604" s="102"/>
      <c r="N604" s="102"/>
      <c r="O604" s="102"/>
      <c r="Q604" s="899" t="s">
        <v>55</v>
      </c>
    </row>
    <row r="605" spans="1:18" ht="15" customHeight="1">
      <c r="B605" s="97" t="s">
        <v>63</v>
      </c>
      <c r="C605" s="100"/>
      <c r="D605" s="100"/>
      <c r="E605" s="100"/>
      <c r="F605" s="100"/>
      <c r="G605" s="100"/>
      <c r="H605" s="100"/>
      <c r="I605" s="100"/>
      <c r="J605" s="100"/>
      <c r="K605" s="100"/>
      <c r="L605" s="100"/>
      <c r="M605" s="100"/>
      <c r="N605" s="100"/>
      <c r="O605" s="100"/>
      <c r="Q605" s="899" t="s">
        <v>55</v>
      </c>
    </row>
    <row r="606" spans="1:18" ht="15" customHeight="1">
      <c r="B606" s="97" t="s">
        <v>64</v>
      </c>
      <c r="C606" s="101"/>
      <c r="D606" s="101"/>
      <c r="E606" s="101"/>
      <c r="F606" s="101"/>
      <c r="G606" s="101"/>
      <c r="H606" s="101"/>
      <c r="I606" s="101"/>
      <c r="J606" s="101"/>
      <c r="K606" s="101"/>
      <c r="L606" s="101"/>
      <c r="M606" s="101"/>
      <c r="N606" s="101"/>
      <c r="O606" s="101"/>
      <c r="Q606" s="899" t="s">
        <v>55</v>
      </c>
    </row>
    <row r="607" spans="1:18" ht="15" customHeight="1">
      <c r="B607" s="97" t="s">
        <v>65</v>
      </c>
      <c r="C607" s="100"/>
      <c r="D607" s="100"/>
      <c r="E607" s="100"/>
      <c r="F607" s="100"/>
      <c r="G607" s="100"/>
      <c r="H607" s="100"/>
      <c r="I607" s="100"/>
      <c r="J607" s="100"/>
      <c r="K607" s="100"/>
      <c r="L607" s="100"/>
      <c r="M607" s="100"/>
      <c r="N607" s="100"/>
      <c r="O607" s="100"/>
      <c r="Q607" s="899" t="s">
        <v>55</v>
      </c>
      <c r="R607" s="68" t="s">
        <v>68</v>
      </c>
    </row>
    <row r="608" spans="1:18" ht="15" customHeight="1">
      <c r="B608" s="99" t="s">
        <v>40</v>
      </c>
      <c r="C608" s="102"/>
      <c r="D608" s="102"/>
      <c r="E608" s="102"/>
      <c r="F608" s="102"/>
      <c r="G608" s="102"/>
      <c r="H608" s="102"/>
      <c r="I608" s="102"/>
      <c r="J608" s="102"/>
      <c r="K608" s="102"/>
      <c r="L608" s="102"/>
      <c r="M608" s="102"/>
      <c r="N608" s="102"/>
      <c r="O608" s="102"/>
      <c r="Q608" s="899" t="s">
        <v>55</v>
      </c>
    </row>
    <row r="609" spans="2:18" ht="15" customHeight="1">
      <c r="B609" s="97" t="s">
        <v>63</v>
      </c>
      <c r="C609" s="100"/>
      <c r="D609" s="100"/>
      <c r="E609" s="100"/>
      <c r="F609" s="100"/>
      <c r="G609" s="100"/>
      <c r="H609" s="100"/>
      <c r="I609" s="100"/>
      <c r="J609" s="100"/>
      <c r="K609" s="100"/>
      <c r="L609" s="100"/>
      <c r="M609" s="100"/>
      <c r="N609" s="100"/>
      <c r="O609" s="100"/>
      <c r="Q609" s="899" t="s">
        <v>55</v>
      </c>
    </row>
    <row r="610" spans="2:18" ht="15" customHeight="1">
      <c r="B610" s="97" t="s">
        <v>64</v>
      </c>
      <c r="C610" s="101"/>
      <c r="D610" s="101"/>
      <c r="E610" s="101"/>
      <c r="F610" s="101"/>
      <c r="G610" s="101"/>
      <c r="H610" s="101"/>
      <c r="I610" s="101"/>
      <c r="J610" s="101"/>
      <c r="K610" s="101"/>
      <c r="L610" s="101"/>
      <c r="M610" s="101"/>
      <c r="N610" s="101"/>
      <c r="O610" s="101"/>
      <c r="Q610" s="899" t="s">
        <v>55</v>
      </c>
    </row>
    <row r="611" spans="2:18" ht="15" customHeight="1">
      <c r="B611" s="97" t="s">
        <v>65</v>
      </c>
      <c r="C611" s="100"/>
      <c r="D611" s="100"/>
      <c r="E611" s="100"/>
      <c r="F611" s="100"/>
      <c r="G611" s="100"/>
      <c r="H611" s="100"/>
      <c r="I611" s="100"/>
      <c r="J611" s="100"/>
      <c r="K611" s="100"/>
      <c r="L611" s="100"/>
      <c r="M611" s="100"/>
      <c r="N611" s="100"/>
      <c r="O611" s="100"/>
      <c r="Q611" s="899" t="s">
        <v>55</v>
      </c>
      <c r="R611" s="68" t="s">
        <v>69</v>
      </c>
    </row>
    <row r="612" spans="2:18" ht="15" customHeight="1">
      <c r="B612" s="99" t="s">
        <v>23</v>
      </c>
      <c r="C612" s="102"/>
      <c r="D612" s="102"/>
      <c r="E612" s="102"/>
      <c r="F612" s="102"/>
      <c r="G612" s="102"/>
      <c r="H612" s="102"/>
      <c r="I612" s="102"/>
      <c r="J612" s="102"/>
      <c r="K612" s="102"/>
      <c r="L612" s="102"/>
      <c r="M612" s="102"/>
      <c r="N612" s="102"/>
      <c r="O612" s="102"/>
      <c r="Q612" s="899" t="s">
        <v>55</v>
      </c>
    </row>
    <row r="613" spans="2:18" ht="15" customHeight="1">
      <c r="B613" s="99" t="s">
        <v>62</v>
      </c>
      <c r="C613" s="102"/>
      <c r="D613" s="102"/>
      <c r="E613" s="102"/>
      <c r="F613" s="102"/>
      <c r="G613" s="102"/>
      <c r="H613" s="102"/>
      <c r="I613" s="102"/>
      <c r="J613" s="102"/>
      <c r="K613" s="102"/>
      <c r="L613" s="102"/>
      <c r="M613" s="102"/>
      <c r="N613" s="102"/>
      <c r="O613" s="102"/>
      <c r="Q613" s="899" t="s">
        <v>55</v>
      </c>
    </row>
    <row r="614" spans="2:18" ht="15" customHeight="1">
      <c r="B614" s="97" t="s">
        <v>63</v>
      </c>
      <c r="C614" s="100"/>
      <c r="D614" s="100"/>
      <c r="E614" s="100"/>
      <c r="F614" s="100"/>
      <c r="G614" s="100"/>
      <c r="H614" s="100"/>
      <c r="I614" s="100"/>
      <c r="J614" s="100"/>
      <c r="K614" s="100"/>
      <c r="L614" s="100"/>
      <c r="M614" s="100"/>
      <c r="N614" s="100"/>
      <c r="O614" s="100"/>
      <c r="Q614" s="899" t="s">
        <v>55</v>
      </c>
    </row>
    <row r="615" spans="2:18" ht="15" customHeight="1">
      <c r="B615" s="97" t="s">
        <v>64</v>
      </c>
      <c r="C615" s="101"/>
      <c r="D615" s="101"/>
      <c r="E615" s="101"/>
      <c r="F615" s="101"/>
      <c r="G615" s="101"/>
      <c r="H615" s="101"/>
      <c r="I615" s="101"/>
      <c r="J615" s="101"/>
      <c r="K615" s="101"/>
      <c r="L615" s="101"/>
      <c r="M615" s="101"/>
      <c r="N615" s="101"/>
      <c r="O615" s="101"/>
      <c r="Q615" s="899" t="s">
        <v>55</v>
      </c>
    </row>
    <row r="616" spans="2:18" ht="15" customHeight="1">
      <c r="B616" s="97" t="s">
        <v>65</v>
      </c>
      <c r="C616" s="100"/>
      <c r="D616" s="100"/>
      <c r="E616" s="100"/>
      <c r="F616" s="100"/>
      <c r="G616" s="100"/>
      <c r="H616" s="100"/>
      <c r="I616" s="100"/>
      <c r="J616" s="100"/>
      <c r="K616" s="100"/>
      <c r="L616" s="100"/>
      <c r="M616" s="100"/>
      <c r="N616" s="100"/>
      <c r="O616" s="100"/>
      <c r="Q616" s="899" t="s">
        <v>55</v>
      </c>
      <c r="R616" s="68" t="s">
        <v>70</v>
      </c>
    </row>
    <row r="617" spans="2:18" ht="15" customHeight="1">
      <c r="B617" s="99" t="s">
        <v>67</v>
      </c>
      <c r="C617" s="102"/>
      <c r="D617" s="102"/>
      <c r="E617" s="102"/>
      <c r="F617" s="102"/>
      <c r="G617" s="102"/>
      <c r="H617" s="102"/>
      <c r="I617" s="102"/>
      <c r="J617" s="102"/>
      <c r="K617" s="102"/>
      <c r="L617" s="102"/>
      <c r="M617" s="102"/>
      <c r="N617" s="102"/>
      <c r="O617" s="102"/>
      <c r="Q617" s="899" t="s">
        <v>55</v>
      </c>
    </row>
    <row r="618" spans="2:18" ht="15" customHeight="1">
      <c r="B618" s="97" t="s">
        <v>63</v>
      </c>
      <c r="C618" s="100"/>
      <c r="D618" s="100"/>
      <c r="E618" s="100"/>
      <c r="F618" s="100"/>
      <c r="G618" s="100"/>
      <c r="H618" s="100"/>
      <c r="I618" s="100"/>
      <c r="J618" s="100"/>
      <c r="K618" s="100"/>
      <c r="L618" s="100"/>
      <c r="M618" s="100"/>
      <c r="N618" s="100"/>
      <c r="O618" s="100"/>
      <c r="Q618" s="899" t="s">
        <v>55</v>
      </c>
    </row>
    <row r="619" spans="2:18" ht="15" customHeight="1">
      <c r="B619" s="97" t="s">
        <v>64</v>
      </c>
      <c r="C619" s="101"/>
      <c r="D619" s="101"/>
      <c r="E619" s="101"/>
      <c r="F619" s="101"/>
      <c r="G619" s="101"/>
      <c r="H619" s="101"/>
      <c r="I619" s="101"/>
      <c r="J619" s="101"/>
      <c r="K619" s="101"/>
      <c r="L619" s="101"/>
      <c r="M619" s="101"/>
      <c r="N619" s="101"/>
      <c r="O619" s="101"/>
      <c r="Q619" s="899" t="s">
        <v>55</v>
      </c>
    </row>
    <row r="620" spans="2:18" ht="15" customHeight="1">
      <c r="B620" s="97" t="s">
        <v>65</v>
      </c>
      <c r="C620" s="100"/>
      <c r="D620" s="100"/>
      <c r="E620" s="100"/>
      <c r="F620" s="100"/>
      <c r="G620" s="100"/>
      <c r="H620" s="100"/>
      <c r="I620" s="100"/>
      <c r="J620" s="100"/>
      <c r="K620" s="100"/>
      <c r="L620" s="100"/>
      <c r="M620" s="100"/>
      <c r="N620" s="100"/>
      <c r="O620" s="100"/>
      <c r="Q620" s="899" t="s">
        <v>55</v>
      </c>
      <c r="R620" s="68" t="s">
        <v>71</v>
      </c>
    </row>
    <row r="621" spans="2:18" ht="15" customHeight="1">
      <c r="B621" s="99" t="s">
        <v>40</v>
      </c>
      <c r="C621" s="102"/>
      <c r="D621" s="102"/>
      <c r="E621" s="102"/>
      <c r="F621" s="102"/>
      <c r="G621" s="102"/>
      <c r="H621" s="102"/>
      <c r="I621" s="102"/>
      <c r="J621" s="102"/>
      <c r="K621" s="102"/>
      <c r="L621" s="102"/>
      <c r="M621" s="102"/>
      <c r="N621" s="102"/>
      <c r="O621" s="102"/>
      <c r="Q621" s="899" t="s">
        <v>55</v>
      </c>
    </row>
    <row r="622" spans="2:18" ht="15" customHeight="1">
      <c r="B622" s="97" t="s">
        <v>63</v>
      </c>
      <c r="C622" s="100"/>
      <c r="D622" s="100"/>
      <c r="E622" s="100"/>
      <c r="F622" s="100"/>
      <c r="G622" s="100"/>
      <c r="H622" s="100"/>
      <c r="I622" s="100"/>
      <c r="J622" s="100"/>
      <c r="K622" s="100"/>
      <c r="L622" s="100"/>
      <c r="M622" s="100"/>
      <c r="N622" s="100"/>
      <c r="O622" s="100"/>
      <c r="Q622" s="899" t="s">
        <v>55</v>
      </c>
    </row>
    <row r="623" spans="2:18" ht="15" customHeight="1">
      <c r="B623" s="97" t="s">
        <v>64</v>
      </c>
      <c r="C623" s="101"/>
      <c r="D623" s="101"/>
      <c r="E623" s="101"/>
      <c r="F623" s="101"/>
      <c r="G623" s="101"/>
      <c r="H623" s="101"/>
      <c r="I623" s="101"/>
      <c r="J623" s="101"/>
      <c r="K623" s="101"/>
      <c r="L623" s="101"/>
      <c r="M623" s="101"/>
      <c r="N623" s="101"/>
      <c r="O623" s="101"/>
      <c r="Q623" s="899" t="s">
        <v>55</v>
      </c>
    </row>
    <row r="624" spans="2:18" ht="15" customHeight="1">
      <c r="B624" s="97" t="s">
        <v>65</v>
      </c>
      <c r="C624" s="100"/>
      <c r="D624" s="100"/>
      <c r="E624" s="100"/>
      <c r="F624" s="100"/>
      <c r="G624" s="100"/>
      <c r="H624" s="100"/>
      <c r="I624" s="100"/>
      <c r="J624" s="100"/>
      <c r="K624" s="100"/>
      <c r="L624" s="100"/>
      <c r="M624" s="100"/>
      <c r="N624" s="100"/>
      <c r="O624" s="100"/>
      <c r="Q624" s="899" t="s">
        <v>55</v>
      </c>
      <c r="R624" s="68" t="s">
        <v>72</v>
      </c>
    </row>
    <row r="625" spans="2:17" ht="15" customHeight="1">
      <c r="B625" s="97"/>
      <c r="C625" s="100"/>
      <c r="D625" s="100"/>
      <c r="E625" s="100"/>
      <c r="F625" s="100"/>
      <c r="G625" s="100"/>
      <c r="H625" s="100"/>
      <c r="I625" s="100"/>
      <c r="J625" s="100"/>
      <c r="K625" s="100"/>
      <c r="L625" s="100"/>
      <c r="M625" s="100"/>
      <c r="N625" s="100"/>
      <c r="O625" s="100"/>
    </row>
    <row r="626" spans="2:17" ht="15" customHeight="1">
      <c r="B626" s="97"/>
      <c r="C626" s="100"/>
      <c r="D626" s="100"/>
      <c r="E626" s="100"/>
      <c r="F626" s="100"/>
      <c r="G626" s="100"/>
      <c r="H626" s="100"/>
      <c r="I626" s="100"/>
      <c r="J626" s="100"/>
      <c r="K626" s="100"/>
      <c r="L626" s="100"/>
      <c r="M626" s="100"/>
      <c r="N626" s="100"/>
      <c r="O626" s="100"/>
      <c r="Q626" s="901"/>
    </row>
    <row r="627" spans="2:17" ht="15" customHeight="1">
      <c r="B627" s="99" t="s">
        <v>61</v>
      </c>
      <c r="C627" s="100"/>
      <c r="D627" s="100"/>
      <c r="E627" s="100"/>
      <c r="F627" s="99"/>
      <c r="G627" s="100"/>
      <c r="H627" s="100"/>
      <c r="I627" s="100"/>
      <c r="J627" s="100"/>
      <c r="K627" s="100"/>
      <c r="L627" s="100"/>
      <c r="M627" s="100"/>
      <c r="N627" s="100"/>
      <c r="O627" s="100"/>
      <c r="Q627" s="901"/>
    </row>
    <row r="628" spans="2:17" ht="15" customHeight="1">
      <c r="B628" s="99" t="s">
        <v>62</v>
      </c>
      <c r="F628" s="99"/>
      <c r="G628" s="170"/>
    </row>
    <row r="629" spans="2:17" ht="15" customHeight="1">
      <c r="B629" s="97" t="s">
        <v>63</v>
      </c>
      <c r="C629" s="170">
        <f>SUM(C601,C570,C539,C508,C477,C446,C415,C384,C353,C322,C291,C260,C229,C198,C167,C136,C105,C74,C43,C12)</f>
        <v>0</v>
      </c>
      <c r="D629" s="170">
        <f t="shared" ref="D629:O629" si="0">SUM(D601,D570,D539,D508,D477,D446,D415,D384,D353,D322,D291,D260,D229,D198,D167,D136,D105,D74,D43,D12)</f>
        <v>0</v>
      </c>
      <c r="E629" s="170">
        <f t="shared" si="0"/>
        <v>0</v>
      </c>
      <c r="F629" s="170">
        <f t="shared" si="0"/>
        <v>0</v>
      </c>
      <c r="G629" s="170">
        <f t="shared" si="0"/>
        <v>0</v>
      </c>
      <c r="H629" s="170">
        <f t="shared" si="0"/>
        <v>0</v>
      </c>
      <c r="I629" s="170">
        <f t="shared" si="0"/>
        <v>0</v>
      </c>
      <c r="J629" s="170">
        <f t="shared" si="0"/>
        <v>0</v>
      </c>
      <c r="K629" s="170">
        <f t="shared" si="0"/>
        <v>0</v>
      </c>
      <c r="L629" s="170">
        <f t="shared" si="0"/>
        <v>0</v>
      </c>
      <c r="M629" s="170">
        <f t="shared" si="0"/>
        <v>0</v>
      </c>
      <c r="N629" s="170">
        <f t="shared" si="0"/>
        <v>0</v>
      </c>
      <c r="O629" s="170">
        <f t="shared" si="0"/>
        <v>0</v>
      </c>
    </row>
    <row r="630" spans="2:17" ht="15" customHeight="1">
      <c r="B630" s="97" t="s">
        <v>64</v>
      </c>
      <c r="C630" s="170">
        <f>SUM(C602,C571,C540,C509,C478,C447,C416,C385,C354,C323,C292,C261,C230,C199,C168,C137,C106,C75,C44,C13)</f>
        <v>0</v>
      </c>
      <c r="D630" s="170">
        <f t="shared" ref="D630:O630" si="1">SUM(D602,D571,D540,D509,D478,D447,D416,D385,D354,D323,D292,D261,D230,D199,D168,D137,D106,D75,D44,D13)</f>
        <v>0</v>
      </c>
      <c r="E630" s="170">
        <f t="shared" si="1"/>
        <v>0</v>
      </c>
      <c r="F630" s="170">
        <f t="shared" si="1"/>
        <v>0</v>
      </c>
      <c r="G630" s="170">
        <f t="shared" si="1"/>
        <v>0</v>
      </c>
      <c r="H630" s="170">
        <f t="shared" si="1"/>
        <v>0</v>
      </c>
      <c r="I630" s="170">
        <f t="shared" si="1"/>
        <v>0</v>
      </c>
      <c r="J630" s="170">
        <f t="shared" si="1"/>
        <v>0</v>
      </c>
      <c r="K630" s="170">
        <f t="shared" si="1"/>
        <v>0</v>
      </c>
      <c r="L630" s="170">
        <f t="shared" si="1"/>
        <v>0</v>
      </c>
      <c r="M630" s="170">
        <f t="shared" si="1"/>
        <v>0</v>
      </c>
      <c r="N630" s="170">
        <f t="shared" si="1"/>
        <v>0</v>
      </c>
      <c r="O630" s="170">
        <f t="shared" si="1"/>
        <v>0</v>
      </c>
    </row>
    <row r="631" spans="2:17" ht="15" customHeight="1">
      <c r="B631" s="97" t="s">
        <v>65</v>
      </c>
      <c r="C631" s="170">
        <f t="shared" ref="C631:O652" si="2">SUM(C603,C572,C541,C510,C479,C448,C417,C386,C355,C324,C293,C262,C231,C200,C169,C138,C107,C76,C45,C14)</f>
        <v>0</v>
      </c>
      <c r="D631" s="170">
        <f t="shared" si="2"/>
        <v>0</v>
      </c>
      <c r="E631" s="170">
        <f t="shared" si="2"/>
        <v>0</v>
      </c>
      <c r="F631" s="170">
        <f t="shared" si="2"/>
        <v>0</v>
      </c>
      <c r="G631" s="170">
        <f t="shared" si="2"/>
        <v>0</v>
      </c>
      <c r="H631" s="170">
        <f t="shared" si="2"/>
        <v>0</v>
      </c>
      <c r="I631" s="170">
        <f t="shared" si="2"/>
        <v>0</v>
      </c>
      <c r="J631" s="170">
        <f t="shared" si="2"/>
        <v>0</v>
      </c>
      <c r="K631" s="170">
        <f t="shared" si="2"/>
        <v>0</v>
      </c>
      <c r="L631" s="170">
        <f t="shared" si="2"/>
        <v>0</v>
      </c>
      <c r="M631" s="170">
        <f t="shared" si="2"/>
        <v>0</v>
      </c>
      <c r="N631" s="170">
        <f t="shared" si="2"/>
        <v>0</v>
      </c>
      <c r="O631" s="170">
        <f t="shared" si="2"/>
        <v>0</v>
      </c>
    </row>
    <row r="632" spans="2:17" ht="15" customHeight="1">
      <c r="B632" s="99" t="s">
        <v>67</v>
      </c>
      <c r="C632" s="170">
        <f t="shared" si="2"/>
        <v>0</v>
      </c>
      <c r="D632" s="170"/>
      <c r="E632" s="170"/>
      <c r="F632" s="170"/>
      <c r="G632" s="170"/>
      <c r="H632" s="170"/>
      <c r="I632" s="170"/>
      <c r="J632" s="170"/>
    </row>
    <row r="633" spans="2:17" ht="15" customHeight="1">
      <c r="B633" s="97" t="s">
        <v>63</v>
      </c>
      <c r="C633" s="170">
        <f t="shared" si="2"/>
        <v>0</v>
      </c>
      <c r="D633" s="170">
        <f t="shared" si="2"/>
        <v>0</v>
      </c>
      <c r="E633" s="170">
        <f t="shared" si="2"/>
        <v>0</v>
      </c>
      <c r="F633" s="170">
        <f t="shared" si="2"/>
        <v>0</v>
      </c>
      <c r="G633" s="170">
        <f t="shared" si="2"/>
        <v>0</v>
      </c>
      <c r="H633" s="170">
        <f t="shared" si="2"/>
        <v>0</v>
      </c>
      <c r="I633" s="170">
        <f t="shared" si="2"/>
        <v>0</v>
      </c>
      <c r="J633" s="170">
        <f t="shared" si="2"/>
        <v>0</v>
      </c>
      <c r="K633" s="170">
        <f t="shared" si="2"/>
        <v>0</v>
      </c>
      <c r="L633" s="170">
        <f t="shared" si="2"/>
        <v>0</v>
      </c>
      <c r="M633" s="170">
        <f t="shared" si="2"/>
        <v>0</v>
      </c>
      <c r="N633" s="170">
        <f t="shared" si="2"/>
        <v>0</v>
      </c>
      <c r="O633" s="170">
        <f t="shared" si="2"/>
        <v>0</v>
      </c>
    </row>
    <row r="634" spans="2:17" ht="15" customHeight="1">
      <c r="B634" s="97" t="s">
        <v>64</v>
      </c>
      <c r="C634" s="170">
        <f t="shared" si="2"/>
        <v>0</v>
      </c>
      <c r="D634" s="170">
        <f t="shared" si="2"/>
        <v>0</v>
      </c>
      <c r="E634" s="170">
        <f t="shared" si="2"/>
        <v>0</v>
      </c>
      <c r="F634" s="170">
        <f t="shared" si="2"/>
        <v>0</v>
      </c>
      <c r="G634" s="170">
        <f t="shared" si="2"/>
        <v>0</v>
      </c>
      <c r="H634" s="170">
        <f t="shared" si="2"/>
        <v>0</v>
      </c>
      <c r="I634" s="170">
        <f t="shared" si="2"/>
        <v>0</v>
      </c>
      <c r="J634" s="170">
        <f t="shared" si="2"/>
        <v>0</v>
      </c>
      <c r="K634" s="170">
        <f t="shared" si="2"/>
        <v>0</v>
      </c>
      <c r="L634" s="170">
        <f t="shared" si="2"/>
        <v>0</v>
      </c>
      <c r="M634" s="170">
        <f t="shared" si="2"/>
        <v>0</v>
      </c>
      <c r="N634" s="170">
        <f t="shared" si="2"/>
        <v>0</v>
      </c>
      <c r="O634" s="170">
        <f t="shared" si="2"/>
        <v>0</v>
      </c>
    </row>
    <row r="635" spans="2:17" ht="15" customHeight="1">
      <c r="B635" s="97" t="s">
        <v>65</v>
      </c>
      <c r="C635" s="170">
        <f t="shared" si="2"/>
        <v>0</v>
      </c>
      <c r="D635" s="170">
        <f t="shared" si="2"/>
        <v>0</v>
      </c>
      <c r="E635" s="170">
        <f t="shared" si="2"/>
        <v>0</v>
      </c>
      <c r="F635" s="170">
        <f t="shared" si="2"/>
        <v>0</v>
      </c>
      <c r="G635" s="170">
        <f t="shared" si="2"/>
        <v>0</v>
      </c>
      <c r="H635" s="170">
        <f t="shared" si="2"/>
        <v>0</v>
      </c>
      <c r="I635" s="170">
        <f t="shared" si="2"/>
        <v>0</v>
      </c>
      <c r="J635" s="170">
        <f t="shared" si="2"/>
        <v>0</v>
      </c>
      <c r="K635" s="170">
        <f t="shared" si="2"/>
        <v>0</v>
      </c>
      <c r="L635" s="170">
        <f t="shared" si="2"/>
        <v>0</v>
      </c>
      <c r="M635" s="170">
        <f t="shared" si="2"/>
        <v>0</v>
      </c>
      <c r="N635" s="170">
        <f t="shared" si="2"/>
        <v>0</v>
      </c>
      <c r="O635" s="170">
        <f t="shared" si="2"/>
        <v>0</v>
      </c>
    </row>
    <row r="636" spans="2:17" ht="15" customHeight="1">
      <c r="B636" s="99" t="s">
        <v>40</v>
      </c>
      <c r="C636" s="170">
        <f t="shared" si="2"/>
        <v>0</v>
      </c>
      <c r="D636" s="170"/>
      <c r="E636" s="170"/>
      <c r="F636" s="170"/>
      <c r="G636" s="170"/>
      <c r="H636" s="170"/>
      <c r="I636" s="170"/>
      <c r="J636" s="170"/>
    </row>
    <row r="637" spans="2:17" ht="15" customHeight="1">
      <c r="B637" s="97" t="s">
        <v>63</v>
      </c>
      <c r="C637" s="170">
        <f>SUM(C609,C578,C547,C516,C485,C454,C423,C392,C361,C330,C299,C268,C237,C206,C175,C144,C113,C82,C51,C20)</f>
        <v>0</v>
      </c>
      <c r="D637" s="170">
        <f t="shared" ref="D637:O637" si="3">SUM(D609,D578,D547,D516,D485,D454,D423,D392,D361,D330,D299,D268,D237,D206,D175,D144,D113,D82,D51,D20)</f>
        <v>0</v>
      </c>
      <c r="E637" s="170">
        <f t="shared" si="3"/>
        <v>0</v>
      </c>
      <c r="F637" s="170">
        <f t="shared" si="3"/>
        <v>0</v>
      </c>
      <c r="G637" s="170">
        <f t="shared" si="3"/>
        <v>0</v>
      </c>
      <c r="H637" s="170">
        <f t="shared" si="3"/>
        <v>0</v>
      </c>
      <c r="I637" s="170">
        <f t="shared" si="3"/>
        <v>0</v>
      </c>
      <c r="J637" s="170">
        <f t="shared" si="3"/>
        <v>0</v>
      </c>
      <c r="K637" s="170">
        <f t="shared" si="3"/>
        <v>0</v>
      </c>
      <c r="L637" s="170">
        <f t="shared" si="3"/>
        <v>0</v>
      </c>
      <c r="M637" s="170">
        <f t="shared" si="3"/>
        <v>0</v>
      </c>
      <c r="N637" s="170">
        <f t="shared" si="3"/>
        <v>0</v>
      </c>
      <c r="O637" s="170">
        <f t="shared" si="3"/>
        <v>0</v>
      </c>
    </row>
    <row r="638" spans="2:17" ht="15" customHeight="1">
      <c r="B638" s="97" t="s">
        <v>64</v>
      </c>
      <c r="C638" s="170">
        <f t="shared" si="2"/>
        <v>0</v>
      </c>
      <c r="D638" s="170">
        <f t="shared" si="2"/>
        <v>0</v>
      </c>
      <c r="E638" s="170">
        <f t="shared" si="2"/>
        <v>0</v>
      </c>
      <c r="F638" s="170">
        <f t="shared" si="2"/>
        <v>0</v>
      </c>
      <c r="G638" s="170">
        <f t="shared" si="2"/>
        <v>0</v>
      </c>
      <c r="H638" s="170">
        <f t="shared" si="2"/>
        <v>0</v>
      </c>
      <c r="I638" s="170">
        <f t="shared" si="2"/>
        <v>0</v>
      </c>
      <c r="J638" s="170">
        <f t="shared" si="2"/>
        <v>0</v>
      </c>
      <c r="K638" s="170">
        <f t="shared" si="2"/>
        <v>0</v>
      </c>
      <c r="L638" s="170">
        <f t="shared" si="2"/>
        <v>0</v>
      </c>
      <c r="M638" s="170">
        <f t="shared" si="2"/>
        <v>0</v>
      </c>
      <c r="N638" s="170">
        <f t="shared" si="2"/>
        <v>0</v>
      </c>
      <c r="O638" s="170">
        <f t="shared" si="2"/>
        <v>0</v>
      </c>
    </row>
    <row r="639" spans="2:17" ht="15" customHeight="1">
      <c r="B639" s="97" t="s">
        <v>65</v>
      </c>
      <c r="C639" s="170">
        <f t="shared" si="2"/>
        <v>0</v>
      </c>
      <c r="D639" s="170">
        <f t="shared" si="2"/>
        <v>0</v>
      </c>
      <c r="E639" s="170">
        <f t="shared" si="2"/>
        <v>0</v>
      </c>
      <c r="F639" s="170">
        <f t="shared" si="2"/>
        <v>0</v>
      </c>
      <c r="G639" s="170">
        <f t="shared" si="2"/>
        <v>0</v>
      </c>
      <c r="H639" s="170">
        <f t="shared" si="2"/>
        <v>0</v>
      </c>
      <c r="I639" s="170">
        <f t="shared" si="2"/>
        <v>0</v>
      </c>
      <c r="J639" s="170">
        <f t="shared" si="2"/>
        <v>0</v>
      </c>
      <c r="K639" s="170">
        <f t="shared" si="2"/>
        <v>0</v>
      </c>
      <c r="L639" s="170">
        <f t="shared" si="2"/>
        <v>0</v>
      </c>
      <c r="M639" s="170">
        <f t="shared" si="2"/>
        <v>0</v>
      </c>
      <c r="N639" s="170">
        <f t="shared" si="2"/>
        <v>0</v>
      </c>
      <c r="O639" s="170">
        <f t="shared" si="2"/>
        <v>0</v>
      </c>
    </row>
    <row r="640" spans="2:17" ht="15" customHeight="1">
      <c r="B640" s="99" t="s">
        <v>23</v>
      </c>
      <c r="C640" s="170">
        <f t="shared" si="2"/>
        <v>0</v>
      </c>
      <c r="D640" s="170"/>
      <c r="E640" s="170"/>
      <c r="F640" s="170"/>
      <c r="G640" s="170"/>
      <c r="H640" s="170"/>
      <c r="I640" s="170"/>
      <c r="J640" s="170"/>
    </row>
    <row r="641" spans="2:15" ht="15" customHeight="1">
      <c r="B641" s="99" t="s">
        <v>62</v>
      </c>
      <c r="C641" s="170">
        <f t="shared" si="2"/>
        <v>0</v>
      </c>
      <c r="D641" s="170"/>
      <c r="E641" s="170"/>
      <c r="F641" s="170"/>
      <c r="G641" s="170"/>
      <c r="H641" s="170"/>
      <c r="I641" s="170"/>
      <c r="J641" s="170"/>
    </row>
    <row r="642" spans="2:15" ht="15" customHeight="1">
      <c r="B642" s="97" t="s">
        <v>63</v>
      </c>
      <c r="C642" s="170">
        <f t="shared" si="2"/>
        <v>0</v>
      </c>
      <c r="D642" s="170">
        <f t="shared" si="2"/>
        <v>0</v>
      </c>
      <c r="E642" s="170">
        <f t="shared" si="2"/>
        <v>0</v>
      </c>
      <c r="F642" s="170">
        <f t="shared" si="2"/>
        <v>0</v>
      </c>
      <c r="G642" s="170">
        <f t="shared" si="2"/>
        <v>0</v>
      </c>
      <c r="H642" s="170">
        <f t="shared" si="2"/>
        <v>0</v>
      </c>
      <c r="I642" s="170">
        <f t="shared" si="2"/>
        <v>0</v>
      </c>
      <c r="J642" s="170">
        <f t="shared" si="2"/>
        <v>0</v>
      </c>
      <c r="K642" s="170">
        <f t="shared" si="2"/>
        <v>0</v>
      </c>
      <c r="L642" s="170">
        <f t="shared" si="2"/>
        <v>0</v>
      </c>
      <c r="M642" s="170">
        <f t="shared" si="2"/>
        <v>0</v>
      </c>
      <c r="N642" s="170">
        <f t="shared" si="2"/>
        <v>0</v>
      </c>
      <c r="O642" s="170">
        <f t="shared" si="2"/>
        <v>0</v>
      </c>
    </row>
    <row r="643" spans="2:15" ht="15" customHeight="1">
      <c r="B643" s="97" t="s">
        <v>64</v>
      </c>
      <c r="C643" s="170">
        <f t="shared" si="2"/>
        <v>0</v>
      </c>
      <c r="D643" s="170">
        <f t="shared" si="2"/>
        <v>0</v>
      </c>
      <c r="E643" s="170">
        <f t="shared" si="2"/>
        <v>0</v>
      </c>
      <c r="F643" s="170">
        <f t="shared" si="2"/>
        <v>0</v>
      </c>
      <c r="G643" s="170">
        <f t="shared" si="2"/>
        <v>0</v>
      </c>
      <c r="H643" s="170">
        <f t="shared" si="2"/>
        <v>0</v>
      </c>
      <c r="I643" s="170">
        <f t="shared" si="2"/>
        <v>0</v>
      </c>
      <c r="J643" s="170">
        <f t="shared" si="2"/>
        <v>0</v>
      </c>
      <c r="K643" s="170">
        <f t="shared" si="2"/>
        <v>0</v>
      </c>
      <c r="L643" s="170">
        <f t="shared" si="2"/>
        <v>0</v>
      </c>
      <c r="M643" s="170">
        <f t="shared" si="2"/>
        <v>0</v>
      </c>
      <c r="N643" s="170">
        <f t="shared" si="2"/>
        <v>0</v>
      </c>
      <c r="O643" s="170">
        <f t="shared" si="2"/>
        <v>0</v>
      </c>
    </row>
    <row r="644" spans="2:15" ht="15" customHeight="1">
      <c r="B644" s="97" t="s">
        <v>65</v>
      </c>
      <c r="C644" s="170">
        <f t="shared" si="2"/>
        <v>0</v>
      </c>
      <c r="D644" s="170">
        <f t="shared" si="2"/>
        <v>0</v>
      </c>
      <c r="E644" s="170">
        <f t="shared" si="2"/>
        <v>0</v>
      </c>
      <c r="F644" s="170">
        <f t="shared" si="2"/>
        <v>0</v>
      </c>
      <c r="G644" s="170">
        <f t="shared" si="2"/>
        <v>0</v>
      </c>
      <c r="H644" s="170">
        <f t="shared" si="2"/>
        <v>0</v>
      </c>
      <c r="I644" s="170">
        <f t="shared" si="2"/>
        <v>0</v>
      </c>
      <c r="J644" s="170">
        <f t="shared" si="2"/>
        <v>0</v>
      </c>
      <c r="K644" s="170">
        <f t="shared" si="2"/>
        <v>0</v>
      </c>
      <c r="L644" s="170">
        <f t="shared" si="2"/>
        <v>0</v>
      </c>
      <c r="M644" s="170">
        <f t="shared" si="2"/>
        <v>0</v>
      </c>
      <c r="N644" s="170">
        <f t="shared" si="2"/>
        <v>0</v>
      </c>
      <c r="O644" s="170">
        <f t="shared" si="2"/>
        <v>0</v>
      </c>
    </row>
    <row r="645" spans="2:15" ht="15" customHeight="1">
      <c r="B645" s="99" t="s">
        <v>67</v>
      </c>
      <c r="C645" s="170">
        <f t="shared" si="2"/>
        <v>0</v>
      </c>
      <c r="D645" s="170"/>
      <c r="E645" s="170"/>
      <c r="F645" s="170"/>
      <c r="G645" s="170"/>
      <c r="H645" s="170"/>
      <c r="I645" s="170"/>
      <c r="J645" s="170"/>
    </row>
    <row r="646" spans="2:15" ht="15" customHeight="1">
      <c r="B646" s="97" t="s">
        <v>63</v>
      </c>
      <c r="C646" s="170">
        <f t="shared" si="2"/>
        <v>0</v>
      </c>
      <c r="D646" s="170">
        <f t="shared" si="2"/>
        <v>0</v>
      </c>
      <c r="E646" s="170">
        <f t="shared" si="2"/>
        <v>0</v>
      </c>
      <c r="F646" s="170">
        <f t="shared" si="2"/>
        <v>0</v>
      </c>
      <c r="G646" s="170">
        <f t="shared" si="2"/>
        <v>0</v>
      </c>
      <c r="H646" s="170">
        <f t="shared" si="2"/>
        <v>0</v>
      </c>
      <c r="I646" s="170">
        <f t="shared" si="2"/>
        <v>0</v>
      </c>
      <c r="J646" s="170">
        <f t="shared" si="2"/>
        <v>0</v>
      </c>
      <c r="K646" s="170">
        <f t="shared" si="2"/>
        <v>0</v>
      </c>
      <c r="L646" s="170">
        <f t="shared" si="2"/>
        <v>0</v>
      </c>
      <c r="M646" s="170">
        <f t="shared" si="2"/>
        <v>0</v>
      </c>
      <c r="N646" s="170">
        <f t="shared" si="2"/>
        <v>0</v>
      </c>
      <c r="O646" s="170">
        <f t="shared" si="2"/>
        <v>0</v>
      </c>
    </row>
    <row r="647" spans="2:15" ht="15" customHeight="1">
      <c r="B647" s="97" t="s">
        <v>64</v>
      </c>
      <c r="C647" s="170">
        <f t="shared" si="2"/>
        <v>0</v>
      </c>
      <c r="D647" s="170">
        <f t="shared" si="2"/>
        <v>0</v>
      </c>
      <c r="E647" s="170">
        <f t="shared" si="2"/>
        <v>0</v>
      </c>
      <c r="F647" s="170">
        <f t="shared" si="2"/>
        <v>0</v>
      </c>
      <c r="G647" s="170">
        <f t="shared" si="2"/>
        <v>0</v>
      </c>
      <c r="H647" s="170">
        <f t="shared" si="2"/>
        <v>0</v>
      </c>
      <c r="I647" s="170">
        <f t="shared" si="2"/>
        <v>0</v>
      </c>
      <c r="J647" s="170">
        <f t="shared" si="2"/>
        <v>0</v>
      </c>
      <c r="K647" s="170">
        <f t="shared" si="2"/>
        <v>0</v>
      </c>
      <c r="L647" s="170">
        <f t="shared" si="2"/>
        <v>0</v>
      </c>
      <c r="M647" s="170">
        <f t="shared" si="2"/>
        <v>0</v>
      </c>
      <c r="N647" s="170">
        <f t="shared" si="2"/>
        <v>0</v>
      </c>
      <c r="O647" s="170">
        <f t="shared" si="2"/>
        <v>0</v>
      </c>
    </row>
    <row r="648" spans="2:15" ht="15" customHeight="1">
      <c r="B648" s="97" t="s">
        <v>65</v>
      </c>
      <c r="C648" s="170">
        <f t="shared" si="2"/>
        <v>0</v>
      </c>
      <c r="D648" s="170">
        <f t="shared" si="2"/>
        <v>0</v>
      </c>
      <c r="E648" s="170">
        <f t="shared" si="2"/>
        <v>0</v>
      </c>
      <c r="F648" s="170">
        <f t="shared" si="2"/>
        <v>0</v>
      </c>
      <c r="G648" s="170">
        <f t="shared" si="2"/>
        <v>0</v>
      </c>
      <c r="H648" s="170">
        <f t="shared" si="2"/>
        <v>0</v>
      </c>
      <c r="I648" s="170">
        <f t="shared" si="2"/>
        <v>0</v>
      </c>
      <c r="J648" s="170">
        <f t="shared" si="2"/>
        <v>0</v>
      </c>
      <c r="K648" s="170">
        <f t="shared" si="2"/>
        <v>0</v>
      </c>
      <c r="L648" s="170">
        <f t="shared" si="2"/>
        <v>0</v>
      </c>
      <c r="M648" s="170">
        <f t="shared" si="2"/>
        <v>0</v>
      </c>
      <c r="N648" s="170">
        <f t="shared" si="2"/>
        <v>0</v>
      </c>
      <c r="O648" s="170">
        <f t="shared" si="2"/>
        <v>0</v>
      </c>
    </row>
    <row r="649" spans="2:15" ht="15" customHeight="1">
      <c r="B649" s="99" t="s">
        <v>40</v>
      </c>
      <c r="C649" s="170">
        <f t="shared" si="2"/>
        <v>0</v>
      </c>
      <c r="D649" s="170"/>
      <c r="E649" s="170"/>
      <c r="F649" s="170"/>
      <c r="G649" s="170"/>
      <c r="H649" s="170"/>
      <c r="I649" s="170"/>
      <c r="J649" s="170"/>
    </row>
    <row r="650" spans="2:15" ht="15" customHeight="1">
      <c r="B650" s="97" t="s">
        <v>63</v>
      </c>
      <c r="C650" s="170">
        <f t="shared" si="2"/>
        <v>0</v>
      </c>
      <c r="D650" s="170">
        <f t="shared" si="2"/>
        <v>0</v>
      </c>
      <c r="E650" s="170">
        <f t="shared" si="2"/>
        <v>0</v>
      </c>
      <c r="F650" s="170">
        <f t="shared" si="2"/>
        <v>0</v>
      </c>
      <c r="G650" s="170">
        <f t="shared" si="2"/>
        <v>0</v>
      </c>
      <c r="H650" s="170">
        <f t="shared" si="2"/>
        <v>0</v>
      </c>
      <c r="I650" s="170">
        <f t="shared" si="2"/>
        <v>0</v>
      </c>
      <c r="J650" s="170">
        <f t="shared" si="2"/>
        <v>0</v>
      </c>
      <c r="K650" s="170">
        <f t="shared" si="2"/>
        <v>0</v>
      </c>
      <c r="L650" s="170">
        <f t="shared" si="2"/>
        <v>0</v>
      </c>
      <c r="M650" s="170">
        <f t="shared" si="2"/>
        <v>0</v>
      </c>
      <c r="N650" s="170">
        <f t="shared" si="2"/>
        <v>0</v>
      </c>
      <c r="O650" s="170">
        <f t="shared" si="2"/>
        <v>0</v>
      </c>
    </row>
    <row r="651" spans="2:15" ht="15" customHeight="1">
      <c r="B651" s="97" t="s">
        <v>64</v>
      </c>
      <c r="C651" s="170">
        <f t="shared" si="2"/>
        <v>0</v>
      </c>
      <c r="D651" s="170">
        <f t="shared" si="2"/>
        <v>0</v>
      </c>
      <c r="E651" s="170">
        <f t="shared" si="2"/>
        <v>0</v>
      </c>
      <c r="F651" s="170">
        <f t="shared" si="2"/>
        <v>0</v>
      </c>
      <c r="G651" s="170">
        <f t="shared" si="2"/>
        <v>0</v>
      </c>
      <c r="H651" s="170">
        <f t="shared" si="2"/>
        <v>0</v>
      </c>
      <c r="I651" s="170">
        <f t="shared" si="2"/>
        <v>0</v>
      </c>
      <c r="J651" s="170">
        <f t="shared" si="2"/>
        <v>0</v>
      </c>
      <c r="K651" s="170">
        <f t="shared" si="2"/>
        <v>0</v>
      </c>
      <c r="L651" s="170">
        <f t="shared" si="2"/>
        <v>0</v>
      </c>
      <c r="M651" s="170">
        <f t="shared" si="2"/>
        <v>0</v>
      </c>
      <c r="N651" s="170">
        <f t="shared" si="2"/>
        <v>0</v>
      </c>
      <c r="O651" s="170">
        <f t="shared" si="2"/>
        <v>0</v>
      </c>
    </row>
    <row r="652" spans="2:15" ht="15" customHeight="1">
      <c r="B652" s="97" t="s">
        <v>65</v>
      </c>
      <c r="C652" s="170">
        <f t="shared" si="2"/>
        <v>0</v>
      </c>
      <c r="D652" s="170">
        <f t="shared" si="2"/>
        <v>0</v>
      </c>
      <c r="E652" s="170">
        <f t="shared" si="2"/>
        <v>0</v>
      </c>
      <c r="F652" s="170">
        <f t="shared" si="2"/>
        <v>0</v>
      </c>
      <c r="G652" s="170">
        <f t="shared" si="2"/>
        <v>0</v>
      </c>
      <c r="H652" s="170">
        <f t="shared" si="2"/>
        <v>0</v>
      </c>
      <c r="I652" s="170">
        <f t="shared" si="2"/>
        <v>0</v>
      </c>
      <c r="J652" s="170">
        <f t="shared" si="2"/>
        <v>0</v>
      </c>
      <c r="K652" s="170">
        <f t="shared" si="2"/>
        <v>0</v>
      </c>
      <c r="L652" s="170">
        <f t="shared" si="2"/>
        <v>0</v>
      </c>
      <c r="M652" s="170">
        <f t="shared" si="2"/>
        <v>0</v>
      </c>
      <c r="N652" s="170">
        <f t="shared" si="2"/>
        <v>0</v>
      </c>
      <c r="O652" s="170">
        <f t="shared" si="2"/>
        <v>0</v>
      </c>
    </row>
    <row r="653" spans="2:15" ht="15" customHeight="1">
      <c r="E653" s="170"/>
      <c r="H653" s="170"/>
    </row>
    <row r="654" spans="2:15" ht="15" customHeight="1">
      <c r="E654" s="170"/>
    </row>
    <row r="655" spans="2:15" ht="15" customHeight="1">
      <c r="E655" s="170"/>
    </row>
    <row r="656" spans="2:15" ht="15" customHeight="1">
      <c r="E656" s="170"/>
    </row>
    <row r="657" spans="5:5" ht="15" customHeight="1">
      <c r="E657" s="170"/>
    </row>
  </sheetData>
  <printOptions headings="1"/>
  <pageMargins left="0.2" right="0.2" top="0.25" bottom="0.25" header="0.3" footer="0.3"/>
  <pageSetup scale="70" orientation="landscape" r:id="rId1"/>
  <rowBreaks count="12" manualBreakCount="12">
    <brk id="36" max="16383" man="1"/>
    <brk id="67" max="16383" man="1"/>
    <brk id="98" max="16383" man="1"/>
    <brk id="129" max="16383" man="1"/>
    <brk id="160" max="16383" man="1"/>
    <brk id="191" max="16383" man="1"/>
    <brk id="222" max="16383" man="1"/>
    <brk id="253" max="16383" man="1"/>
    <brk id="284" max="16383" man="1"/>
    <brk id="315" max="16383" man="1"/>
    <brk id="346" max="16383" man="1"/>
    <brk id="377" max="16383" man="1"/>
  </rowBreaks>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8"/>
  <dimension ref="A1:O215"/>
  <sheetViews>
    <sheetView zoomScale="85" zoomScaleNormal="85" workbookViewId="0">
      <pane ySplit="4" topLeftCell="A5" activePane="bottomLeft" state="frozen"/>
      <selection activeCell="J127" sqref="J127"/>
      <selection pane="bottomLeft" activeCell="J11" sqref="J11"/>
    </sheetView>
  </sheetViews>
  <sheetFormatPr defaultRowHeight="15"/>
  <cols>
    <col min="1" max="1" width="19.85546875" customWidth="1"/>
    <col min="2" max="2" width="10" bestFit="1" customWidth="1"/>
    <col min="8" max="8" width="19.140625" style="908" bestFit="1" customWidth="1"/>
    <col min="9" max="9" width="28.5703125" style="908" customWidth="1"/>
    <col min="10" max="10" width="20.140625" style="908" customWidth="1"/>
    <col min="11" max="11" width="31.42578125" style="908" customWidth="1"/>
    <col min="12" max="12" width="18.42578125" style="908" bestFit="1" customWidth="1"/>
    <col min="13" max="13" width="17.28515625" style="908" bestFit="1" customWidth="1"/>
    <col min="14" max="14" width="12.42578125" style="908" bestFit="1" customWidth="1"/>
    <col min="15" max="15" width="10.28515625" bestFit="1" customWidth="1"/>
  </cols>
  <sheetData>
    <row r="1" spans="1:15" ht="18" thickBot="1">
      <c r="A1" s="76" t="s">
        <v>96</v>
      </c>
      <c r="H1" s="911" t="s">
        <v>97</v>
      </c>
    </row>
    <row r="2" spans="1:15" ht="15.75" thickTop="1"/>
    <row r="4" spans="1:15" ht="26.25">
      <c r="A4" s="173" t="s">
        <v>98</v>
      </c>
      <c r="B4" s="173" t="s">
        <v>99</v>
      </c>
      <c r="C4" s="173" t="s">
        <v>100</v>
      </c>
      <c r="D4" s="173" t="s">
        <v>101</v>
      </c>
      <c r="E4" s="173"/>
      <c r="F4" s="173"/>
      <c r="H4" s="920" t="s">
        <v>102</v>
      </c>
      <c r="I4" s="920" t="s">
        <v>103</v>
      </c>
      <c r="J4" s="920" t="s">
        <v>104</v>
      </c>
      <c r="K4" s="920" t="s">
        <v>105</v>
      </c>
      <c r="L4" s="920" t="s">
        <v>106</v>
      </c>
      <c r="M4" s="920" t="s">
        <v>107</v>
      </c>
      <c r="N4" s="921" t="s">
        <v>108</v>
      </c>
      <c r="O4" s="214"/>
    </row>
    <row r="5" spans="1:15">
      <c r="A5" s="178"/>
      <c r="B5" s="902"/>
      <c r="C5" s="903"/>
      <c r="D5" s="903"/>
      <c r="F5" s="2"/>
      <c r="H5" s="912"/>
      <c r="I5" s="913"/>
      <c r="J5" s="912"/>
      <c r="K5" s="914"/>
      <c r="L5" s="915">
        <v>7979</v>
      </c>
      <c r="M5" s="912"/>
      <c r="N5" s="915">
        <v>5</v>
      </c>
    </row>
    <row r="6" spans="1:15">
      <c r="B6" s="902"/>
      <c r="C6" s="902"/>
      <c r="D6" s="902"/>
      <c r="F6" s="2"/>
      <c r="H6" s="912"/>
      <c r="I6" s="913"/>
      <c r="J6" s="912"/>
      <c r="K6" s="914"/>
      <c r="L6" s="915">
        <v>17212</v>
      </c>
      <c r="M6" s="912"/>
      <c r="N6" s="915">
        <v>1</v>
      </c>
    </row>
    <row r="7" spans="1:15">
      <c r="B7" s="902"/>
      <c r="C7" s="902"/>
      <c r="D7" s="902"/>
      <c r="F7" s="2"/>
      <c r="H7" s="912"/>
      <c r="I7" s="913"/>
      <c r="J7" s="912"/>
      <c r="K7" s="914"/>
      <c r="L7" s="915"/>
      <c r="M7" s="912"/>
      <c r="N7" s="915"/>
    </row>
    <row r="8" spans="1:15">
      <c r="B8" s="902"/>
      <c r="C8" s="902"/>
      <c r="D8" s="902"/>
      <c r="F8" s="2"/>
      <c r="H8" s="912"/>
      <c r="I8" s="913"/>
      <c r="J8" s="912"/>
      <c r="K8" s="914"/>
      <c r="L8" s="915"/>
      <c r="M8" s="912"/>
      <c r="N8" s="915"/>
    </row>
    <row r="9" spans="1:15">
      <c r="B9" s="902"/>
      <c r="C9" s="902"/>
      <c r="D9" s="902"/>
      <c r="E9" s="2"/>
      <c r="F9" s="2"/>
      <c r="H9" s="912"/>
      <c r="I9" s="913"/>
      <c r="J9" s="912"/>
      <c r="K9" s="914"/>
      <c r="L9" s="915"/>
      <c r="M9" s="912"/>
      <c r="N9" s="915"/>
    </row>
    <row r="10" spans="1:15">
      <c r="B10" s="902"/>
      <c r="C10" s="902"/>
      <c r="D10" s="902"/>
      <c r="E10" s="2"/>
      <c r="F10" s="2"/>
      <c r="H10" s="912"/>
      <c r="I10" s="913"/>
      <c r="J10" s="912"/>
      <c r="K10" s="914"/>
      <c r="L10" s="915"/>
      <c r="M10" s="912"/>
      <c r="N10" s="915"/>
    </row>
    <row r="11" spans="1:15">
      <c r="B11" s="902"/>
      <c r="C11" s="902"/>
      <c r="D11" s="902"/>
      <c r="E11" s="2"/>
      <c r="F11" s="2"/>
      <c r="H11" s="912"/>
      <c r="I11" s="913"/>
      <c r="J11" s="912"/>
      <c r="K11" s="914"/>
      <c r="L11" s="915"/>
      <c r="M11" s="912"/>
      <c r="N11" s="915"/>
    </row>
    <row r="12" spans="1:15">
      <c r="B12" s="902"/>
      <c r="C12" s="902"/>
      <c r="D12" s="902"/>
      <c r="E12" s="2"/>
      <c r="F12" s="2"/>
      <c r="H12" s="912"/>
      <c r="I12" s="913"/>
      <c r="J12" s="912"/>
      <c r="K12" s="914"/>
      <c r="L12" s="915"/>
      <c r="M12" s="912"/>
      <c r="N12" s="915"/>
    </row>
    <row r="13" spans="1:15">
      <c r="A13" s="178"/>
      <c r="B13" s="902"/>
      <c r="C13" s="902"/>
      <c r="D13" s="902"/>
      <c r="E13" s="2"/>
      <c r="F13" s="2"/>
      <c r="H13" s="912"/>
      <c r="I13" s="913"/>
      <c r="J13" s="912"/>
      <c r="K13" s="914"/>
      <c r="L13" s="915"/>
      <c r="M13" s="912"/>
      <c r="N13" s="915"/>
    </row>
    <row r="14" spans="1:15">
      <c r="B14" s="902"/>
      <c r="C14" s="902"/>
      <c r="D14" s="902"/>
      <c r="E14" s="2"/>
      <c r="F14" s="2"/>
      <c r="H14" s="912"/>
      <c r="I14" s="913"/>
      <c r="J14" s="912"/>
      <c r="K14" s="914"/>
      <c r="L14" s="916"/>
      <c r="M14" s="912"/>
      <c r="N14" s="917"/>
    </row>
    <row r="15" spans="1:15">
      <c r="B15" s="902"/>
      <c r="C15" s="902"/>
      <c r="D15" s="902"/>
      <c r="E15" s="2"/>
      <c r="F15" s="2"/>
      <c r="H15" s="912"/>
      <c r="I15" s="913"/>
      <c r="J15" s="912"/>
      <c r="K15" s="914"/>
      <c r="L15" s="916"/>
      <c r="M15" s="912"/>
      <c r="N15" s="917"/>
    </row>
    <row r="16" spans="1:15">
      <c r="B16" s="902"/>
      <c r="C16" s="902"/>
      <c r="D16" s="902"/>
      <c r="E16" s="2"/>
      <c r="F16" s="2"/>
      <c r="H16" s="912"/>
      <c r="I16" s="913"/>
      <c r="J16" s="912"/>
      <c r="K16" s="914"/>
      <c r="L16" s="916"/>
      <c r="M16" s="912"/>
      <c r="N16" s="917"/>
    </row>
    <row r="17" spans="1:14">
      <c r="B17" s="902"/>
      <c r="C17" s="902"/>
      <c r="D17" s="902"/>
      <c r="E17" s="2"/>
      <c r="F17" s="2"/>
      <c r="H17" s="912"/>
      <c r="I17" s="913"/>
      <c r="J17" s="912"/>
      <c r="K17" s="914"/>
      <c r="L17" s="916"/>
      <c r="M17" s="912"/>
      <c r="N17" s="917"/>
    </row>
    <row r="18" spans="1:14">
      <c r="B18" s="904"/>
      <c r="C18" s="905"/>
      <c r="D18" s="905"/>
      <c r="E18" s="2"/>
      <c r="F18" s="2"/>
      <c r="H18" s="912"/>
      <c r="I18" s="913"/>
      <c r="J18" s="912"/>
      <c r="K18" s="912"/>
      <c r="L18" s="916"/>
      <c r="M18" s="912"/>
      <c r="N18" s="917"/>
    </row>
    <row r="19" spans="1:14">
      <c r="B19" s="904"/>
      <c r="C19" s="906"/>
      <c r="D19" s="905"/>
      <c r="E19" s="2"/>
      <c r="F19" s="2"/>
      <c r="H19" s="912"/>
      <c r="I19" s="913"/>
      <c r="J19" s="912"/>
      <c r="K19" s="912"/>
      <c r="L19" s="916"/>
      <c r="M19" s="912"/>
      <c r="N19" s="917"/>
    </row>
    <row r="20" spans="1:14">
      <c r="A20" s="178"/>
      <c r="B20" s="904"/>
      <c r="C20" s="905"/>
      <c r="D20" s="905"/>
      <c r="E20" s="2"/>
      <c r="F20" s="2"/>
      <c r="H20" s="912"/>
      <c r="I20" s="913"/>
      <c r="J20" s="912"/>
      <c r="K20" s="912"/>
      <c r="M20" s="912"/>
      <c r="N20" s="917"/>
    </row>
    <row r="21" spans="1:14">
      <c r="A21" s="179"/>
      <c r="B21" s="907"/>
      <c r="C21" s="907"/>
      <c r="D21" s="905"/>
      <c r="E21" s="2"/>
      <c r="F21" s="2"/>
      <c r="H21" s="912"/>
      <c r="I21" s="913"/>
      <c r="J21" s="912"/>
      <c r="K21" s="912"/>
      <c r="M21" s="912"/>
      <c r="N21" s="917"/>
    </row>
    <row r="22" spans="1:14">
      <c r="A22" s="179"/>
      <c r="B22" s="904"/>
      <c r="C22" s="905"/>
      <c r="D22" s="905"/>
      <c r="E22" s="2"/>
      <c r="F22" s="2"/>
      <c r="H22" s="912"/>
      <c r="I22" s="913"/>
      <c r="J22" s="912"/>
      <c r="K22" s="912"/>
      <c r="M22" s="912"/>
      <c r="N22" s="917"/>
    </row>
    <row r="23" spans="1:14">
      <c r="A23" s="177"/>
      <c r="B23" s="904"/>
      <c r="C23" s="905"/>
      <c r="D23" s="907"/>
      <c r="E23" s="2"/>
      <c r="F23" s="2"/>
      <c r="H23" s="912"/>
      <c r="I23" s="913"/>
      <c r="J23" s="912"/>
      <c r="K23" s="912"/>
      <c r="M23" s="912"/>
      <c r="N23" s="917"/>
    </row>
    <row r="24" spans="1:14">
      <c r="B24" s="904"/>
      <c r="C24" s="905"/>
      <c r="D24" s="905"/>
      <c r="E24" s="2"/>
      <c r="F24" s="2"/>
      <c r="H24" s="912"/>
      <c r="I24" s="913"/>
      <c r="J24" s="912"/>
      <c r="K24" s="912"/>
      <c r="M24" s="912"/>
      <c r="N24" s="917"/>
    </row>
    <row r="25" spans="1:14">
      <c r="B25" s="904"/>
      <c r="C25" s="905"/>
      <c r="D25" s="905"/>
      <c r="E25" s="2"/>
      <c r="F25" s="2"/>
      <c r="H25" s="912"/>
      <c r="I25" s="913"/>
      <c r="J25" s="912"/>
      <c r="K25" s="912"/>
      <c r="M25" s="912"/>
      <c r="N25" s="917"/>
    </row>
    <row r="26" spans="1:14">
      <c r="B26" s="904"/>
      <c r="C26" s="905"/>
      <c r="D26" s="908"/>
      <c r="E26" s="2"/>
      <c r="F26" s="2"/>
      <c r="H26" s="912"/>
      <c r="I26" s="913"/>
      <c r="J26" s="912"/>
      <c r="K26" s="912"/>
      <c r="M26" s="912"/>
      <c r="N26" s="917"/>
    </row>
    <row r="27" spans="1:14">
      <c r="A27" s="178"/>
      <c r="B27" s="904"/>
      <c r="C27" s="905"/>
      <c r="D27" s="908"/>
      <c r="E27" s="2"/>
      <c r="F27" s="2"/>
      <c r="H27" s="912"/>
      <c r="I27" s="913"/>
      <c r="J27" s="912"/>
      <c r="K27" s="912"/>
      <c r="M27" s="912"/>
      <c r="N27" s="917"/>
    </row>
    <row r="28" spans="1:14">
      <c r="B28" s="904"/>
      <c r="C28" s="905"/>
      <c r="D28" s="908"/>
      <c r="E28" s="2"/>
      <c r="F28" s="2"/>
      <c r="H28" s="912"/>
      <c r="I28" s="913"/>
      <c r="J28" s="912"/>
      <c r="K28" s="912"/>
      <c r="M28" s="912"/>
      <c r="N28" s="917"/>
    </row>
    <row r="29" spans="1:14">
      <c r="B29" s="904"/>
      <c r="C29" s="905"/>
      <c r="D29" s="908"/>
      <c r="E29" s="2"/>
      <c r="F29" s="2"/>
      <c r="H29" s="912"/>
      <c r="I29" s="913"/>
      <c r="J29" s="912"/>
      <c r="K29" s="912"/>
      <c r="M29" s="912"/>
      <c r="N29" s="917"/>
    </row>
    <row r="30" spans="1:14">
      <c r="B30" s="904"/>
      <c r="C30" s="905"/>
      <c r="D30" s="908"/>
      <c r="E30" s="2"/>
      <c r="F30" s="2"/>
      <c r="H30" s="912"/>
      <c r="I30" s="913"/>
      <c r="J30" s="912"/>
      <c r="K30" s="912"/>
      <c r="M30" s="912"/>
      <c r="N30" s="917"/>
    </row>
    <row r="31" spans="1:14">
      <c r="B31" s="904"/>
      <c r="C31" s="905"/>
      <c r="D31" s="908"/>
      <c r="E31" s="2"/>
      <c r="F31" s="2"/>
      <c r="H31" s="912"/>
      <c r="I31" s="913"/>
      <c r="J31" s="912"/>
      <c r="K31" s="912"/>
      <c r="M31" s="912"/>
      <c r="N31" s="917"/>
    </row>
    <row r="32" spans="1:14">
      <c r="B32" s="909"/>
      <c r="C32" s="905"/>
      <c r="D32" s="908"/>
      <c r="E32" s="2"/>
      <c r="F32" s="2"/>
      <c r="H32" s="912"/>
      <c r="I32" s="913"/>
      <c r="J32" s="912"/>
      <c r="K32" s="912"/>
      <c r="M32" s="912"/>
      <c r="N32" s="917"/>
    </row>
    <row r="33" spans="1:14">
      <c r="B33" s="909"/>
      <c r="C33" s="905"/>
      <c r="D33" s="908"/>
      <c r="E33" s="2"/>
      <c r="F33" s="2"/>
      <c r="H33" s="912"/>
      <c r="I33" s="913"/>
      <c r="J33" s="912"/>
      <c r="K33" s="912"/>
      <c r="M33" s="912"/>
      <c r="N33" s="917"/>
    </row>
    <row r="34" spans="1:14">
      <c r="B34" s="909"/>
      <c r="C34" s="906"/>
      <c r="D34" s="905"/>
      <c r="E34" s="2"/>
      <c r="F34" s="2"/>
      <c r="H34" s="912"/>
      <c r="I34" s="913"/>
      <c r="J34" s="912"/>
      <c r="K34" s="912"/>
      <c r="M34" s="912"/>
      <c r="N34" s="917"/>
    </row>
    <row r="35" spans="1:14">
      <c r="B35" s="909"/>
      <c r="C35" s="906"/>
      <c r="D35" s="905"/>
      <c r="E35" s="2"/>
      <c r="F35" s="2"/>
      <c r="H35" s="912"/>
      <c r="I35" s="913"/>
      <c r="J35" s="912"/>
      <c r="K35" s="912"/>
      <c r="M35" s="912"/>
      <c r="N35" s="917"/>
    </row>
    <row r="36" spans="1:14">
      <c r="A36" s="178"/>
      <c r="B36" s="904"/>
      <c r="C36" s="905"/>
      <c r="D36" s="905"/>
      <c r="E36" s="2"/>
      <c r="F36" s="2"/>
      <c r="H36" s="912"/>
      <c r="I36" s="913"/>
      <c r="J36" s="912"/>
      <c r="K36" s="912"/>
      <c r="M36" s="912"/>
      <c r="N36" s="917"/>
    </row>
    <row r="37" spans="1:14">
      <c r="B37" s="904"/>
      <c r="C37" s="905"/>
      <c r="D37" s="905"/>
      <c r="E37" s="2"/>
      <c r="F37" s="2"/>
      <c r="H37" s="912"/>
      <c r="I37" s="913"/>
      <c r="J37" s="912"/>
      <c r="K37" s="912"/>
      <c r="M37" s="912"/>
      <c r="N37" s="917"/>
    </row>
    <row r="38" spans="1:14">
      <c r="B38" s="904"/>
      <c r="C38" s="905"/>
      <c r="D38" s="905"/>
      <c r="E38" s="2"/>
      <c r="F38" s="2"/>
      <c r="H38" s="912"/>
      <c r="I38" s="913"/>
      <c r="J38" s="912"/>
      <c r="K38" s="912"/>
      <c r="M38" s="912"/>
      <c r="N38" s="917"/>
    </row>
    <row r="39" spans="1:14">
      <c r="B39" s="904"/>
      <c r="C39" s="905"/>
      <c r="D39" s="905"/>
      <c r="E39" s="2"/>
      <c r="F39" s="2"/>
      <c r="H39" s="912"/>
      <c r="I39" s="913"/>
      <c r="J39" s="912"/>
      <c r="K39" s="912"/>
      <c r="M39" s="912"/>
      <c r="N39" s="917"/>
    </row>
    <row r="40" spans="1:14">
      <c r="B40" s="904"/>
      <c r="C40" s="905"/>
      <c r="D40" s="910"/>
      <c r="E40" s="2"/>
      <c r="F40" s="2"/>
      <c r="H40" s="912"/>
      <c r="I40" s="913"/>
      <c r="J40" s="912"/>
      <c r="K40" s="912"/>
      <c r="M40" s="912"/>
      <c r="N40" s="917"/>
    </row>
    <row r="41" spans="1:14">
      <c r="B41" s="908"/>
      <c r="C41" s="910"/>
      <c r="D41" s="910"/>
      <c r="E41" s="2"/>
      <c r="F41" s="2"/>
      <c r="H41" s="912"/>
      <c r="I41" s="913"/>
      <c r="J41" s="912"/>
      <c r="K41" s="912"/>
      <c r="M41" s="912"/>
      <c r="N41" s="917"/>
    </row>
    <row r="42" spans="1:14">
      <c r="C42" s="2"/>
      <c r="D42" s="2"/>
      <c r="E42" s="2"/>
      <c r="F42" s="2"/>
      <c r="H42" s="913"/>
      <c r="I42" s="913"/>
      <c r="J42" s="913"/>
      <c r="K42" s="913"/>
      <c r="L42" s="907"/>
      <c r="M42" s="913"/>
      <c r="N42" s="917"/>
    </row>
    <row r="43" spans="1:14">
      <c r="C43" s="2"/>
      <c r="D43" s="2"/>
      <c r="E43" s="2"/>
      <c r="F43" s="2"/>
      <c r="H43" s="913"/>
      <c r="I43" s="913"/>
      <c r="J43" s="913"/>
      <c r="K43" s="913"/>
      <c r="L43" s="907"/>
      <c r="M43" s="913"/>
      <c r="N43" s="917"/>
    </row>
    <row r="44" spans="1:14">
      <c r="C44" s="2"/>
      <c r="D44" s="2"/>
      <c r="E44" s="2"/>
      <c r="F44" s="2"/>
      <c r="H44" s="913"/>
      <c r="I44" s="913"/>
      <c r="J44" s="913"/>
      <c r="K44" s="913"/>
      <c r="L44" s="907"/>
      <c r="M44" s="913"/>
      <c r="N44" s="917"/>
    </row>
    <row r="45" spans="1:14">
      <c r="C45" s="2"/>
      <c r="D45" s="2"/>
      <c r="E45" s="2"/>
      <c r="F45" s="2"/>
      <c r="H45" s="913"/>
      <c r="I45" s="913"/>
      <c r="J45" s="913"/>
      <c r="K45" s="913"/>
      <c r="L45" s="907"/>
      <c r="M45" s="913"/>
      <c r="N45" s="917"/>
    </row>
    <row r="46" spans="1:14">
      <c r="C46" s="2"/>
      <c r="D46" s="2"/>
      <c r="E46" s="2"/>
      <c r="F46" s="2"/>
      <c r="H46" s="913"/>
      <c r="I46" s="913"/>
      <c r="J46" s="913"/>
      <c r="K46" s="913"/>
      <c r="L46" s="907"/>
      <c r="M46" s="913"/>
      <c r="N46" s="917"/>
    </row>
    <row r="47" spans="1:14">
      <c r="C47" s="2"/>
      <c r="D47" s="2"/>
      <c r="E47" s="2"/>
      <c r="F47" s="2"/>
      <c r="H47" s="918"/>
      <c r="I47" s="918"/>
      <c r="J47" s="918"/>
      <c r="K47" s="918"/>
      <c r="L47" s="918"/>
      <c r="M47" s="918"/>
      <c r="N47" s="917"/>
    </row>
    <row r="48" spans="1:14">
      <c r="C48" s="2"/>
      <c r="D48" s="2"/>
      <c r="E48" s="2"/>
      <c r="F48" s="2"/>
      <c r="H48" s="918"/>
      <c r="I48" s="918"/>
      <c r="J48" s="918"/>
      <c r="K48" s="918"/>
      <c r="L48" s="918"/>
      <c r="M48" s="918"/>
      <c r="N48" s="917"/>
    </row>
    <row r="49" spans="3:14">
      <c r="C49" s="2"/>
      <c r="D49" s="2"/>
      <c r="E49" s="2"/>
      <c r="F49" s="2"/>
      <c r="H49" s="918"/>
      <c r="I49" s="918"/>
      <c r="J49" s="918"/>
      <c r="K49" s="918"/>
      <c r="L49" s="918"/>
      <c r="M49" s="918"/>
      <c r="N49" s="917"/>
    </row>
    <row r="50" spans="3:14">
      <c r="C50" s="2"/>
      <c r="D50" s="2"/>
      <c r="E50" s="2"/>
      <c r="F50" s="2"/>
      <c r="H50" s="918"/>
      <c r="I50" s="918"/>
      <c r="J50" s="918"/>
      <c r="K50" s="918"/>
      <c r="L50" s="918"/>
      <c r="M50" s="918"/>
      <c r="N50" s="917"/>
    </row>
    <row r="51" spans="3:14">
      <c r="C51" s="2"/>
      <c r="D51" s="2"/>
      <c r="E51" s="2"/>
      <c r="F51" s="2"/>
      <c r="H51" s="918"/>
      <c r="I51" s="918"/>
      <c r="J51" s="918"/>
      <c r="K51" s="918"/>
      <c r="L51" s="918"/>
      <c r="M51" s="918"/>
      <c r="N51" s="917"/>
    </row>
    <row r="52" spans="3:14">
      <c r="C52" s="2"/>
      <c r="D52" s="2"/>
      <c r="E52" s="2"/>
      <c r="F52" s="2"/>
      <c r="H52" s="918"/>
      <c r="I52" s="918"/>
      <c r="J52" s="918"/>
      <c r="K52" s="918"/>
      <c r="L52" s="918"/>
      <c r="M52" s="918"/>
      <c r="N52" s="917"/>
    </row>
    <row r="53" spans="3:14">
      <c r="C53" s="2"/>
      <c r="D53" s="2"/>
      <c r="E53" s="2"/>
      <c r="F53" s="2"/>
      <c r="H53" s="918"/>
      <c r="I53" s="918"/>
      <c r="J53" s="918"/>
      <c r="K53" s="918"/>
      <c r="L53" s="918"/>
      <c r="M53" s="918"/>
      <c r="N53" s="917"/>
    </row>
    <row r="54" spans="3:14">
      <c r="C54" s="2"/>
      <c r="D54" s="2"/>
      <c r="E54" s="2"/>
      <c r="F54" s="2"/>
      <c r="H54" s="918"/>
      <c r="I54" s="918"/>
      <c r="J54" s="918"/>
      <c r="K54" s="918"/>
      <c r="L54" s="918"/>
      <c r="M54" s="918"/>
      <c r="N54" s="917"/>
    </row>
    <row r="55" spans="3:14">
      <c r="C55" s="2"/>
      <c r="D55" s="2"/>
      <c r="E55" s="2"/>
      <c r="F55" s="2"/>
      <c r="H55" s="918"/>
      <c r="I55" s="918"/>
      <c r="J55" s="918"/>
      <c r="K55" s="918"/>
      <c r="L55" s="918"/>
      <c r="M55" s="918"/>
      <c r="N55" s="917"/>
    </row>
    <row r="56" spans="3:14">
      <c r="C56" s="2"/>
      <c r="D56" s="2"/>
      <c r="E56" s="2"/>
      <c r="F56" s="2"/>
      <c r="H56" s="918"/>
      <c r="I56" s="918"/>
      <c r="J56" s="918"/>
      <c r="K56" s="918"/>
      <c r="L56" s="918"/>
      <c r="M56" s="918"/>
      <c r="N56" s="917"/>
    </row>
    <row r="57" spans="3:14">
      <c r="C57" s="2"/>
      <c r="D57" s="2"/>
      <c r="E57" s="2"/>
      <c r="F57" s="2"/>
      <c r="H57" s="918"/>
      <c r="I57" s="918"/>
      <c r="J57" s="918"/>
      <c r="K57" s="918"/>
      <c r="L57" s="918"/>
      <c r="M57" s="918"/>
      <c r="N57" s="917"/>
    </row>
    <row r="58" spans="3:14">
      <c r="C58" s="2"/>
      <c r="D58" s="2"/>
      <c r="E58" s="2"/>
      <c r="F58" s="2"/>
      <c r="H58" s="918"/>
      <c r="I58" s="918"/>
      <c r="J58" s="918"/>
      <c r="K58" s="918"/>
      <c r="L58" s="918"/>
      <c r="M58" s="918"/>
      <c r="N58" s="917"/>
    </row>
    <row r="59" spans="3:14">
      <c r="C59" s="2"/>
      <c r="D59" s="2"/>
      <c r="E59" s="2"/>
      <c r="F59" s="2"/>
      <c r="H59" s="918"/>
      <c r="I59" s="918"/>
      <c r="J59" s="918"/>
      <c r="K59" s="918"/>
      <c r="L59" s="918"/>
      <c r="M59" s="918"/>
      <c r="N59" s="917"/>
    </row>
    <row r="60" spans="3:14">
      <c r="C60" s="2"/>
      <c r="D60" s="2"/>
      <c r="E60" s="2"/>
      <c r="F60" s="2"/>
      <c r="H60" s="918"/>
      <c r="I60" s="918"/>
      <c r="J60" s="918"/>
      <c r="K60" s="918"/>
      <c r="L60" s="918"/>
      <c r="M60" s="918"/>
      <c r="N60" s="917"/>
    </row>
    <row r="61" spans="3:14">
      <c r="C61" s="2"/>
      <c r="D61" s="2"/>
      <c r="E61" s="2"/>
      <c r="F61" s="2"/>
      <c r="H61" s="918"/>
      <c r="I61" s="918"/>
      <c r="J61" s="918"/>
      <c r="K61" s="918"/>
      <c r="L61" s="918"/>
      <c r="M61" s="918"/>
      <c r="N61" s="917"/>
    </row>
    <row r="62" spans="3:14">
      <c r="C62" s="2"/>
      <c r="D62" s="2"/>
      <c r="E62" s="2"/>
      <c r="F62" s="2"/>
      <c r="H62" s="918"/>
      <c r="I62" s="918"/>
      <c r="J62" s="918"/>
      <c r="K62" s="918"/>
      <c r="L62" s="918"/>
      <c r="M62" s="918"/>
      <c r="N62" s="917"/>
    </row>
    <row r="63" spans="3:14">
      <c r="C63" s="2"/>
      <c r="D63" s="2"/>
      <c r="E63" s="2"/>
      <c r="F63" s="2"/>
      <c r="H63" s="918"/>
      <c r="I63" s="918"/>
      <c r="J63" s="918"/>
      <c r="K63" s="918"/>
      <c r="L63" s="918"/>
      <c r="M63" s="918"/>
      <c r="N63" s="917"/>
    </row>
    <row r="64" spans="3:14">
      <c r="C64" s="2"/>
      <c r="D64" s="2"/>
      <c r="E64" s="2"/>
      <c r="F64" s="2"/>
      <c r="H64" s="919"/>
      <c r="I64" s="919"/>
      <c r="J64" s="919"/>
      <c r="K64" s="919"/>
      <c r="L64" s="919"/>
      <c r="M64" s="919"/>
      <c r="N64" s="917"/>
    </row>
    <row r="65" spans="3:14">
      <c r="C65" s="2"/>
      <c r="D65" s="2"/>
      <c r="E65" s="2"/>
      <c r="F65" s="2"/>
      <c r="H65" s="919"/>
      <c r="I65" s="919"/>
      <c r="J65" s="919"/>
      <c r="K65" s="919"/>
      <c r="L65" s="919"/>
      <c r="M65" s="919"/>
      <c r="N65" s="917"/>
    </row>
    <row r="66" spans="3:14">
      <c r="C66" s="2"/>
      <c r="D66" s="2"/>
      <c r="E66" s="2"/>
      <c r="F66" s="2"/>
      <c r="H66" s="919"/>
      <c r="I66" s="919"/>
      <c r="J66" s="919"/>
      <c r="K66" s="919"/>
      <c r="L66" s="919"/>
      <c r="M66" s="919"/>
      <c r="N66" s="917"/>
    </row>
    <row r="67" spans="3:14">
      <c r="C67" s="2"/>
      <c r="D67" s="2"/>
      <c r="E67" s="2"/>
      <c r="F67" s="2"/>
      <c r="H67" s="919"/>
      <c r="I67" s="919"/>
      <c r="J67" s="919"/>
      <c r="K67" s="919"/>
      <c r="L67" s="919"/>
      <c r="M67" s="919"/>
      <c r="N67" s="917"/>
    </row>
    <row r="68" spans="3:14">
      <c r="C68" s="2"/>
      <c r="D68" s="2"/>
      <c r="E68" s="2"/>
      <c r="F68" s="2"/>
      <c r="H68" s="919"/>
      <c r="I68" s="919"/>
      <c r="J68" s="919"/>
      <c r="K68" s="919"/>
      <c r="L68" s="919"/>
      <c r="M68" s="919"/>
      <c r="N68" s="917"/>
    </row>
    <row r="69" spans="3:14">
      <c r="C69" s="2"/>
      <c r="D69" s="2"/>
      <c r="E69" s="2"/>
      <c r="F69" s="2"/>
      <c r="H69" s="919"/>
      <c r="I69" s="919"/>
      <c r="J69" s="919"/>
      <c r="K69" s="919"/>
      <c r="L69" s="919"/>
      <c r="M69" s="919"/>
      <c r="N69" s="917"/>
    </row>
    <row r="70" spans="3:14">
      <c r="C70" s="2"/>
      <c r="D70" s="2"/>
      <c r="E70" s="2"/>
      <c r="F70" s="2"/>
      <c r="H70" s="919"/>
      <c r="I70" s="919"/>
      <c r="J70" s="919"/>
      <c r="K70" s="919"/>
      <c r="L70" s="919"/>
      <c r="M70" s="919"/>
      <c r="N70" s="917"/>
    </row>
    <row r="71" spans="3:14">
      <c r="C71" s="2"/>
      <c r="D71" s="2"/>
      <c r="E71" s="2"/>
      <c r="F71" s="2"/>
      <c r="H71" s="919"/>
      <c r="I71" s="919"/>
      <c r="J71" s="919"/>
      <c r="K71" s="919"/>
      <c r="L71" s="919"/>
      <c r="M71" s="919"/>
      <c r="N71" s="917"/>
    </row>
    <row r="72" spans="3:14">
      <c r="C72" s="2"/>
      <c r="D72" s="2"/>
      <c r="E72" s="2"/>
      <c r="F72" s="2"/>
      <c r="H72" s="919"/>
      <c r="I72" s="919"/>
      <c r="J72" s="919"/>
      <c r="K72" s="919"/>
      <c r="L72" s="919"/>
      <c r="M72" s="919"/>
      <c r="N72" s="917"/>
    </row>
    <row r="73" spans="3:14">
      <c r="C73" s="2"/>
      <c r="D73" s="2"/>
      <c r="E73" s="2"/>
      <c r="F73" s="2"/>
      <c r="H73" s="919"/>
      <c r="I73" s="919"/>
      <c r="J73" s="919"/>
      <c r="K73" s="919"/>
      <c r="L73" s="919"/>
      <c r="M73" s="919"/>
      <c r="N73" s="917"/>
    </row>
    <row r="74" spans="3:14">
      <c r="C74" s="2"/>
      <c r="D74" s="2"/>
      <c r="E74" s="2"/>
      <c r="F74" s="2"/>
      <c r="H74" s="919"/>
      <c r="I74" s="919"/>
      <c r="J74" s="919"/>
      <c r="K74" s="919"/>
      <c r="L74" s="919"/>
      <c r="M74" s="919"/>
      <c r="N74" s="917"/>
    </row>
    <row r="75" spans="3:14">
      <c r="C75" s="2"/>
      <c r="D75" s="2"/>
      <c r="E75" s="2"/>
      <c r="F75" s="2"/>
      <c r="H75" s="919"/>
      <c r="I75" s="919"/>
      <c r="J75" s="919"/>
      <c r="K75" s="919"/>
      <c r="L75" s="919"/>
      <c r="M75" s="919"/>
      <c r="N75" s="917"/>
    </row>
    <row r="76" spans="3:14">
      <c r="C76" s="2"/>
      <c r="D76" s="2"/>
      <c r="E76" s="2"/>
      <c r="F76" s="2"/>
      <c r="H76" s="919"/>
      <c r="I76" s="919"/>
      <c r="J76" s="919"/>
      <c r="K76" s="919"/>
      <c r="L76" s="919"/>
      <c r="M76" s="919"/>
      <c r="N76" s="917"/>
    </row>
    <row r="77" spans="3:14">
      <c r="C77" s="2"/>
      <c r="D77" s="2"/>
      <c r="E77" s="2"/>
      <c r="F77" s="2"/>
      <c r="H77" s="919"/>
      <c r="I77" s="919"/>
      <c r="J77" s="919"/>
      <c r="K77" s="919"/>
      <c r="L77" s="919"/>
      <c r="M77" s="919"/>
      <c r="N77" s="917"/>
    </row>
    <row r="78" spans="3:14">
      <c r="C78" s="2"/>
      <c r="D78" s="2"/>
      <c r="E78" s="2"/>
      <c r="F78" s="2"/>
      <c r="H78" s="919"/>
      <c r="I78" s="919"/>
      <c r="J78" s="919"/>
      <c r="K78" s="919"/>
      <c r="L78" s="919"/>
      <c r="M78" s="919"/>
      <c r="N78" s="917"/>
    </row>
    <row r="79" spans="3:14">
      <c r="C79" s="2"/>
      <c r="D79" s="2"/>
      <c r="E79" s="2"/>
      <c r="F79" s="2"/>
      <c r="H79" s="919"/>
      <c r="I79" s="919"/>
      <c r="J79" s="919"/>
      <c r="K79" s="919"/>
      <c r="L79" s="919"/>
      <c r="M79" s="919"/>
      <c r="N79" s="917"/>
    </row>
    <row r="80" spans="3:14">
      <c r="C80" s="2"/>
      <c r="D80" s="2"/>
      <c r="E80" s="2"/>
      <c r="F80" s="2"/>
      <c r="H80" s="919"/>
      <c r="I80" s="919"/>
      <c r="J80" s="919"/>
      <c r="K80" s="919"/>
      <c r="L80" s="919"/>
      <c r="M80" s="919"/>
      <c r="N80" s="917"/>
    </row>
    <row r="81" spans="3:14">
      <c r="C81" s="2"/>
      <c r="D81" s="2"/>
      <c r="E81" s="2"/>
      <c r="F81" s="2"/>
      <c r="H81" s="919"/>
      <c r="I81" s="919"/>
      <c r="J81" s="919"/>
      <c r="K81" s="919"/>
      <c r="L81" s="919"/>
      <c r="M81" s="919"/>
      <c r="N81" s="917"/>
    </row>
    <row r="82" spans="3:14">
      <c r="C82" s="2"/>
      <c r="D82" s="2"/>
      <c r="E82" s="2"/>
      <c r="F82" s="2"/>
      <c r="H82" s="919"/>
      <c r="I82" s="919"/>
      <c r="J82" s="919"/>
      <c r="K82" s="919"/>
      <c r="L82" s="919"/>
      <c r="M82" s="919"/>
      <c r="N82" s="917"/>
    </row>
    <row r="83" spans="3:14">
      <c r="C83" s="2"/>
      <c r="D83" s="2"/>
      <c r="E83" s="2"/>
      <c r="F83" s="2"/>
      <c r="H83" s="919"/>
      <c r="I83" s="919"/>
      <c r="J83" s="919"/>
      <c r="K83" s="919"/>
      <c r="L83" s="919"/>
      <c r="M83" s="919"/>
      <c r="N83" s="917"/>
    </row>
    <row r="84" spans="3:14">
      <c r="C84" s="2"/>
      <c r="D84" s="2"/>
      <c r="E84" s="2"/>
      <c r="F84" s="2"/>
      <c r="H84" s="919"/>
      <c r="I84" s="919"/>
      <c r="J84" s="919"/>
      <c r="K84" s="919"/>
      <c r="L84" s="919"/>
      <c r="M84" s="919"/>
      <c r="N84" s="917"/>
    </row>
    <row r="85" spans="3:14">
      <c r="C85" s="2"/>
      <c r="D85" s="2"/>
      <c r="E85" s="2"/>
      <c r="F85" s="2"/>
      <c r="H85" s="919"/>
      <c r="I85" s="919"/>
      <c r="J85" s="919"/>
      <c r="K85" s="919"/>
      <c r="L85" s="919"/>
      <c r="M85" s="919"/>
      <c r="N85" s="917"/>
    </row>
    <row r="86" spans="3:14">
      <c r="C86" s="2"/>
      <c r="D86" s="2"/>
      <c r="E86" s="2"/>
      <c r="F86" s="2"/>
      <c r="H86" s="919"/>
      <c r="I86" s="919"/>
      <c r="J86" s="919"/>
      <c r="K86" s="919"/>
      <c r="L86" s="919"/>
      <c r="M86" s="919"/>
      <c r="N86" s="917"/>
    </row>
    <row r="87" spans="3:14">
      <c r="C87" s="2"/>
      <c r="D87" s="2"/>
      <c r="E87" s="2"/>
      <c r="F87" s="2"/>
      <c r="H87" s="919"/>
      <c r="I87" s="919"/>
      <c r="J87" s="919"/>
      <c r="K87" s="919"/>
      <c r="L87" s="919"/>
      <c r="M87" s="919"/>
      <c r="N87" s="917"/>
    </row>
    <row r="88" spans="3:14">
      <c r="C88" s="2"/>
      <c r="D88" s="2"/>
      <c r="E88" s="2"/>
      <c r="F88" s="2"/>
      <c r="H88" s="919"/>
      <c r="I88" s="919"/>
      <c r="J88" s="919"/>
      <c r="K88" s="919"/>
      <c r="L88" s="919"/>
      <c r="M88" s="919"/>
      <c r="N88" s="917"/>
    </row>
    <row r="89" spans="3:14">
      <c r="C89" s="2"/>
      <c r="D89" s="2"/>
      <c r="E89" s="2"/>
      <c r="F89" s="2"/>
      <c r="H89" s="919"/>
      <c r="I89" s="919"/>
      <c r="J89" s="919"/>
      <c r="K89" s="919"/>
      <c r="L89" s="919"/>
      <c r="M89" s="919"/>
      <c r="N89" s="917"/>
    </row>
    <row r="90" spans="3:14">
      <c r="C90" s="2"/>
      <c r="D90" s="2"/>
      <c r="E90" s="2"/>
      <c r="F90" s="2"/>
      <c r="H90" s="919"/>
      <c r="I90" s="919"/>
      <c r="J90" s="919"/>
      <c r="K90" s="919"/>
      <c r="L90" s="919"/>
      <c r="M90" s="919"/>
      <c r="N90" s="917"/>
    </row>
    <row r="91" spans="3:14">
      <c r="C91" s="2"/>
      <c r="D91" s="2"/>
      <c r="E91" s="2"/>
      <c r="F91" s="2"/>
      <c r="H91" s="919"/>
      <c r="I91" s="919"/>
      <c r="J91" s="919"/>
      <c r="K91" s="919"/>
      <c r="L91" s="919"/>
      <c r="M91" s="919"/>
      <c r="N91" s="917"/>
    </row>
    <row r="92" spans="3:14">
      <c r="C92" s="2"/>
      <c r="D92" s="2"/>
      <c r="E92" s="2"/>
      <c r="F92" s="2"/>
      <c r="H92" s="919"/>
      <c r="I92" s="919"/>
      <c r="J92" s="919"/>
      <c r="K92" s="919"/>
      <c r="L92" s="919"/>
      <c r="M92" s="919"/>
      <c r="N92" s="917"/>
    </row>
    <row r="93" spans="3:14">
      <c r="C93" s="2"/>
      <c r="D93" s="2"/>
      <c r="E93" s="2"/>
      <c r="F93" s="2"/>
      <c r="H93" s="919"/>
      <c r="I93" s="919"/>
      <c r="J93" s="919"/>
      <c r="K93" s="919"/>
      <c r="L93" s="919"/>
      <c r="M93" s="919"/>
      <c r="N93" s="917"/>
    </row>
    <row r="94" spans="3:14">
      <c r="C94" s="2"/>
      <c r="D94" s="2"/>
      <c r="E94" s="2"/>
      <c r="F94" s="2"/>
      <c r="H94" s="919"/>
      <c r="I94" s="919"/>
      <c r="J94" s="919"/>
      <c r="K94" s="919"/>
      <c r="L94" s="919"/>
      <c r="M94" s="919"/>
      <c r="N94" s="917"/>
    </row>
    <row r="95" spans="3:14">
      <c r="C95" s="2"/>
      <c r="D95" s="2"/>
      <c r="E95" s="2"/>
      <c r="F95" s="2"/>
      <c r="H95" s="919"/>
      <c r="I95" s="919"/>
      <c r="J95" s="919"/>
      <c r="K95" s="919"/>
      <c r="L95" s="919"/>
      <c r="M95" s="919"/>
      <c r="N95" s="917"/>
    </row>
    <row r="96" spans="3:14">
      <c r="C96" s="2"/>
      <c r="D96" s="2"/>
      <c r="E96" s="2"/>
      <c r="F96" s="2"/>
      <c r="H96" s="919"/>
      <c r="I96" s="919"/>
      <c r="J96" s="919"/>
      <c r="K96" s="919"/>
      <c r="L96" s="919"/>
      <c r="M96" s="919"/>
      <c r="N96" s="917"/>
    </row>
    <row r="97" spans="3:14">
      <c r="C97" s="2"/>
      <c r="D97" s="2"/>
      <c r="E97" s="2"/>
      <c r="F97" s="2"/>
      <c r="H97" s="919"/>
      <c r="I97" s="919"/>
      <c r="J97" s="919"/>
      <c r="K97" s="919"/>
      <c r="L97" s="919"/>
      <c r="M97" s="919"/>
      <c r="N97" s="917"/>
    </row>
    <row r="98" spans="3:14">
      <c r="C98" s="2"/>
      <c r="D98" s="2"/>
      <c r="E98" s="2"/>
      <c r="F98" s="2"/>
      <c r="H98" s="919"/>
      <c r="I98" s="919"/>
      <c r="J98" s="919"/>
      <c r="K98" s="919"/>
      <c r="L98" s="919"/>
      <c r="M98" s="919"/>
      <c r="N98" s="917"/>
    </row>
    <row r="99" spans="3:14">
      <c r="C99" s="2"/>
      <c r="D99" s="2"/>
      <c r="E99" s="2"/>
      <c r="F99" s="2"/>
      <c r="H99" s="919"/>
      <c r="I99" s="919"/>
      <c r="J99" s="919"/>
      <c r="K99" s="919"/>
      <c r="L99" s="919"/>
      <c r="M99" s="919"/>
      <c r="N99" s="917"/>
    </row>
    <row r="100" spans="3:14">
      <c r="C100" s="2"/>
      <c r="D100" s="2"/>
      <c r="E100" s="2"/>
      <c r="F100" s="2"/>
      <c r="H100" s="919"/>
      <c r="I100" s="919"/>
      <c r="J100" s="919"/>
      <c r="K100" s="919"/>
      <c r="L100" s="919"/>
      <c r="M100" s="919"/>
      <c r="N100" s="917"/>
    </row>
    <row r="101" spans="3:14">
      <c r="C101" s="2"/>
      <c r="D101" s="2"/>
      <c r="E101" s="2"/>
      <c r="F101" s="2"/>
      <c r="H101" s="919"/>
      <c r="I101" s="919"/>
      <c r="J101" s="919"/>
      <c r="K101" s="919"/>
      <c r="L101" s="919"/>
      <c r="M101" s="919"/>
      <c r="N101" s="917"/>
    </row>
    <row r="102" spans="3:14">
      <c r="C102" s="2"/>
      <c r="D102" s="2"/>
      <c r="E102" s="2"/>
      <c r="F102" s="2"/>
      <c r="H102" s="919"/>
      <c r="I102" s="919"/>
      <c r="J102" s="919"/>
      <c r="K102" s="919"/>
      <c r="L102" s="919"/>
      <c r="M102" s="919"/>
      <c r="N102" s="917"/>
    </row>
    <row r="103" spans="3:14">
      <c r="C103" s="2"/>
      <c r="D103" s="2"/>
      <c r="E103" s="2"/>
      <c r="F103" s="2"/>
      <c r="H103" s="919"/>
      <c r="I103" s="919"/>
      <c r="J103" s="919"/>
      <c r="K103" s="919"/>
      <c r="L103" s="919"/>
      <c r="M103" s="919"/>
      <c r="N103" s="917"/>
    </row>
    <row r="104" spans="3:14">
      <c r="C104" s="2"/>
      <c r="D104" s="2"/>
      <c r="E104" s="2"/>
      <c r="F104" s="2"/>
      <c r="H104" s="919"/>
      <c r="I104" s="919"/>
      <c r="J104" s="919"/>
      <c r="K104" s="919"/>
      <c r="L104" s="919"/>
      <c r="M104" s="919"/>
      <c r="N104" s="917"/>
    </row>
    <row r="105" spans="3:14">
      <c r="C105" s="2"/>
      <c r="D105" s="2"/>
      <c r="E105" s="2"/>
      <c r="F105" s="2"/>
      <c r="H105" s="919"/>
      <c r="I105" s="919"/>
      <c r="J105" s="919"/>
      <c r="K105" s="919"/>
      <c r="L105" s="919"/>
      <c r="M105" s="919"/>
      <c r="N105" s="917"/>
    </row>
    <row r="106" spans="3:14">
      <c r="C106" s="2"/>
      <c r="D106" s="2"/>
      <c r="E106" s="2"/>
      <c r="F106" s="2"/>
      <c r="H106" s="919"/>
      <c r="I106" s="919"/>
      <c r="J106" s="919"/>
      <c r="K106" s="919"/>
      <c r="L106" s="919"/>
      <c r="M106" s="919"/>
      <c r="N106" s="917"/>
    </row>
    <row r="107" spans="3:14">
      <c r="C107" s="2"/>
      <c r="D107" s="2"/>
      <c r="E107" s="2"/>
      <c r="F107" s="2"/>
      <c r="H107" s="919"/>
      <c r="I107" s="919"/>
      <c r="J107" s="919"/>
      <c r="K107" s="919"/>
      <c r="L107" s="919"/>
      <c r="M107" s="919"/>
      <c r="N107" s="917"/>
    </row>
    <row r="108" spans="3:14">
      <c r="C108" s="2"/>
      <c r="D108" s="2"/>
      <c r="E108" s="2"/>
      <c r="F108" s="2"/>
      <c r="H108" s="919"/>
      <c r="I108" s="919"/>
      <c r="J108" s="919"/>
      <c r="K108" s="919"/>
      <c r="L108" s="919"/>
      <c r="M108" s="919"/>
      <c r="N108" s="917"/>
    </row>
    <row r="109" spans="3:14">
      <c r="C109" s="2"/>
      <c r="D109" s="2"/>
      <c r="E109" s="2"/>
      <c r="F109" s="2"/>
      <c r="H109" s="919"/>
      <c r="I109" s="919"/>
      <c r="J109" s="919"/>
      <c r="K109" s="919"/>
      <c r="L109" s="919"/>
      <c r="M109" s="919"/>
      <c r="N109" s="917"/>
    </row>
    <row r="110" spans="3:14">
      <c r="C110" s="2"/>
      <c r="D110" s="2"/>
      <c r="E110" s="2"/>
      <c r="F110" s="2"/>
      <c r="H110" s="919"/>
      <c r="I110" s="919"/>
      <c r="J110" s="919"/>
      <c r="K110" s="919"/>
      <c r="L110" s="919"/>
      <c r="M110" s="919"/>
      <c r="N110" s="917"/>
    </row>
    <row r="111" spans="3:14">
      <c r="C111" s="2"/>
      <c r="D111" s="2"/>
      <c r="E111" s="2"/>
      <c r="F111" s="2"/>
      <c r="H111" s="919"/>
      <c r="I111" s="919"/>
      <c r="J111" s="919"/>
      <c r="K111" s="919"/>
      <c r="L111" s="919"/>
      <c r="M111" s="919"/>
      <c r="N111" s="917"/>
    </row>
    <row r="112" spans="3:14">
      <c r="C112" s="2"/>
      <c r="D112" s="2"/>
      <c r="E112" s="2"/>
      <c r="F112" s="2"/>
      <c r="H112" s="919"/>
      <c r="I112" s="919"/>
      <c r="J112" s="919"/>
      <c r="K112" s="919"/>
      <c r="L112" s="919"/>
      <c r="M112" s="919"/>
      <c r="N112" s="917"/>
    </row>
    <row r="113" spans="3:14">
      <c r="C113" s="2"/>
      <c r="D113" s="2"/>
      <c r="E113" s="2"/>
      <c r="F113" s="2"/>
      <c r="H113" s="919"/>
      <c r="I113" s="919"/>
      <c r="J113" s="919"/>
      <c r="K113" s="919"/>
      <c r="L113" s="919"/>
      <c r="M113" s="919"/>
      <c r="N113" s="917"/>
    </row>
    <row r="114" spans="3:14">
      <c r="C114" s="2"/>
      <c r="D114" s="2"/>
      <c r="E114" s="2"/>
      <c r="F114" s="2"/>
      <c r="H114" s="919"/>
      <c r="I114" s="919"/>
      <c r="J114" s="919"/>
      <c r="K114" s="919"/>
      <c r="L114" s="919"/>
      <c r="M114" s="919"/>
      <c r="N114" s="917"/>
    </row>
    <row r="115" spans="3:14">
      <c r="C115" s="2"/>
      <c r="D115" s="2"/>
      <c r="E115" s="2"/>
      <c r="F115" s="2"/>
      <c r="H115" s="919"/>
      <c r="I115" s="919"/>
      <c r="J115" s="919"/>
      <c r="K115" s="919"/>
      <c r="L115" s="919"/>
      <c r="M115" s="919"/>
      <c r="N115" s="917"/>
    </row>
    <row r="116" spans="3:14">
      <c r="C116" s="2"/>
      <c r="D116" s="2"/>
      <c r="E116" s="2"/>
      <c r="F116" s="2"/>
      <c r="H116" s="919"/>
      <c r="I116" s="919"/>
      <c r="J116" s="919"/>
      <c r="K116" s="919"/>
      <c r="L116" s="919"/>
      <c r="M116" s="919"/>
      <c r="N116" s="917"/>
    </row>
    <row r="117" spans="3:14">
      <c r="C117" s="2"/>
      <c r="D117" s="2"/>
      <c r="E117" s="2"/>
      <c r="F117" s="2"/>
      <c r="H117" s="919"/>
      <c r="I117" s="919"/>
      <c r="J117" s="919"/>
      <c r="K117" s="919"/>
      <c r="L117" s="919"/>
      <c r="M117" s="919"/>
      <c r="N117" s="917"/>
    </row>
    <row r="118" spans="3:14">
      <c r="C118" s="2"/>
      <c r="D118" s="2"/>
      <c r="E118" s="2"/>
      <c r="F118" s="2"/>
      <c r="H118" s="919"/>
      <c r="I118" s="919"/>
      <c r="J118" s="919"/>
      <c r="K118" s="919"/>
      <c r="L118" s="919"/>
      <c r="M118" s="919"/>
      <c r="N118" s="917"/>
    </row>
    <row r="119" spans="3:14">
      <c r="C119" s="2"/>
      <c r="D119" s="2"/>
      <c r="E119" s="2"/>
      <c r="F119" s="2"/>
      <c r="H119" s="919"/>
      <c r="I119" s="919"/>
      <c r="J119" s="919"/>
      <c r="K119" s="919"/>
      <c r="L119" s="919"/>
      <c r="M119" s="919"/>
      <c r="N119" s="917"/>
    </row>
    <row r="120" spans="3:14">
      <c r="C120" s="2"/>
      <c r="D120" s="2"/>
      <c r="E120" s="2"/>
      <c r="F120" s="2"/>
      <c r="H120" s="919"/>
      <c r="I120" s="919"/>
      <c r="J120" s="919"/>
      <c r="K120" s="919"/>
      <c r="L120" s="919"/>
      <c r="M120" s="919"/>
      <c r="N120" s="917"/>
    </row>
    <row r="121" spans="3:14">
      <c r="C121" s="2"/>
      <c r="D121" s="2"/>
      <c r="E121" s="2"/>
      <c r="F121" s="2"/>
      <c r="H121" s="919"/>
      <c r="I121" s="919"/>
      <c r="J121" s="919"/>
      <c r="K121" s="919"/>
      <c r="L121" s="919"/>
      <c r="M121" s="919"/>
      <c r="N121" s="917"/>
    </row>
    <row r="122" spans="3:14">
      <c r="C122" s="2"/>
      <c r="D122" s="2"/>
      <c r="E122" s="2"/>
      <c r="F122" s="2"/>
      <c r="H122" s="919"/>
      <c r="I122" s="919"/>
      <c r="J122" s="919"/>
      <c r="K122" s="919"/>
      <c r="L122" s="919"/>
      <c r="M122" s="919"/>
      <c r="N122" s="917"/>
    </row>
    <row r="123" spans="3:14">
      <c r="C123" s="2"/>
      <c r="D123" s="2"/>
      <c r="E123" s="2"/>
      <c r="F123" s="2"/>
      <c r="H123" s="919"/>
      <c r="I123" s="919"/>
      <c r="J123" s="919"/>
      <c r="K123" s="919"/>
      <c r="L123" s="919"/>
      <c r="M123" s="919"/>
      <c r="N123" s="917"/>
    </row>
    <row r="124" spans="3:14">
      <c r="C124" s="2"/>
      <c r="D124" s="2"/>
      <c r="E124" s="2"/>
      <c r="F124" s="2"/>
      <c r="H124" s="919"/>
      <c r="I124" s="919"/>
      <c r="J124" s="919"/>
      <c r="K124" s="919"/>
      <c r="L124" s="919"/>
      <c r="M124" s="919"/>
      <c r="N124" s="917"/>
    </row>
    <row r="125" spans="3:14">
      <c r="C125" s="2"/>
      <c r="D125" s="2"/>
      <c r="E125" s="2"/>
      <c r="F125" s="2"/>
      <c r="H125" s="919"/>
      <c r="I125" s="919"/>
      <c r="J125" s="919"/>
      <c r="K125" s="919"/>
      <c r="L125" s="919"/>
      <c r="M125" s="919"/>
      <c r="N125" s="917"/>
    </row>
    <row r="126" spans="3:14">
      <c r="C126" s="2"/>
      <c r="D126" s="2"/>
      <c r="E126" s="2"/>
      <c r="F126" s="2"/>
      <c r="H126" s="919"/>
      <c r="I126" s="919"/>
      <c r="J126" s="919"/>
      <c r="K126" s="919"/>
      <c r="L126" s="919"/>
      <c r="M126" s="919"/>
      <c r="N126" s="917"/>
    </row>
    <row r="127" spans="3:14">
      <c r="C127" s="2"/>
      <c r="D127" s="2"/>
      <c r="E127" s="2"/>
      <c r="F127" s="2"/>
      <c r="H127" s="919"/>
      <c r="I127" s="919"/>
      <c r="J127" s="919"/>
      <c r="K127" s="919"/>
      <c r="L127" s="919"/>
      <c r="M127" s="919"/>
      <c r="N127" s="917"/>
    </row>
    <row r="128" spans="3:14">
      <c r="C128" s="2"/>
      <c r="D128" s="2"/>
      <c r="E128" s="2"/>
      <c r="F128" s="2"/>
      <c r="H128" s="919"/>
      <c r="I128" s="919"/>
      <c r="J128" s="919"/>
      <c r="K128" s="919"/>
      <c r="L128" s="919"/>
      <c r="M128" s="919"/>
      <c r="N128" s="917"/>
    </row>
    <row r="129" spans="3:14">
      <c r="C129" s="2"/>
      <c r="D129" s="2"/>
      <c r="E129" s="2"/>
      <c r="F129" s="2"/>
      <c r="H129" s="919"/>
      <c r="I129" s="919"/>
      <c r="J129" s="919"/>
      <c r="K129" s="919"/>
      <c r="L129" s="919"/>
      <c r="M129" s="919"/>
      <c r="N129" s="917"/>
    </row>
    <row r="130" spans="3:14">
      <c r="C130" s="2"/>
      <c r="D130" s="2"/>
      <c r="E130" s="2"/>
      <c r="F130" s="2"/>
      <c r="H130" s="919"/>
      <c r="I130" s="919"/>
      <c r="J130" s="919"/>
      <c r="K130" s="919"/>
      <c r="L130" s="919"/>
      <c r="M130" s="919"/>
      <c r="N130" s="917"/>
    </row>
    <row r="131" spans="3:14">
      <c r="C131" s="2"/>
      <c r="D131" s="2"/>
      <c r="E131" s="2"/>
      <c r="F131" s="2"/>
      <c r="H131" s="919"/>
      <c r="I131" s="919"/>
      <c r="J131" s="919"/>
      <c r="K131" s="919"/>
      <c r="L131" s="919"/>
      <c r="M131" s="919"/>
      <c r="N131" s="917"/>
    </row>
    <row r="132" spans="3:14">
      <c r="C132" s="2"/>
      <c r="D132" s="2"/>
      <c r="E132" s="2"/>
      <c r="F132" s="2"/>
      <c r="H132" s="919"/>
      <c r="I132" s="919"/>
      <c r="J132" s="919"/>
      <c r="K132" s="919"/>
      <c r="L132" s="919"/>
      <c r="M132" s="919"/>
      <c r="N132" s="917"/>
    </row>
    <row r="133" spans="3:14">
      <c r="C133" s="2"/>
      <c r="D133" s="2"/>
      <c r="E133" s="2"/>
      <c r="F133" s="2"/>
      <c r="H133" s="919"/>
      <c r="I133" s="919"/>
      <c r="J133" s="919"/>
      <c r="K133" s="919"/>
      <c r="L133" s="919"/>
      <c r="M133" s="919"/>
      <c r="N133" s="917"/>
    </row>
    <row r="134" spans="3:14">
      <c r="C134" s="2"/>
      <c r="D134" s="2"/>
      <c r="E134" s="2"/>
      <c r="F134" s="2"/>
      <c r="H134" s="919"/>
      <c r="I134" s="919"/>
      <c r="J134" s="919"/>
      <c r="K134" s="919"/>
      <c r="L134" s="919"/>
      <c r="M134" s="919"/>
      <c r="N134" s="917"/>
    </row>
    <row r="135" spans="3:14">
      <c r="C135" s="2"/>
      <c r="D135" s="2"/>
      <c r="E135" s="2"/>
      <c r="F135" s="2"/>
      <c r="H135" s="919"/>
      <c r="I135" s="919"/>
      <c r="J135" s="919"/>
      <c r="K135" s="919"/>
      <c r="L135" s="919"/>
      <c r="M135" s="919"/>
      <c r="N135" s="917"/>
    </row>
    <row r="136" spans="3:14">
      <c r="C136" s="2"/>
      <c r="D136" s="2"/>
      <c r="E136" s="2"/>
      <c r="F136" s="2"/>
      <c r="H136" s="919"/>
      <c r="I136" s="919"/>
      <c r="J136" s="919"/>
      <c r="K136" s="919"/>
      <c r="L136" s="919"/>
      <c r="M136" s="919"/>
      <c r="N136" s="917"/>
    </row>
    <row r="137" spans="3:14">
      <c r="C137" s="2"/>
      <c r="D137" s="2"/>
      <c r="E137" s="2"/>
      <c r="F137" s="2"/>
      <c r="H137" s="919"/>
      <c r="I137" s="919"/>
      <c r="J137" s="919"/>
      <c r="K137" s="919"/>
      <c r="L137" s="919"/>
      <c r="M137" s="919"/>
      <c r="N137" s="917"/>
    </row>
    <row r="138" spans="3:14">
      <c r="C138" s="2"/>
      <c r="D138" s="2"/>
      <c r="E138" s="2"/>
      <c r="F138" s="2"/>
      <c r="H138" s="919"/>
      <c r="I138" s="919"/>
      <c r="J138" s="919"/>
      <c r="K138" s="919"/>
      <c r="L138" s="919"/>
      <c r="M138" s="919"/>
      <c r="N138" s="917"/>
    </row>
    <row r="139" spans="3:14">
      <c r="C139" s="2"/>
      <c r="D139" s="2"/>
      <c r="E139" s="2"/>
      <c r="F139" s="2"/>
      <c r="H139" s="919"/>
      <c r="I139" s="919"/>
      <c r="J139" s="919"/>
      <c r="K139" s="919"/>
      <c r="L139" s="919"/>
      <c r="M139" s="919"/>
      <c r="N139" s="917"/>
    </row>
    <row r="140" spans="3:14">
      <c r="C140" s="2"/>
      <c r="D140" s="2"/>
      <c r="E140" s="2"/>
      <c r="F140" s="2"/>
      <c r="H140" s="919"/>
      <c r="I140" s="919"/>
      <c r="J140" s="919"/>
      <c r="K140" s="919"/>
      <c r="L140" s="919"/>
      <c r="M140" s="919"/>
      <c r="N140" s="917"/>
    </row>
    <row r="141" spans="3:14">
      <c r="C141" s="2"/>
      <c r="D141" s="2"/>
      <c r="E141" s="2"/>
      <c r="F141" s="2"/>
      <c r="H141" s="919"/>
      <c r="I141" s="919"/>
      <c r="J141" s="919"/>
      <c r="K141" s="919"/>
      <c r="L141" s="919"/>
      <c r="M141" s="919"/>
      <c r="N141" s="917"/>
    </row>
    <row r="142" spans="3:14">
      <c r="C142" s="2"/>
      <c r="D142" s="2"/>
      <c r="E142" s="2"/>
      <c r="F142" s="2"/>
      <c r="H142" s="919"/>
      <c r="I142" s="919"/>
      <c r="J142" s="919"/>
      <c r="K142" s="919"/>
      <c r="L142" s="919"/>
      <c r="M142" s="919"/>
      <c r="N142" s="917"/>
    </row>
    <row r="143" spans="3:14">
      <c r="C143" s="2"/>
      <c r="D143" s="2"/>
      <c r="E143" s="2"/>
      <c r="F143" s="2"/>
      <c r="H143" s="919"/>
      <c r="I143" s="919"/>
      <c r="J143" s="919"/>
      <c r="K143" s="919"/>
      <c r="L143" s="919"/>
      <c r="M143" s="919"/>
      <c r="N143" s="917"/>
    </row>
    <row r="144" spans="3:14">
      <c r="C144" s="2"/>
      <c r="D144" s="2"/>
      <c r="E144" s="2"/>
      <c r="F144" s="2"/>
      <c r="H144" s="919"/>
      <c r="I144" s="919"/>
      <c r="J144" s="919"/>
      <c r="K144" s="919"/>
      <c r="L144" s="919"/>
      <c r="M144" s="919"/>
      <c r="N144" s="917"/>
    </row>
    <row r="145" spans="3:15">
      <c r="C145" s="2"/>
      <c r="D145" s="2"/>
      <c r="E145" s="2"/>
      <c r="F145" s="2"/>
      <c r="H145" s="919"/>
      <c r="I145" s="919"/>
      <c r="J145" s="919"/>
      <c r="K145" s="919"/>
      <c r="L145" s="919"/>
      <c r="M145" s="919"/>
      <c r="N145" s="917"/>
    </row>
    <row r="146" spans="3:15">
      <c r="C146" s="2"/>
      <c r="D146" s="2"/>
      <c r="E146" s="2"/>
      <c r="F146" s="2"/>
      <c r="H146" s="919"/>
      <c r="I146" s="919"/>
      <c r="J146" s="919"/>
      <c r="K146" s="919"/>
      <c r="L146" s="919"/>
      <c r="M146" s="919"/>
      <c r="N146" s="917"/>
    </row>
    <row r="147" spans="3:15">
      <c r="C147" s="2"/>
      <c r="D147" s="2"/>
      <c r="E147" s="2"/>
      <c r="F147" s="2"/>
      <c r="H147" s="919"/>
      <c r="I147" s="919"/>
      <c r="J147" s="919"/>
      <c r="K147" s="919"/>
      <c r="L147" s="919"/>
      <c r="M147" s="919"/>
      <c r="N147" s="917"/>
    </row>
    <row r="148" spans="3:15">
      <c r="C148" s="2"/>
      <c r="D148" s="2"/>
      <c r="E148" s="2"/>
      <c r="F148" s="2"/>
      <c r="H148" s="919"/>
      <c r="I148" s="919"/>
      <c r="J148" s="919"/>
      <c r="K148" s="919"/>
      <c r="L148" s="919"/>
      <c r="M148" s="919"/>
      <c r="N148" s="917"/>
    </row>
    <row r="149" spans="3:15">
      <c r="C149" s="2"/>
      <c r="D149" s="2"/>
      <c r="E149" s="2"/>
      <c r="F149" s="2"/>
      <c r="H149" s="919"/>
      <c r="I149" s="919"/>
      <c r="J149" s="919"/>
      <c r="K149" s="919"/>
      <c r="L149" s="919"/>
      <c r="M149" s="919"/>
      <c r="N149" s="917"/>
    </row>
    <row r="150" spans="3:15">
      <c r="C150" s="2"/>
      <c r="D150" s="2"/>
      <c r="E150" s="2"/>
      <c r="F150" s="2"/>
      <c r="H150" s="919"/>
      <c r="I150" s="919"/>
      <c r="J150" s="919"/>
      <c r="K150" s="919"/>
      <c r="L150" s="919"/>
      <c r="M150" s="919"/>
      <c r="N150" s="917"/>
    </row>
    <row r="151" spans="3:15">
      <c r="C151" s="2"/>
      <c r="D151" s="2"/>
      <c r="E151" s="2"/>
      <c r="F151" s="2"/>
      <c r="H151" s="919"/>
      <c r="I151" s="919"/>
      <c r="J151" s="919"/>
      <c r="K151" s="919"/>
      <c r="L151" s="919"/>
      <c r="M151" s="919"/>
      <c r="N151" s="917"/>
    </row>
    <row r="152" spans="3:15">
      <c r="C152" s="2"/>
      <c r="D152" s="2"/>
      <c r="E152" s="2"/>
      <c r="F152" s="2"/>
      <c r="H152" s="919"/>
      <c r="I152" s="919"/>
      <c r="J152" s="919"/>
      <c r="K152" s="919"/>
      <c r="L152" s="919"/>
      <c r="M152" s="919"/>
      <c r="N152" s="917"/>
    </row>
    <row r="153" spans="3:15">
      <c r="C153" s="2"/>
      <c r="D153" s="2"/>
      <c r="E153" s="2"/>
      <c r="F153" s="2"/>
      <c r="H153" s="919"/>
      <c r="I153" s="919"/>
      <c r="J153" s="919"/>
      <c r="K153" s="919"/>
      <c r="L153" s="919"/>
      <c r="M153" s="919"/>
      <c r="N153" s="917"/>
    </row>
    <row r="154" spans="3:15">
      <c r="C154" s="2"/>
      <c r="D154" s="2"/>
      <c r="E154" s="2"/>
      <c r="F154" s="2"/>
      <c r="H154" s="919"/>
      <c r="I154" s="919"/>
      <c r="J154" s="919"/>
      <c r="K154" s="919"/>
      <c r="L154" s="919"/>
      <c r="M154" s="919"/>
      <c r="N154" s="917"/>
    </row>
    <row r="155" spans="3:15">
      <c r="C155" s="2"/>
      <c r="D155" s="2"/>
      <c r="E155" s="2"/>
      <c r="F155" s="2"/>
      <c r="H155" s="919"/>
      <c r="I155" s="919"/>
      <c r="J155" s="919"/>
      <c r="K155" s="919"/>
      <c r="L155" s="919"/>
      <c r="M155" s="919"/>
      <c r="N155" s="917"/>
    </row>
    <row r="156" spans="3:15">
      <c r="C156" s="2"/>
      <c r="D156" s="2"/>
      <c r="E156" s="2"/>
      <c r="F156" s="2"/>
      <c r="H156" s="919"/>
      <c r="I156" s="919"/>
      <c r="J156" s="919"/>
      <c r="K156" s="919"/>
      <c r="L156" s="919"/>
      <c r="M156" s="919"/>
      <c r="N156" s="917">
        <v>1</v>
      </c>
      <c r="O156" t="str">
        <f t="shared" ref="O156:O170" si="0">RIGHT(LEFT(L156,12),9)</f>
        <v/>
      </c>
    </row>
    <row r="157" spans="3:15">
      <c r="C157" s="2"/>
      <c r="D157" s="2"/>
      <c r="E157" s="2"/>
      <c r="F157" s="2"/>
      <c r="H157" s="919"/>
      <c r="I157" s="919"/>
      <c r="J157" s="919"/>
      <c r="K157" s="919"/>
      <c r="L157" s="919"/>
      <c r="M157" s="919"/>
      <c r="N157" s="917">
        <v>1</v>
      </c>
      <c r="O157" t="str">
        <f t="shared" si="0"/>
        <v/>
      </c>
    </row>
    <row r="158" spans="3:15">
      <c r="C158" s="2"/>
      <c r="D158" s="2"/>
      <c r="E158" s="2"/>
      <c r="F158" s="2"/>
      <c r="H158" s="919"/>
      <c r="I158" s="919"/>
      <c r="J158" s="919"/>
      <c r="K158" s="919"/>
      <c r="L158" s="919"/>
      <c r="M158" s="919"/>
      <c r="N158" s="917">
        <v>1</v>
      </c>
      <c r="O158" t="str">
        <f t="shared" si="0"/>
        <v/>
      </c>
    </row>
    <row r="159" spans="3:15">
      <c r="C159" s="2"/>
      <c r="D159" s="2"/>
      <c r="E159" s="2"/>
      <c r="F159" s="2"/>
      <c r="H159" s="919"/>
      <c r="I159" s="919"/>
      <c r="J159" s="919"/>
      <c r="K159" s="919"/>
      <c r="L159" s="919"/>
      <c r="M159" s="919"/>
      <c r="N159" s="917">
        <v>1</v>
      </c>
      <c r="O159" t="str">
        <f t="shared" si="0"/>
        <v/>
      </c>
    </row>
    <row r="160" spans="3:15">
      <c r="C160" s="2"/>
      <c r="D160" s="2"/>
      <c r="E160" s="2"/>
      <c r="F160" s="2"/>
      <c r="H160" s="919"/>
      <c r="I160" s="919"/>
      <c r="J160" s="919"/>
      <c r="K160" s="919"/>
      <c r="L160" s="919"/>
      <c r="M160" s="919"/>
      <c r="N160" s="917">
        <v>1</v>
      </c>
      <c r="O160" t="str">
        <f t="shared" si="0"/>
        <v/>
      </c>
    </row>
    <row r="161" spans="3:15">
      <c r="C161" s="2"/>
      <c r="D161" s="2"/>
      <c r="E161" s="2"/>
      <c r="F161" s="2"/>
      <c r="H161" s="919"/>
      <c r="I161" s="919"/>
      <c r="J161" s="919"/>
      <c r="K161" s="919"/>
      <c r="L161" s="919"/>
      <c r="M161" s="919"/>
      <c r="N161" s="917">
        <v>1</v>
      </c>
      <c r="O161" t="str">
        <f t="shared" si="0"/>
        <v/>
      </c>
    </row>
    <row r="162" spans="3:15">
      <c r="C162" s="2"/>
      <c r="D162" s="2"/>
      <c r="E162" s="2"/>
      <c r="F162" s="2"/>
      <c r="H162" s="919"/>
      <c r="I162" s="919"/>
      <c r="J162" s="919"/>
      <c r="K162" s="919"/>
      <c r="L162" s="919"/>
      <c r="M162" s="919"/>
      <c r="N162" s="917">
        <v>1</v>
      </c>
      <c r="O162" t="str">
        <f t="shared" si="0"/>
        <v/>
      </c>
    </row>
    <row r="163" spans="3:15">
      <c r="C163" s="2"/>
      <c r="D163" s="2"/>
      <c r="E163" s="2"/>
      <c r="F163" s="2"/>
      <c r="H163" s="919"/>
      <c r="I163" s="919"/>
      <c r="J163" s="919"/>
      <c r="K163" s="919"/>
      <c r="L163" s="919"/>
      <c r="M163" s="919"/>
      <c r="N163" s="917">
        <v>1</v>
      </c>
      <c r="O163" t="str">
        <f t="shared" si="0"/>
        <v/>
      </c>
    </row>
    <row r="164" spans="3:15">
      <c r="C164" s="2"/>
      <c r="D164" s="2"/>
      <c r="E164" s="2"/>
      <c r="F164" s="2"/>
      <c r="H164" s="919"/>
      <c r="I164" s="919"/>
      <c r="J164" s="919"/>
      <c r="K164" s="919"/>
      <c r="L164" s="919"/>
      <c r="M164" s="919"/>
      <c r="N164" s="917">
        <v>1</v>
      </c>
      <c r="O164" t="str">
        <f t="shared" si="0"/>
        <v/>
      </c>
    </row>
    <row r="165" spans="3:15">
      <c r="C165" s="2"/>
      <c r="D165" s="2"/>
      <c r="E165" s="2"/>
      <c r="F165" s="2"/>
      <c r="H165" s="919"/>
      <c r="I165" s="919"/>
      <c r="J165" s="919"/>
      <c r="K165" s="919"/>
      <c r="L165" s="919"/>
      <c r="M165" s="919"/>
      <c r="N165" s="917">
        <v>1</v>
      </c>
      <c r="O165" t="str">
        <f t="shared" si="0"/>
        <v/>
      </c>
    </row>
    <row r="166" spans="3:15">
      <c r="C166" s="2"/>
      <c r="D166" s="2"/>
      <c r="E166" s="2"/>
      <c r="F166" s="2"/>
      <c r="H166" s="919"/>
      <c r="I166" s="919"/>
      <c r="J166" s="919"/>
      <c r="K166" s="919"/>
      <c r="L166" s="919"/>
      <c r="M166" s="919"/>
      <c r="N166" s="917">
        <v>1</v>
      </c>
      <c r="O166" t="str">
        <f t="shared" si="0"/>
        <v/>
      </c>
    </row>
    <row r="167" spans="3:15">
      <c r="C167" s="2"/>
      <c r="D167" s="2"/>
      <c r="E167" s="2"/>
      <c r="F167" s="2"/>
      <c r="H167" s="919"/>
      <c r="I167" s="919"/>
      <c r="J167" s="919"/>
      <c r="K167" s="919"/>
      <c r="L167" s="919"/>
      <c r="M167" s="919"/>
      <c r="N167" s="917">
        <v>1</v>
      </c>
      <c r="O167" t="str">
        <f t="shared" si="0"/>
        <v/>
      </c>
    </row>
    <row r="168" spans="3:15">
      <c r="C168" s="2"/>
      <c r="D168" s="2"/>
      <c r="E168" s="2"/>
      <c r="F168" s="2"/>
      <c r="H168" s="919"/>
      <c r="I168" s="919"/>
      <c r="J168" s="919"/>
      <c r="K168" s="919"/>
      <c r="L168" s="919"/>
      <c r="M168" s="919"/>
      <c r="N168" s="917">
        <v>1</v>
      </c>
      <c r="O168" t="str">
        <f t="shared" si="0"/>
        <v/>
      </c>
    </row>
    <row r="169" spans="3:15">
      <c r="C169" s="2"/>
      <c r="D169" s="2"/>
      <c r="E169" s="2"/>
      <c r="F169" s="2"/>
      <c r="H169" s="919"/>
      <c r="I169" s="919"/>
      <c r="J169" s="919"/>
      <c r="K169" s="919"/>
      <c r="L169" s="919"/>
      <c r="M169" s="919"/>
      <c r="N169" s="917">
        <v>1</v>
      </c>
      <c r="O169" t="str">
        <f t="shared" si="0"/>
        <v/>
      </c>
    </row>
    <row r="170" spans="3:15">
      <c r="C170" s="2"/>
      <c r="D170" s="2"/>
      <c r="E170" s="2"/>
      <c r="F170" s="2"/>
      <c r="H170" s="919"/>
      <c r="I170" s="919"/>
      <c r="J170" s="919"/>
      <c r="K170" s="919"/>
      <c r="L170" s="919"/>
      <c r="M170" s="919"/>
      <c r="N170" s="917">
        <v>1</v>
      </c>
      <c r="O170" t="str">
        <f t="shared" si="0"/>
        <v/>
      </c>
    </row>
    <row r="171" spans="3:15">
      <c r="C171" s="2"/>
      <c r="D171" s="2"/>
      <c r="E171" s="2"/>
      <c r="F171" s="2"/>
    </row>
    <row r="172" spans="3:15">
      <c r="C172" s="2"/>
      <c r="D172" s="2"/>
      <c r="E172" s="2"/>
      <c r="F172" s="2"/>
    </row>
    <row r="173" spans="3:15">
      <c r="C173" s="2"/>
      <c r="D173" s="2"/>
      <c r="E173" s="2"/>
      <c r="F173" s="2"/>
    </row>
    <row r="174" spans="3:15">
      <c r="C174" s="2"/>
      <c r="D174" s="2"/>
      <c r="E174" s="2"/>
      <c r="F174" s="2"/>
    </row>
    <row r="175" spans="3:15">
      <c r="C175" s="2"/>
      <c r="D175" s="2"/>
      <c r="E175" s="2"/>
      <c r="F175" s="2"/>
    </row>
    <row r="176" spans="3:15">
      <c r="C176" s="2"/>
      <c r="D176" s="2"/>
      <c r="E176" s="2"/>
      <c r="F176" s="2"/>
    </row>
    <row r="177" spans="3:6">
      <c r="C177" s="2"/>
      <c r="D177" s="2"/>
      <c r="E177" s="2"/>
      <c r="F177" s="2"/>
    </row>
    <row r="178" spans="3:6">
      <c r="C178" s="2"/>
      <c r="D178" s="2"/>
      <c r="E178" s="2"/>
      <c r="F178" s="2"/>
    </row>
    <row r="179" spans="3:6">
      <c r="C179" s="2"/>
      <c r="D179" s="2"/>
      <c r="E179" s="2"/>
      <c r="F179" s="2"/>
    </row>
    <row r="180" spans="3:6">
      <c r="C180" s="2"/>
      <c r="D180" s="2"/>
      <c r="E180" s="2"/>
      <c r="F180" s="2"/>
    </row>
    <row r="181" spans="3:6">
      <c r="C181" s="2"/>
      <c r="D181" s="2"/>
      <c r="E181" s="2"/>
      <c r="F181" s="2"/>
    </row>
    <row r="182" spans="3:6">
      <c r="C182" s="2"/>
      <c r="D182" s="2"/>
      <c r="E182" s="2"/>
      <c r="F182" s="2"/>
    </row>
    <row r="183" spans="3:6">
      <c r="C183" s="2"/>
      <c r="D183" s="2"/>
      <c r="E183" s="2"/>
      <c r="F183" s="2"/>
    </row>
    <row r="184" spans="3:6">
      <c r="C184" s="2"/>
      <c r="D184" s="2"/>
      <c r="E184" s="2"/>
      <c r="F184" s="2"/>
    </row>
    <row r="185" spans="3:6">
      <c r="C185" s="2"/>
      <c r="D185" s="2"/>
      <c r="E185" s="2"/>
      <c r="F185" s="2"/>
    </row>
    <row r="186" spans="3:6">
      <c r="C186" s="2"/>
      <c r="D186" s="2"/>
      <c r="E186" s="2"/>
      <c r="F186" s="2"/>
    </row>
    <row r="187" spans="3:6">
      <c r="C187" s="2"/>
      <c r="D187" s="2"/>
      <c r="E187" s="2"/>
      <c r="F187" s="2"/>
    </row>
    <row r="188" spans="3:6">
      <c r="C188" s="2"/>
      <c r="D188" s="2"/>
      <c r="E188" s="2"/>
      <c r="F188" s="2"/>
    </row>
    <row r="189" spans="3:6">
      <c r="C189" s="2"/>
      <c r="D189" s="2"/>
      <c r="E189" s="2"/>
      <c r="F189" s="2"/>
    </row>
    <row r="190" spans="3:6">
      <c r="C190" s="2"/>
      <c r="D190" s="2"/>
      <c r="E190" s="2"/>
      <c r="F190" s="2"/>
    </row>
    <row r="191" spans="3:6">
      <c r="C191" s="2"/>
      <c r="D191" s="2"/>
      <c r="E191" s="2"/>
      <c r="F191" s="2"/>
    </row>
    <row r="192" spans="3:6">
      <c r="C192" s="2"/>
      <c r="D192" s="2"/>
      <c r="E192" s="2"/>
      <c r="F192" s="2"/>
    </row>
    <row r="193" spans="3:6">
      <c r="C193" s="2"/>
      <c r="D193" s="2"/>
      <c r="E193" s="2"/>
      <c r="F193" s="2"/>
    </row>
    <row r="194" spans="3:6">
      <c r="C194" s="2"/>
      <c r="D194" s="2"/>
      <c r="E194" s="2"/>
      <c r="F194" s="2"/>
    </row>
    <row r="195" spans="3:6">
      <c r="C195" s="2"/>
      <c r="D195" s="2"/>
      <c r="E195" s="2"/>
      <c r="F195" s="2"/>
    </row>
    <row r="196" spans="3:6">
      <c r="C196" s="2"/>
      <c r="D196" s="2"/>
      <c r="E196" s="2"/>
      <c r="F196" s="2"/>
    </row>
    <row r="197" spans="3:6">
      <c r="C197" s="2"/>
      <c r="D197" s="2"/>
      <c r="E197" s="2"/>
      <c r="F197" s="2"/>
    </row>
    <row r="198" spans="3:6">
      <c r="C198" s="2"/>
      <c r="D198" s="2"/>
      <c r="E198" s="2"/>
      <c r="F198" s="2"/>
    </row>
    <row r="199" spans="3:6">
      <c r="C199" s="2"/>
      <c r="D199" s="2"/>
      <c r="E199" s="2"/>
      <c r="F199" s="2"/>
    </row>
    <row r="200" spans="3:6">
      <c r="C200" s="2"/>
      <c r="D200" s="2"/>
      <c r="E200" s="2"/>
      <c r="F200" s="2"/>
    </row>
    <row r="201" spans="3:6">
      <c r="C201" s="2"/>
      <c r="D201" s="2"/>
      <c r="E201" s="2"/>
      <c r="F201" s="2"/>
    </row>
    <row r="202" spans="3:6">
      <c r="C202" s="2"/>
      <c r="D202" s="2"/>
      <c r="E202" s="2"/>
      <c r="F202" s="2"/>
    </row>
    <row r="203" spans="3:6">
      <c r="C203" s="2"/>
      <c r="D203" s="2"/>
      <c r="E203" s="2"/>
      <c r="F203" s="2"/>
    </row>
    <row r="204" spans="3:6">
      <c r="C204" s="2"/>
      <c r="D204" s="2"/>
      <c r="E204" s="2"/>
      <c r="F204" s="2"/>
    </row>
    <row r="205" spans="3:6">
      <c r="C205" s="2"/>
      <c r="D205" s="2"/>
      <c r="E205" s="2"/>
      <c r="F205" s="2"/>
    </row>
    <row r="206" spans="3:6">
      <c r="C206" s="2"/>
      <c r="D206" s="2"/>
      <c r="E206" s="2"/>
      <c r="F206" s="2"/>
    </row>
    <row r="207" spans="3:6">
      <c r="C207" s="2"/>
      <c r="D207" s="2"/>
      <c r="E207" s="2"/>
      <c r="F207" s="2"/>
    </row>
    <row r="208" spans="3:6">
      <c r="C208" s="2"/>
      <c r="D208" s="2"/>
      <c r="E208" s="2"/>
      <c r="F208" s="2"/>
    </row>
    <row r="209" spans="5:6">
      <c r="E209" s="2"/>
      <c r="F209" s="2"/>
    </row>
    <row r="210" spans="5:6">
      <c r="E210" s="2"/>
      <c r="F210" s="2"/>
    </row>
    <row r="211" spans="5:6">
      <c r="E211" s="2"/>
      <c r="F211" s="2"/>
    </row>
    <row r="212" spans="5:6">
      <c r="E212" s="2"/>
      <c r="F212" s="2"/>
    </row>
    <row r="213" spans="5:6">
      <c r="E213" s="2"/>
      <c r="F213" s="2"/>
    </row>
    <row r="214" spans="5:6">
      <c r="E214" s="2"/>
      <c r="F214" s="2"/>
    </row>
    <row r="215" spans="5:6">
      <c r="E215" s="2"/>
      <c r="F215" s="2"/>
    </row>
  </sheetData>
  <sortState xmlns:xlrd2="http://schemas.microsoft.com/office/spreadsheetml/2017/richdata2" ref="H5:S32">
    <sortCondition ref="L5:L32"/>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rgb="FF7030A0"/>
  </sheetPr>
  <dimension ref="B2:BB99"/>
  <sheetViews>
    <sheetView tabSelected="1" zoomScale="85" zoomScaleNormal="85" workbookViewId="0">
      <selection activeCell="F17" sqref="F17"/>
    </sheetView>
  </sheetViews>
  <sheetFormatPr defaultColWidth="12.7109375" defaultRowHeight="21.6" customHeight="1"/>
  <cols>
    <col min="1" max="1" width="3.28515625" style="112" customWidth="1"/>
    <col min="2" max="2" width="3.28515625" style="923" customWidth="1"/>
    <col min="3" max="3" width="12.7109375" style="112"/>
    <col min="4" max="5" width="9.7109375" style="112" customWidth="1"/>
    <col min="6" max="6" width="26.7109375" style="112" customWidth="1"/>
    <col min="7" max="8" width="13.7109375" style="112" customWidth="1"/>
    <col min="9" max="10" width="9.7109375" style="112" customWidth="1"/>
    <col min="11" max="11" width="3.28515625" style="923" customWidth="1"/>
    <col min="12" max="12" width="3.28515625" style="112" customWidth="1"/>
    <col min="13" max="13" width="14.5703125" style="112" bestFit="1" customWidth="1"/>
    <col min="14" max="16384" width="12.7109375" style="112"/>
  </cols>
  <sheetData>
    <row r="2" spans="2:54" s="6" customFormat="1" ht="21.6" customHeight="1">
      <c r="B2" s="922"/>
      <c r="C2" s="991" t="s">
        <v>109</v>
      </c>
      <c r="D2" s="991"/>
      <c r="E2" s="991"/>
      <c r="F2" s="991"/>
      <c r="G2" s="991"/>
      <c r="H2" s="991"/>
      <c r="I2" s="991"/>
      <c r="J2" s="991"/>
      <c r="K2" s="927"/>
      <c r="L2" s="105"/>
      <c r="M2" s="105"/>
      <c r="N2" s="105"/>
      <c r="O2" s="105"/>
      <c r="P2" s="105"/>
      <c r="Q2" s="105"/>
      <c r="R2" s="105"/>
      <c r="S2" s="105"/>
      <c r="T2" s="105"/>
      <c r="U2" s="105"/>
      <c r="V2" s="105"/>
      <c r="W2" s="105"/>
      <c r="X2" s="105"/>
      <c r="Y2" s="105"/>
      <c r="Z2" s="105"/>
      <c r="AA2" s="105"/>
      <c r="AB2" s="105"/>
      <c r="AC2" s="105"/>
      <c r="AD2" s="105"/>
      <c r="AE2" s="105"/>
      <c r="AF2" s="105"/>
      <c r="AG2" s="105"/>
      <c r="AH2" s="105"/>
      <c r="AI2" s="105"/>
      <c r="AJ2" s="105"/>
      <c r="AK2" s="105"/>
      <c r="AL2" s="105"/>
      <c r="AM2" s="105"/>
      <c r="AN2" s="105"/>
      <c r="AO2" s="105"/>
      <c r="AP2" s="105"/>
      <c r="AQ2" s="105"/>
      <c r="AR2" s="105"/>
      <c r="AS2" s="105"/>
      <c r="AT2" s="105"/>
      <c r="AU2" s="105"/>
      <c r="AV2" s="105"/>
      <c r="AW2" s="105"/>
      <c r="AX2" s="105"/>
      <c r="AY2" s="105"/>
      <c r="AZ2" s="105"/>
      <c r="BA2" s="105"/>
      <c r="BB2" s="105"/>
    </row>
    <row r="3" spans="2:54" s="6" customFormat="1" ht="21.6" customHeight="1">
      <c r="B3" s="922"/>
      <c r="C3" s="992" t="s">
        <v>110</v>
      </c>
      <c r="D3" s="992"/>
      <c r="E3" s="992"/>
      <c r="F3" s="992"/>
      <c r="G3" s="992"/>
      <c r="H3" s="992"/>
      <c r="I3" s="992"/>
      <c r="J3" s="992"/>
      <c r="K3" s="106"/>
      <c r="L3" s="106"/>
      <c r="M3" s="106"/>
      <c r="N3" s="106" t="s">
        <v>111</v>
      </c>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6"/>
      <c r="AO3" s="106"/>
      <c r="AP3" s="106"/>
      <c r="AQ3" s="106"/>
      <c r="AR3" s="106"/>
      <c r="AS3" s="106"/>
      <c r="AT3" s="106"/>
      <c r="AU3" s="106"/>
      <c r="AV3" s="106"/>
      <c r="AW3" s="106"/>
      <c r="AX3" s="106"/>
      <c r="AY3" s="106"/>
      <c r="AZ3" s="106"/>
      <c r="BA3" s="106"/>
      <c r="BB3" s="106"/>
    </row>
    <row r="4" spans="2:54" s="6" customFormat="1" ht="21.6" customHeight="1">
      <c r="B4" s="922"/>
      <c r="C4" s="107"/>
      <c r="D4" s="69"/>
      <c r="E4" s="70"/>
      <c r="F4" s="71"/>
      <c r="G4" s="1011"/>
      <c r="H4" s="1011"/>
      <c r="I4" s="108"/>
      <c r="J4" s="108"/>
      <c r="K4" s="108"/>
      <c r="L4" s="108"/>
      <c r="M4" s="109"/>
      <c r="N4" s="90" t="s">
        <v>112</v>
      </c>
    </row>
    <row r="5" spans="2:54" s="6" customFormat="1" ht="21.6" customHeight="1">
      <c r="B5" s="922"/>
      <c r="C5" s="110" t="s">
        <v>113</v>
      </c>
      <c r="D5" s="110"/>
      <c r="E5" s="110"/>
      <c r="F5" s="110"/>
      <c r="G5" s="110"/>
      <c r="H5" s="104"/>
      <c r="I5" s="111"/>
      <c r="J5" s="114" t="str">
        <f>Cover!M34</f>
        <v>OCT FY-24</v>
      </c>
      <c r="K5" s="108"/>
      <c r="L5" s="108"/>
      <c r="M5" s="109"/>
      <c r="N5" s="128" t="s">
        <v>114</v>
      </c>
    </row>
    <row r="6" spans="2:54" ht="21.6" customHeight="1">
      <c r="N6" s="90" t="s">
        <v>115</v>
      </c>
    </row>
    <row r="7" spans="2:54" ht="21.6" customHeight="1">
      <c r="F7" s="146">
        <f>IF(F8="Q1",3,IF(F8="Q2",6,IF(F8="Q3",9,IF(F8="Q4",12))))</f>
        <v>3</v>
      </c>
      <c r="N7" s="90" t="s">
        <v>116</v>
      </c>
    </row>
    <row r="8" spans="2:54" ht="21.6" customHeight="1">
      <c r="F8" s="146" t="str">
        <f>Cover!M35</f>
        <v>Q1</v>
      </c>
      <c r="J8" s="146" t="str">
        <f>F8</f>
        <v>Q1</v>
      </c>
      <c r="N8" s="128" t="s">
        <v>117</v>
      </c>
    </row>
    <row r="9" spans="2:54" ht="21.6" customHeight="1" thickBot="1">
      <c r="N9" s="90" t="s">
        <v>118</v>
      </c>
    </row>
    <row r="10" spans="2:54" ht="21.6" customHeight="1" thickTop="1" thickBot="1">
      <c r="C10" s="116"/>
      <c r="D10" s="118"/>
      <c r="E10" s="119"/>
      <c r="F10" s="585"/>
      <c r="G10" s="118"/>
      <c r="H10" s="119"/>
      <c r="I10" s="116"/>
      <c r="J10" s="120" t="str">
        <f>$J$8</f>
        <v>Q1</v>
      </c>
    </row>
    <row r="11" spans="2:54" s="113" customFormat="1" ht="21.6" customHeight="1" thickTop="1">
      <c r="B11" s="924"/>
      <c r="C11" s="117" t="s">
        <v>119</v>
      </c>
      <c r="D11" s="1012" t="s">
        <v>120</v>
      </c>
      <c r="E11" s="1013"/>
      <c r="F11" s="121" t="str">
        <f>$F$8&amp;" FY"&amp;RIGHT($J$5,2)</f>
        <v>Q1 FY24</v>
      </c>
      <c r="G11" s="1012" t="s">
        <v>121</v>
      </c>
      <c r="H11" s="1013"/>
      <c r="I11" s="117" t="s">
        <v>122</v>
      </c>
      <c r="J11" s="117" t="str">
        <f>RIGHT(F11,4)</f>
        <v>FY24</v>
      </c>
      <c r="K11" s="924"/>
    </row>
    <row r="12" spans="2:54" ht="21.6" customHeight="1">
      <c r="C12" s="966" t="s">
        <v>42</v>
      </c>
      <c r="D12" s="995" t="s">
        <v>123</v>
      </c>
      <c r="E12" s="996"/>
      <c r="F12" s="122" t="str">
        <f>"▪ "&amp;TEXT((SUMIF(CB!$BJ$26:$BJ$37,F7,CB!$BR$26:$BR$37)*1000)+(SUMIF(CB!$BJ$83:$BJ$94,F7,CB!$BR$83:$BR$94)*1000)," #,##0")&amp;" total"</f>
        <v>▪  0 total</v>
      </c>
      <c r="G12" s="988" t="s">
        <v>124</v>
      </c>
      <c r="H12" s="989"/>
      <c r="I12" s="993">
        <f>SUMIF(CB!$BJ$26:$BJ$37,Cover!$M$36,CB!$BU$26:$BU$37)</f>
        <v>1</v>
      </c>
      <c r="J12" s="994">
        <f>ROUND(SUMIF(CB!$BK$26:$BK$37,AC!$J$8,CB!$BT$26:$BT$37),1)</f>
        <v>1</v>
      </c>
      <c r="M12" s="149"/>
    </row>
    <row r="13" spans="2:54" ht="21.6" customHeight="1">
      <c r="C13" s="966"/>
      <c r="D13" s="989"/>
      <c r="E13" s="996"/>
      <c r="F13" s="123" t="str">
        <f>"▪ ("&amp;TEXT((SUMIF(CB!$BJ$26:$BJ$37,F7,CB!$BR$26:$BR$37)*1000),"#,##0")&amp;" US &amp;" &amp; TEXT((SUMIF(CB!$BJ$83:$BJ$94,F7,CB!$BR$83:$BR$94)*1000)," #,##0")&amp;" CAD)"</f>
        <v>▪ (0 US &amp; 0 CAD)</v>
      </c>
      <c r="G13" s="990"/>
      <c r="H13" s="989"/>
      <c r="I13" s="993"/>
      <c r="J13" s="994"/>
    </row>
    <row r="14" spans="2:54" ht="21.6" customHeight="1">
      <c r="C14" s="966"/>
      <c r="D14" s="1004" t="s">
        <v>125</v>
      </c>
      <c r="E14" s="1005"/>
      <c r="F14" s="124" t="str">
        <f>"▪ "&amp;TEXT((SUMIF(CB!$BJ$45:$BJ$56,F7,CB!$BR$45:$BR$56)*1000)+(SUMIF(CB!$BJ$101:$BJ$112,F7,CB!$BR$101:$BR$112)*1000)," #,##0")&amp;" total"</f>
        <v>▪  0 total</v>
      </c>
      <c r="G14" s="997" t="s">
        <v>126</v>
      </c>
      <c r="H14" s="998"/>
      <c r="I14" s="1003">
        <f>SUMIF(CB!$BJ$45:$BJ$56,Cover!$M$36,CB!$BU$45:$BU$56)</f>
        <v>1</v>
      </c>
      <c r="J14" s="978">
        <f>SUMIF(CB!$BK$45:$BK$56,AC!$J$8,CB!$BT$45:$BT$56)</f>
        <v>0.98920086393088547</v>
      </c>
    </row>
    <row r="15" spans="2:54" ht="21.6" customHeight="1">
      <c r="C15" s="966"/>
      <c r="D15" s="1004"/>
      <c r="E15" s="1005"/>
      <c r="F15" s="125" t="str">
        <f>"▪ ("&amp;TEXT((SUMIF(CB!$BJ$45:$BJ$56,F7,CB!$BR$45:$BR$56)*1000),"#,##0")&amp;" US &amp;" &amp; TEXT((SUMIF(CB!$BJ$101:$BJ$112,F7,CB!$BR$101:$BR$112)*1000)," #,##0")&amp;" CAD)"</f>
        <v>▪ (0 US &amp; 0 CAD)</v>
      </c>
      <c r="G15" s="999"/>
      <c r="H15" s="998"/>
      <c r="I15" s="1003"/>
      <c r="J15" s="978"/>
    </row>
    <row r="16" spans="2:54" ht="21.6" customHeight="1">
      <c r="C16" s="966" t="s">
        <v>38</v>
      </c>
      <c r="D16" s="995" t="s">
        <v>127</v>
      </c>
      <c r="E16" s="1002"/>
      <c r="F16" s="122" t="str">
        <f>"▪ "&amp;TEXT((SUMIF(AR!$BK$26:$BK$37,AC!$F$8,AR!$BR$26:$BR$37)*1000),"#,##0")&amp;" total"</f>
        <v>▪ 5,671 total</v>
      </c>
      <c r="G16" s="988" t="s">
        <v>128</v>
      </c>
      <c r="H16" s="989"/>
      <c r="I16" s="993">
        <f>SUMIF(AR!$BJ$26:$BJ$37,Cover!$M$36,AR!$BU$26:$BU$37)</f>
        <v>0.95</v>
      </c>
      <c r="J16" s="1000">
        <f>ROUND(SUMIF(AR!$BK$26:$BK$37,AC!$J$8,AR!$BT$26:$BT$37),3)</f>
        <v>0.80300000000000005</v>
      </c>
      <c r="L16" s="131"/>
    </row>
    <row r="17" spans="3:14" ht="21.6" customHeight="1">
      <c r="C17" s="966"/>
      <c r="D17" s="995"/>
      <c r="E17" s="1002"/>
      <c r="F17" s="123" t="str">
        <f>"▪ "&amp;TEXT((SUMIF(AR!$BK$26:$BK$37,AC!$F$8,AR!$BR$26:$BR$37)*1000/3),"#,##0")&amp;" mthly avg"</f>
        <v>▪ 1,890 mthly avg</v>
      </c>
      <c r="G17" s="990"/>
      <c r="H17" s="989"/>
      <c r="I17" s="993"/>
      <c r="J17" s="1001"/>
      <c r="L17" s="130"/>
    </row>
    <row r="18" spans="3:14" ht="21.6" customHeight="1">
      <c r="C18" s="966"/>
      <c r="D18" s="1004" t="s">
        <v>129</v>
      </c>
      <c r="E18" s="1004"/>
      <c r="F18" s="1014" t="str">
        <f>"▪ $"&amp;TEXT((SUMIF(AR!$BJ$45:$BJ$56,AC!$F$7,AR!$BR$45:$BR$56)),"#,##0")&amp;"M ending balance"</f>
        <v>▪ $0M ending balance</v>
      </c>
      <c r="G18" s="997" t="s">
        <v>130</v>
      </c>
      <c r="H18" s="998"/>
      <c r="I18" s="1008">
        <f>SUMIF(AR!$BJ$45:$BJ$56,Cover!$M$36,AR!$BU$45:$BU$56)</f>
        <v>0.02</v>
      </c>
      <c r="J18" s="1006" t="str">
        <f>INDEX(AR!$BS45:$BS56,MATCH(AC!$F$7,AR!$BJ45:$BJ56,0))</f>
        <v/>
      </c>
      <c r="L18" s="131"/>
      <c r="M18" s="149"/>
      <c r="N18" s="112" t="s">
        <v>131</v>
      </c>
    </row>
    <row r="19" spans="3:14" ht="21.6" customHeight="1">
      <c r="C19" s="966"/>
      <c r="D19" s="1004"/>
      <c r="E19" s="1004"/>
      <c r="F19" s="1015"/>
      <c r="G19" s="999"/>
      <c r="H19" s="998"/>
      <c r="I19" s="1008"/>
      <c r="J19" s="1007"/>
    </row>
    <row r="20" spans="3:14" ht="21.6" customHeight="1">
      <c r="C20" s="1063" t="s">
        <v>132</v>
      </c>
      <c r="D20" s="995" t="s">
        <v>133</v>
      </c>
      <c r="E20" s="1002"/>
      <c r="F20" s="122" t="str">
        <f>"▪ "&amp;TEXT((SUMIF(GL!$BK$26:$BK$37,AC!$F$8,GL!$BR$26:$BR$37)*1000),"#,##0")&amp;" total"</f>
        <v>▪ 217 total</v>
      </c>
      <c r="G20" s="988" t="s">
        <v>134</v>
      </c>
      <c r="H20" s="989"/>
      <c r="I20" s="1009">
        <f>SUMIF(GL!$BJ$26:$BJ$37,Cover!$M$36,GL!$BU$26:$BU$37)</f>
        <v>0.995</v>
      </c>
      <c r="J20" s="978">
        <f>ROUND(SUMIF(GL!$BK$26:$BK$37,AC!$J$8,GL!$BT$26:$BT$37),3)</f>
        <v>1</v>
      </c>
      <c r="M20" s="150"/>
    </row>
    <row r="21" spans="3:14" ht="21.6" customHeight="1">
      <c r="C21" s="1064"/>
      <c r="D21" s="995"/>
      <c r="E21" s="1002"/>
      <c r="F21" s="123" t="str">
        <f>"▪ "&amp;TEXT((SUMIF(GL!$BK$26:$BK$37,AC!$F$8,GL!$BR$26:$BR$37)*1000/3),"#,##0")&amp;" mthly avg"</f>
        <v>▪ 72 mthly avg</v>
      </c>
      <c r="G21" s="990"/>
      <c r="H21" s="989"/>
      <c r="I21" s="1009"/>
      <c r="J21" s="978"/>
    </row>
    <row r="22" spans="3:14" ht="21.6" customHeight="1">
      <c r="D22" s="115"/>
      <c r="E22" s="115"/>
      <c r="F22" s="115"/>
      <c r="G22" s="115"/>
      <c r="H22" s="115"/>
      <c r="I22" s="115"/>
      <c r="J22" s="115"/>
    </row>
    <row r="23" spans="3:14" ht="21.6" customHeight="1">
      <c r="D23" s="115"/>
      <c r="E23" s="115"/>
      <c r="F23" s="126"/>
      <c r="G23" s="115"/>
      <c r="H23" s="115"/>
      <c r="I23" s="115"/>
      <c r="J23" s="115"/>
    </row>
    <row r="24" spans="3:14" ht="21.6" customHeight="1">
      <c r="D24" s="115"/>
      <c r="E24" s="115"/>
      <c r="F24" s="126"/>
      <c r="G24" s="115"/>
      <c r="H24" s="115"/>
      <c r="I24" s="115"/>
      <c r="J24" s="126"/>
    </row>
    <row r="25" spans="3:14" ht="21.6" customHeight="1" thickBot="1">
      <c r="D25" s="115"/>
      <c r="E25" s="115"/>
      <c r="F25" s="115"/>
      <c r="G25" s="115"/>
      <c r="H25" s="115"/>
      <c r="I25" s="115"/>
      <c r="J25" s="115"/>
    </row>
    <row r="26" spans="3:14" ht="21.6" customHeight="1" thickTop="1" thickBot="1">
      <c r="C26" s="116"/>
      <c r="D26" s="118"/>
      <c r="E26" s="119"/>
      <c r="F26" s="585"/>
      <c r="G26" s="118"/>
      <c r="H26" s="119"/>
      <c r="I26" s="116"/>
      <c r="J26" s="120" t="str">
        <f>$J$8</f>
        <v>Q1</v>
      </c>
    </row>
    <row r="27" spans="3:14" ht="21.6" customHeight="1" thickTop="1">
      <c r="C27" s="117" t="s">
        <v>119</v>
      </c>
      <c r="D27" s="1012" t="s">
        <v>120</v>
      </c>
      <c r="E27" s="1013"/>
      <c r="F27" s="121" t="str">
        <f>$F$8&amp;" FY"&amp;RIGHT($J$5,2)</f>
        <v>Q1 FY24</v>
      </c>
      <c r="G27" s="1012" t="s">
        <v>121</v>
      </c>
      <c r="H27" s="1013"/>
      <c r="I27" s="117" t="s">
        <v>122</v>
      </c>
      <c r="J27" s="117" t="str">
        <f>RIGHT(F27,4)</f>
        <v>FY24</v>
      </c>
    </row>
    <row r="28" spans="3:14" ht="21.6" customHeight="1">
      <c r="C28" s="1063" t="s">
        <v>43</v>
      </c>
      <c r="D28" s="995" t="s">
        <v>135</v>
      </c>
      <c r="E28" s="1002"/>
      <c r="F28" s="1022" t="str">
        <f>"▪ $"&amp;TEXT((SUMIF(FA!$BJ$26:$BJ$37,AC!$F$7,FA!$BR$26:$BR$37)),"#,#0")&amp;"M ending balance"</f>
        <v>▪ $0M ending balance</v>
      </c>
      <c r="G28" s="988" t="s">
        <v>136</v>
      </c>
      <c r="H28" s="989"/>
      <c r="I28" s="1009">
        <f>SUMIF(FA!$BJ$26:$BJ$37,Cover!$M$36,FA!$BU$26:$BU$37)</f>
        <v>0.02</v>
      </c>
      <c r="J28" s="1010" t="str">
        <f>INDEX(FA!$BS$26:$BS$37,MATCH(AC!$F$7,FA!$BJ$26:$BJ$37,0))</f>
        <v/>
      </c>
      <c r="M28" s="149"/>
    </row>
    <row r="29" spans="3:14" ht="21.6" customHeight="1">
      <c r="C29" s="1064"/>
      <c r="D29" s="995"/>
      <c r="E29" s="1002"/>
      <c r="F29" s="1023"/>
      <c r="G29" s="990"/>
      <c r="H29" s="989"/>
      <c r="I29" s="1009"/>
      <c r="J29" s="1010"/>
      <c r="M29" s="150"/>
    </row>
    <row r="30" spans="3:14" ht="21.6" customHeight="1">
      <c r="C30" s="1064"/>
      <c r="D30" s="1004" t="s">
        <v>137</v>
      </c>
      <c r="E30" s="1005"/>
      <c r="F30" s="124" t="str">
        <f>"▪ "&amp;TEXT((SUMIF(FA!$BK$64:$BK$75,AC!$F$8,FA!$BR$64:$BR$75)*1000),"#,##0")&amp;" total"</f>
        <v>▪ 642 total</v>
      </c>
      <c r="G30" s="997" t="s">
        <v>138</v>
      </c>
      <c r="H30" s="998"/>
      <c r="I30" s="1024">
        <f>SUMIF(FA!$BJ$64:$BJ$75,Cover!$M$36,FA!$BU$64:$BU$75)</f>
        <v>3</v>
      </c>
      <c r="J30" s="1021">
        <f>ROUND(SUMIF(FA!$BK$64:$BK$75,AC!$J$8,FA!$BT$64:$BT$75),3)</f>
        <v>2.4300000000000002</v>
      </c>
      <c r="M30" s="149"/>
    </row>
    <row r="31" spans="3:14" ht="21.6" customHeight="1">
      <c r="C31" s="1065"/>
      <c r="D31" s="1004"/>
      <c r="E31" s="1005"/>
      <c r="F31" s="125" t="str">
        <f>"▪ "&amp;TEXT((SUMIF(FA!$BK$64:$BK$75,AC!$F$8,FA!$BR$64:$BR$75)/3*1000),"#,##0")&amp;" mthly avg"</f>
        <v>▪ 214 mthly avg</v>
      </c>
      <c r="G31" s="999"/>
      <c r="H31" s="998"/>
      <c r="I31" s="1024"/>
      <c r="J31" s="1021"/>
    </row>
    <row r="32" spans="3:14" ht="21.6" customHeight="1">
      <c r="C32" s="966" t="s">
        <v>45</v>
      </c>
      <c r="D32" s="995" t="s">
        <v>139</v>
      </c>
      <c r="E32" s="1002"/>
      <c r="F32" s="122" t="str">
        <f>"▪ "&amp;TEXT((SUMIF(AP!$BK$26:$BK$37,AC!$F$8,AP!$BX$26:$BX$37)*1000),"#,##0")&amp;" total"</f>
        <v>▪ 8,407 total</v>
      </c>
      <c r="G32" s="988" t="s">
        <v>140</v>
      </c>
      <c r="H32" s="989"/>
      <c r="I32" s="1020">
        <f>SUMIF(AP!$BJ$26:$BJ$37,Cover!$M$36,AP!$CA$26:$CA$37)</f>
        <v>6.08</v>
      </c>
      <c r="J32" s="1017">
        <f>ROUND(SUMIF(AP!$BK$26:$BK$37,AC!$J$8,AP!$BZ$26:$BZ$37),3)</f>
        <v>4.2629999999999999</v>
      </c>
      <c r="M32" s="149" t="s">
        <v>141</v>
      </c>
    </row>
    <row r="33" spans="3:13" ht="21.6" customHeight="1">
      <c r="C33" s="966"/>
      <c r="D33" s="995"/>
      <c r="E33" s="1002"/>
      <c r="F33" s="123" t="str">
        <f>"▪ "&amp;TEXT((SUMIF(AP!$BK$26:$BK$37,AC!$F$8,AP!$BX$26:$BX$37)*1000)/3,"#,##0")&amp;" mthly avg"</f>
        <v>▪ 2,802 mthly avg</v>
      </c>
      <c r="G33" s="990"/>
      <c r="H33" s="989"/>
      <c r="I33" s="1020"/>
      <c r="J33" s="1017"/>
    </row>
    <row r="34" spans="3:13" ht="21.6" customHeight="1">
      <c r="C34" s="966"/>
      <c r="D34" s="1004" t="s">
        <v>142</v>
      </c>
      <c r="E34" s="1005"/>
      <c r="F34" s="124" t="str">
        <f>"▪ "&amp;TEXT((SUMIF(AP!$BK$64:$BK$75,AC!$F$8,AP!$BR$64:$BR$75)*1000),"#,##0")&amp;" total"</f>
        <v>▪ 32,168 total</v>
      </c>
      <c r="G34" s="997" t="s">
        <v>143</v>
      </c>
      <c r="H34" s="998"/>
      <c r="I34" s="1018">
        <f>SUMIF(AP!$BJ$64:$BJ$75,Cover!$M$36,AP!$BU$64:$BU$75)</f>
        <v>2.91</v>
      </c>
      <c r="J34" s="1019">
        <f>ROUND(SUMIF(AP!$BK$64:$BK$75,AC!$J$8,AP!$BT$64:$BT$75),3)</f>
        <v>0.56999999999999995</v>
      </c>
    </row>
    <row r="35" spans="3:13" ht="21.6" customHeight="1">
      <c r="C35" s="966"/>
      <c r="D35" s="1004"/>
      <c r="E35" s="1005"/>
      <c r="F35" s="125" t="str">
        <f>"▪ "&amp;TEXT((SUMIF(AP!$BK$64:$BK$75,AC!$F$8,AP!$BR$64:$BR$75)*1000)/3,"#,##0")&amp;" mthly avg"</f>
        <v>▪ 10,723 mthly avg</v>
      </c>
      <c r="G35" s="999"/>
      <c r="H35" s="998"/>
      <c r="I35" s="1018"/>
      <c r="J35" s="1019"/>
    </row>
    <row r="36" spans="3:13" ht="21.6" customHeight="1">
      <c r="C36" s="1062" t="s">
        <v>47</v>
      </c>
      <c r="D36" s="995" t="s">
        <v>144</v>
      </c>
      <c r="E36" s="1002"/>
      <c r="F36" s="122" t="str">
        <f>"▪ "&amp;TEXT((SUMIF(PR!$BK$26:$BK$37,AC!$F$8,PR!$BR$26:BR$37)*1000),"#,##0")&amp;" total"</f>
        <v>▪ 297,261 total</v>
      </c>
      <c r="G36" s="988" t="s">
        <v>145</v>
      </c>
      <c r="H36" s="989"/>
      <c r="I36" s="1020">
        <f>SUMIF(PR!$BJ$26:$BJ$37,Cover!$M$36,PR!$BU$26:$BU$37)</f>
        <v>1.03</v>
      </c>
      <c r="J36" s="1017">
        <f>ROUND(SUMIF(PR!$BK$26:$BK$37,AC!$J$8,PR!$BT$26:$BT$37),3)</f>
        <v>0.84699999999999998</v>
      </c>
      <c r="L36" s="131"/>
      <c r="M36" s="149"/>
    </row>
    <row r="37" spans="3:13" ht="21.6" customHeight="1">
      <c r="C37" s="1062"/>
      <c r="D37" s="995"/>
      <c r="E37" s="1002"/>
      <c r="F37" s="123" t="str">
        <f>"▪ "&amp;TEXT((SUMIF(PR!$BK$26:$BK$37,AC!$F$8,PR!$BR$26:$BR$37)*1000/3),"#,##0")&amp;" mthly avg"</f>
        <v>▪ 99,087 mthly avg</v>
      </c>
      <c r="G37" s="990"/>
      <c r="H37" s="989"/>
      <c r="I37" s="1020"/>
      <c r="J37" s="1017"/>
      <c r="L37" s="130"/>
    </row>
    <row r="38" spans="3:13" ht="21.6" customHeight="1">
      <c r="C38" s="1062"/>
      <c r="D38" s="1004" t="s">
        <v>146</v>
      </c>
      <c r="E38" s="1005"/>
      <c r="F38" s="124" t="str">
        <f>"▪ "&amp;TEXT((SUMIF(PR!$BK$45:$BK$56,AC!$F$8,PR!$BR$45:$BR$56)*1000),"#,##0")&amp;" total"</f>
        <v>▪ 1,407 total</v>
      </c>
      <c r="G38" s="997" t="s">
        <v>147</v>
      </c>
      <c r="H38" s="998"/>
      <c r="I38" s="1003">
        <f>SUMIF(PR!$BJ$45:$BJ$56,Cover!$M$36,PR!$BU$45:$BU$56)</f>
        <v>0.99</v>
      </c>
      <c r="J38" s="1016">
        <f>ROUND(SUMIF(PR!$BK$45:$BK$56,AC!$J$8,PR!$BT$45:$BT$56),3)</f>
        <v>0.98</v>
      </c>
      <c r="L38" s="131"/>
    </row>
    <row r="39" spans="3:13" ht="21.6" customHeight="1">
      <c r="C39" s="1062"/>
      <c r="D39" s="1004"/>
      <c r="E39" s="1005"/>
      <c r="F39" s="125" t="str">
        <f>"▪ "&amp;TEXT((SUMIF(PR!$BK$45:$BK$56,AC!$F$8,PR!$BR$45:$BR$56)*1000/3),"#,##0")&amp;" mthly avg"</f>
        <v>▪ 469 mthly avg</v>
      </c>
      <c r="G39" s="999"/>
      <c r="H39" s="998"/>
      <c r="I39" s="1003"/>
      <c r="J39" s="1016"/>
    </row>
    <row r="40" spans="3:13" ht="21.6" customHeight="1">
      <c r="C40" s="1062"/>
      <c r="D40" s="995" t="s">
        <v>148</v>
      </c>
      <c r="E40" s="1002"/>
      <c r="F40" s="122" t="str">
        <f>"▪ "&amp;TEXT((SUMIF(PR!$BK$64:$BK$75,AC!$F$8,PR!$BR$64:$BR$75)*1000),"#,##0")&amp;" total"</f>
        <v>▪ 2,213 total</v>
      </c>
      <c r="G40" s="988" t="s">
        <v>149</v>
      </c>
      <c r="H40" s="989"/>
      <c r="I40" s="993">
        <f>SUMIF(PR!$BJ$64:$BJ$75,Cover!$M$36,PR!$BU$64:$BU$75)</f>
        <v>0.9</v>
      </c>
      <c r="J40" s="1016">
        <f>ROUND(SUMIF(PR!$BK$64:$BK$75,AC!$J$8,PR!$BT$64:$BT$75),3)</f>
        <v>0.96899999999999997</v>
      </c>
      <c r="L40" s="131"/>
    </row>
    <row r="41" spans="3:13" ht="21.6" customHeight="1">
      <c r="C41" s="1062"/>
      <c r="D41" s="995"/>
      <c r="E41" s="1002"/>
      <c r="F41" s="123" t="str">
        <f>"▪ "&amp;TEXT((SUMIF(PR!$BK$64:$BK$75,AC!$F$8,PR!$BR$64:$BR$75)*1000/3),"#,##0")&amp;" mthly avg"</f>
        <v>▪ 738 mthly avg</v>
      </c>
      <c r="G41" s="990"/>
      <c r="H41" s="989"/>
      <c r="I41" s="993"/>
      <c r="J41" s="1016"/>
      <c r="L41" s="131"/>
    </row>
    <row r="42" spans="3:13" ht="21.6" customHeight="1">
      <c r="D42"/>
      <c r="E42"/>
      <c r="F42"/>
      <c r="G42"/>
      <c r="H42"/>
      <c r="I42"/>
      <c r="J42"/>
    </row>
    <row r="43" spans="3:13" ht="21.6" customHeight="1">
      <c r="D43"/>
      <c r="E43"/>
      <c r="F43"/>
      <c r="G43"/>
      <c r="H43"/>
      <c r="I43"/>
    </row>
    <row r="44" spans="3:13" ht="21.6" customHeight="1">
      <c r="F44"/>
    </row>
    <row r="45" spans="3:13" ht="21.6" customHeight="1">
      <c r="F45" s="126"/>
    </row>
    <row r="46" spans="3:13" ht="21.6" customHeight="1">
      <c r="F46" s="126"/>
      <c r="J46" s="126"/>
    </row>
    <row r="47" spans="3:13" ht="21.6" customHeight="1" thickBot="1">
      <c r="D47" s="115"/>
      <c r="E47" s="115"/>
      <c r="G47" s="115"/>
      <c r="H47" s="115"/>
      <c r="I47" s="115"/>
    </row>
    <row r="48" spans="3:13" ht="21.6" customHeight="1" thickTop="1" thickBot="1">
      <c r="C48" s="116"/>
      <c r="D48" s="118"/>
      <c r="E48" s="119"/>
      <c r="F48" s="585"/>
      <c r="G48" s="118"/>
      <c r="H48" s="119"/>
      <c r="I48" s="116"/>
      <c r="J48" s="120" t="str">
        <f>$J$8</f>
        <v>Q1</v>
      </c>
    </row>
    <row r="49" spans="3:28" ht="21.6" customHeight="1" thickTop="1">
      <c r="C49" s="117" t="s">
        <v>119</v>
      </c>
      <c r="D49" s="1012" t="s">
        <v>120</v>
      </c>
      <c r="E49" s="1013"/>
      <c r="F49" s="121" t="str">
        <f>$F$8&amp;" FY"&amp;RIGHT($J$5,2)</f>
        <v>Q1 FY24</v>
      </c>
      <c r="G49" s="1012" t="s">
        <v>121</v>
      </c>
      <c r="H49" s="1013"/>
      <c r="I49" s="117" t="s">
        <v>122</v>
      </c>
      <c r="J49" s="117" t="str">
        <f>RIGHT(F49,4)</f>
        <v>FY24</v>
      </c>
    </row>
    <row r="50" spans="3:28" ht="21.6" customHeight="1">
      <c r="C50" s="966" t="s">
        <v>48</v>
      </c>
      <c r="D50" s="1030" t="s">
        <v>150</v>
      </c>
      <c r="E50" s="1031"/>
      <c r="F50" s="122" t="str">
        <f>"▪ "&amp;TEXT((SUMIF(BSS!$BK$26:$BK$37,AC!$F$8,BSS!$BR$26:$BR$37)*1000),"#,##0")&amp;" total"</f>
        <v>▪ 9,010 total</v>
      </c>
      <c r="G50" s="988" t="s">
        <v>151</v>
      </c>
      <c r="H50" s="989"/>
      <c r="I50" s="993">
        <f>SUMIF(BSS!$BJ$122:$BJ$133,Cover!$M$36,BSS!$BU$122:$BU$133)</f>
        <v>0.9</v>
      </c>
      <c r="J50" s="978">
        <f>ROUND(SUMIF(BSS!$BK$26:$BK$37,AC!$J$8,BSS!$BT$26:$BT$37),3)</f>
        <v>0.95799999999999996</v>
      </c>
      <c r="M50" s="150"/>
    </row>
    <row r="51" spans="3:28" ht="21.6" customHeight="1">
      <c r="C51" s="966"/>
      <c r="D51" s="1032"/>
      <c r="E51" s="1033"/>
      <c r="F51" s="123" t="str">
        <f>"▪ "&amp;TEXT((SUMIF(BSS!$BK$26:$BK$37,AC!$F$8,BSS!$BR$26:$BR$37)*1000/3),"#,##0")&amp;" mthly avg"</f>
        <v>▪ 3,003 mthly avg</v>
      </c>
      <c r="G51" s="990"/>
      <c r="H51" s="989"/>
      <c r="I51" s="993"/>
      <c r="J51" s="978"/>
    </row>
    <row r="52" spans="3:28" ht="21.6" customHeight="1">
      <c r="C52" s="966"/>
      <c r="D52" s="1025" t="s">
        <v>152</v>
      </c>
      <c r="E52" s="1026"/>
      <c r="F52" s="124" t="str">
        <f>"▪ "&amp;TEXT((SUMIF(BSS!$BK$66:$BK$77,AC!$F$8,BSS!$BR$66:$BR$77)*1000),"#,##0")&amp;" total"</f>
        <v>▪ 22,855 total</v>
      </c>
      <c r="G52" s="997" t="s">
        <v>153</v>
      </c>
      <c r="H52" s="998"/>
      <c r="I52" s="1029">
        <f>SUMIF(BSS!$BJ$161:$BJ$172,Cover!$M$36,BSS!$BU$161:$BU$172)</f>
        <v>6.9444444444444447E-4</v>
      </c>
      <c r="J52" s="1034">
        <f>ROUND(SUMIF(BSS!$BK$64:$BK$75,AC!$J$8,BSS!$BT$64:$BT$75),5)</f>
        <v>4.0999999999999999E-4</v>
      </c>
    </row>
    <row r="53" spans="3:28" ht="21.6" customHeight="1">
      <c r="C53" s="966"/>
      <c r="D53" s="1027"/>
      <c r="E53" s="1028"/>
      <c r="F53" s="125" t="str">
        <f>"▪ "&amp;TEXT((SUMIF(BSS!$BK$66:$BK$77,AC!$F$8,BSS!$BR$66:$BR$77)*1000/3),"#,##0")&amp;" mthly avg"</f>
        <v>▪ 7,618 mthly avg</v>
      </c>
      <c r="G53" s="999"/>
      <c r="H53" s="998"/>
      <c r="I53" s="1029"/>
      <c r="J53" s="1034"/>
      <c r="N53" s="127"/>
    </row>
    <row r="54" spans="3:28" ht="21.6" customHeight="1">
      <c r="C54" s="966"/>
      <c r="D54" s="1030" t="s">
        <v>154</v>
      </c>
      <c r="E54" s="1050"/>
      <c r="F54" s="122" t="str">
        <f>"▪ "&amp;TEXT((SUMIF(BSS!$BK$85:$BK$96,AC!$F$8,BSS!$BR$85:$BR$96)*1000),"#,##0")&amp;" total"</f>
        <v>▪ 25,474 total</v>
      </c>
      <c r="G54" s="988" t="s">
        <v>155</v>
      </c>
      <c r="H54" s="989"/>
      <c r="I54" s="993">
        <f>SUMIF(BSS!$BJ$180:$BJ$191,Cover!$M$36,BSS!$BU$180:$BU$191)</f>
        <v>0.05</v>
      </c>
      <c r="J54" s="1035">
        <f>ROUND(SUMIF(BSS!$BK$84:$BK$95,AC!$J$8,BSS!$BT$84:$BT$95),3)</f>
        <v>4.1000000000000002E-2</v>
      </c>
      <c r="N54" s="127"/>
    </row>
    <row r="55" spans="3:28" ht="21.6" customHeight="1">
      <c r="C55" s="966"/>
      <c r="D55" s="1047"/>
      <c r="E55" s="1051"/>
      <c r="F55" s="123" t="str">
        <f>"▪ "&amp;TEXT((SUMIF(BSS!$BK$85:$BK$96,AC!$F$8,BSS!$BR$85:$BR$96)*1000/3),"#,##0")&amp;" mthly avg"</f>
        <v>▪ 8,491 mthly avg</v>
      </c>
      <c r="G55" s="990"/>
      <c r="H55" s="989"/>
      <c r="I55" s="993"/>
      <c r="J55" s="1035"/>
    </row>
    <row r="56" spans="3:28" ht="21.6" customHeight="1">
      <c r="C56" s="966"/>
      <c r="D56" s="998" t="s">
        <v>156</v>
      </c>
      <c r="E56" s="1052"/>
      <c r="F56" s="124" t="str">
        <f>"▪ "&amp;TEXT((SUMIF(BSS!$BK$199:$BK$210,AC!$F$8,BSS!$BR$199:$BR$210)*1000),"#,##0")&amp;" total"</f>
        <v>▪ 19,660 total</v>
      </c>
      <c r="G56" s="997" t="s">
        <v>157</v>
      </c>
      <c r="H56" s="998"/>
      <c r="I56" s="1003">
        <f>SUMIF(BSS!$BJ$199:$BJ$210,Cover!$M$36,BSS!$BU$199:$BU$210)</f>
        <v>0.8</v>
      </c>
      <c r="J56" s="1035">
        <f>ROUND(SUMIF(BSS!$BK$199:$BK$210,AC!$J$8,BSS!$BT$199:$BT$210),3)</f>
        <v>0.84899999999999998</v>
      </c>
    </row>
    <row r="57" spans="3:28" ht="21.6" customHeight="1">
      <c r="C57" s="966"/>
      <c r="D57" s="998"/>
      <c r="E57" s="1052"/>
      <c r="F57" s="125" t="str">
        <f>"▪ "&amp;TEXT((SUMIF(BSS!$BK$199:$BK$210,AC!$F$8,BSS!$BR$199:$BR$210)*1000/3),"#,##0")&amp;" mthly avg"</f>
        <v>▪ 6,553 mthly avg</v>
      </c>
      <c r="G57" s="999"/>
      <c r="H57" s="998"/>
      <c r="I57" s="1003"/>
      <c r="J57" s="1035"/>
      <c r="AB57" s="112" t="s">
        <v>158</v>
      </c>
    </row>
    <row r="58" spans="3:28" ht="21.6" customHeight="1">
      <c r="C58" s="1063" t="s">
        <v>159</v>
      </c>
      <c r="D58" s="1004" t="s">
        <v>150</v>
      </c>
      <c r="E58" s="1005"/>
      <c r="F58" s="124" t="str">
        <f>"▪ "&amp;TEXT((SUMIF(PS!$BK$26:$BK$37,AC!$F$8,PS!$BR$26:$BR$37)*1000),"#,##0")&amp;" total"</f>
        <v>▪ 1,863 total</v>
      </c>
      <c r="G58" s="997" t="s">
        <v>151</v>
      </c>
      <c r="H58" s="998"/>
      <c r="I58" s="1003">
        <f>SUMIF(PS!$BJ$26:$BJ$37,Cover!$M$36,PS!$BU$26:$BU$37)</f>
        <v>0.9</v>
      </c>
      <c r="J58" s="978">
        <f>ROUND(SUMIF(PS!$BK$26:$BK$37,AC!$J$8,PS!$BT$26:$BT$37),3)</f>
        <v>0.94</v>
      </c>
      <c r="M58" s="150"/>
    </row>
    <row r="59" spans="3:28" ht="21.6" customHeight="1">
      <c r="C59" s="1064"/>
      <c r="D59" s="1004"/>
      <c r="E59" s="1005"/>
      <c r="F59" s="125" t="str">
        <f>"▪ "&amp;TEXT((SUMIF(PS!$BK$26:$BK$37,AC!$F$8,PS!$BR$26:$BR$37)*1000/3),"#,##0")&amp;" mthly avg"</f>
        <v>▪ 621 mthly avg</v>
      </c>
      <c r="G59" s="999"/>
      <c r="H59" s="998"/>
      <c r="I59" s="1003"/>
      <c r="J59" s="978"/>
    </row>
    <row r="60" spans="3:28" ht="21.6" customHeight="1">
      <c r="C60" s="1064"/>
      <c r="D60" s="995" t="s">
        <v>152</v>
      </c>
      <c r="E60" s="1002"/>
      <c r="F60" s="122" t="str">
        <f>"▪ "&amp;TEXT((SUMIF(PS!$BK$45:$BK$56,AC!$F$8,PS!$BR$45:$BR$56)*1000),"#,##0")&amp;" total"</f>
        <v>▪ 8,488 total</v>
      </c>
      <c r="G60" s="988" t="s">
        <v>153</v>
      </c>
      <c r="H60" s="989"/>
      <c r="I60" s="1045">
        <f>SUMIF(PS!$BJ$45:$BJ$56,Cover!$M$36,PS!$BU$45:$BU$56)</f>
        <v>2.4305555555555556E-3</v>
      </c>
      <c r="J60" s="1034">
        <f>ROUND(SUMIF(PS!$BK$45:$BK$56,AC!$J$8,PS!$BT$45:$BT$56),5)</f>
        <v>3.8999999999999999E-4</v>
      </c>
    </row>
    <row r="61" spans="3:28" ht="21.6" customHeight="1">
      <c r="C61" s="1064"/>
      <c r="D61" s="995"/>
      <c r="E61" s="1002"/>
      <c r="F61" s="123" t="str">
        <f>"▪ "&amp;TEXT((SUMIF(PS!$BK$45:$BK$56,AC!$F$8,PS!$BR$45:$BR$56)*1000/3),"#,##0")&amp;" mthly avg"</f>
        <v>▪ 2,829 mthly avg</v>
      </c>
      <c r="G61" s="990"/>
      <c r="H61" s="989"/>
      <c r="I61" s="1045"/>
      <c r="J61" s="1034"/>
    </row>
    <row r="62" spans="3:28" ht="21.6" customHeight="1">
      <c r="C62" s="1064"/>
      <c r="D62" s="1004" t="s">
        <v>154</v>
      </c>
      <c r="E62" s="1005"/>
      <c r="F62" s="124" t="str">
        <f>"▪ "&amp;TEXT((SUMIF(PS!$BK$64:$BK$75,AC!$F$8,PS!$BR$64:$BR$75)*1000),"#,##0")&amp;" total"</f>
        <v>▪ 9,540 total</v>
      </c>
      <c r="G62" s="997" t="s">
        <v>155</v>
      </c>
      <c r="H62" s="998"/>
      <c r="I62" s="1003">
        <f>SUMIF(PS!$BJ$64:$BJ$75,Cover!$M$36,PS!$BU$64:$BU$75)</f>
        <v>0.1</v>
      </c>
      <c r="J62" s="1035">
        <f>ROUND(SUMIF(PS!$BK$64:$BK$75,AC!$J$8,PS!$BT$64:$BT$75),3)</f>
        <v>3.1E-2</v>
      </c>
      <c r="L62" s="149"/>
    </row>
    <row r="63" spans="3:28" ht="21.6" customHeight="1">
      <c r="C63" s="1064"/>
      <c r="D63" s="1004"/>
      <c r="E63" s="1005"/>
      <c r="F63" s="125" t="str">
        <f>"▪ "&amp;TEXT((SUMIF(PS!$BK$64:$BK$75,AC!$F$8,PS!$BR$64:$BR$75)*1000/3),"#,##0")&amp;" mthly avg"</f>
        <v>▪ 3,180 mthly avg</v>
      </c>
      <c r="G63" s="999"/>
      <c r="H63" s="998"/>
      <c r="I63" s="1003"/>
      <c r="J63" s="1035"/>
    </row>
    <row r="64" spans="3:28" ht="21.6" customHeight="1">
      <c r="C64" s="1064"/>
      <c r="D64" s="989" t="s">
        <v>160</v>
      </c>
      <c r="E64" s="996"/>
      <c r="F64" s="122" t="e">
        <f>"▪ "&amp;TEXT((SUMIF(PS!#REF!,AC!$F$8,PS!#REF!)*1000),"#,##0")&amp;" total"</f>
        <v>#REF!</v>
      </c>
      <c r="G64" s="988" t="s">
        <v>161</v>
      </c>
      <c r="H64" s="989"/>
      <c r="I64" s="1045" t="e">
        <f>SUMIF(PS!#REF!,Cover!$M$36,PS!#REF!)</f>
        <v>#REF!</v>
      </c>
      <c r="J64" s="1034" t="e">
        <f>ROUND(SUMIF(AR!#REF!,AC!$J$8,PS!#REF!),5)</f>
        <v>#REF!</v>
      </c>
    </row>
    <row r="65" spans="2:13" ht="21.6" customHeight="1">
      <c r="C65" s="1064"/>
      <c r="D65" s="989"/>
      <c r="E65" s="996"/>
      <c r="F65" s="123" t="e">
        <f>"▪ "&amp;TEXT((SUMIF(PS!#REF!,AC!$F$8,PS!#REF!)*1000/3),"#,##0")&amp;" mthly avg"</f>
        <v>#REF!</v>
      </c>
      <c r="G65" s="990"/>
      <c r="H65" s="989"/>
      <c r="I65" s="1045"/>
      <c r="J65" s="1034"/>
    </row>
    <row r="66" spans="2:13" ht="21.6" customHeight="1">
      <c r="C66" s="1064"/>
      <c r="D66" s="995" t="s">
        <v>162</v>
      </c>
      <c r="E66" s="1002"/>
      <c r="F66" s="122" t="str">
        <f>"▪ "&amp;TEXT((SUMIF(PS!$BK$83:$BK$94,AC!$F$8,PS!$BR$83:$BR$94)*1000),"#,##0")&amp;" total"</f>
        <v>▪ 3,825 total</v>
      </c>
      <c r="G66" s="988" t="s">
        <v>163</v>
      </c>
      <c r="H66" s="989"/>
      <c r="I66" s="993">
        <f>SUMIF(PS!$BJ$83:$BJ$94,Cover!$M$36,PS!$BU$83:$BU$94)</f>
        <v>0.85</v>
      </c>
      <c r="J66" s="978">
        <f>ROUND(SUMIF(PS!$BK$83:$BK$94,AC!$J$8,PS!$BT$83:$BT$94),3)</f>
        <v>1</v>
      </c>
      <c r="L66" s="131"/>
    </row>
    <row r="67" spans="2:13" ht="21.6" customHeight="1">
      <c r="C67" s="1065"/>
      <c r="D67" s="995"/>
      <c r="E67" s="1002"/>
      <c r="F67" s="123" t="str">
        <f>"▪ "&amp;TEXT((SUMIF(PS!$BK$83:$BK$94,AC!$F$8,PS!$BR$83:$BR$94)*1000/3),"#,##0")&amp;" mthly avg"</f>
        <v>▪ 1,275 mthly avg</v>
      </c>
      <c r="G67" s="990"/>
      <c r="H67" s="989"/>
      <c r="I67" s="993"/>
      <c r="J67" s="978"/>
    </row>
    <row r="68" spans="2:13" ht="21.6" customHeight="1">
      <c r="I68" s="132"/>
    </row>
    <row r="69" spans="2:13" ht="21.6" customHeight="1">
      <c r="D69" s="115"/>
      <c r="E69" s="115"/>
      <c r="F69" s="126"/>
      <c r="G69" s="115"/>
      <c r="H69" s="115"/>
      <c r="I69" s="115"/>
      <c r="J69" s="115"/>
    </row>
    <row r="70" spans="2:13" ht="21.6" customHeight="1">
      <c r="D70" s="115"/>
      <c r="E70" s="115"/>
      <c r="F70" s="126"/>
      <c r="G70" s="115"/>
      <c r="H70" s="115"/>
      <c r="I70" s="115"/>
      <c r="J70" s="126"/>
    </row>
    <row r="71" spans="2:13" ht="21.6" customHeight="1" thickBot="1">
      <c r="D71" s="115"/>
      <c r="E71" s="115"/>
      <c r="F71" s="115"/>
      <c r="G71" s="115"/>
      <c r="H71" s="115"/>
      <c r="I71" s="115"/>
      <c r="J71" s="115"/>
    </row>
    <row r="72" spans="2:13" ht="21.6" customHeight="1" thickTop="1" thickBot="1">
      <c r="C72" s="116"/>
      <c r="D72" s="118"/>
      <c r="E72" s="119"/>
      <c r="F72" s="585"/>
      <c r="G72" s="118"/>
      <c r="H72" s="119"/>
      <c r="I72" s="116"/>
      <c r="J72" s="120" t="str">
        <f>$J$8</f>
        <v>Q1</v>
      </c>
    </row>
    <row r="73" spans="2:13" ht="21.6" customHeight="1" thickTop="1">
      <c r="C73" s="117" t="s">
        <v>119</v>
      </c>
      <c r="D73" s="1012" t="s">
        <v>120</v>
      </c>
      <c r="E73" s="1013"/>
      <c r="F73" s="121" t="str">
        <f>$F$8&amp;" FY"&amp;RIGHT($J$5,2)</f>
        <v>Q1 FY24</v>
      </c>
      <c r="G73" s="1012" t="s">
        <v>121</v>
      </c>
      <c r="H73" s="1013"/>
      <c r="I73" s="117" t="s">
        <v>122</v>
      </c>
      <c r="J73" s="117" t="str">
        <f>RIGHT(F73,4)</f>
        <v>FY24</v>
      </c>
    </row>
    <row r="74" spans="2:13" ht="21.6" customHeight="1">
      <c r="B74" s="925"/>
      <c r="C74" s="966" t="s">
        <v>164</v>
      </c>
      <c r="D74" s="1048" t="s">
        <v>165</v>
      </c>
      <c r="E74" s="1049"/>
      <c r="F74" s="229" t="e">
        <f>"▪ "&amp;TEXT((SUMIF(#REF!,AC!$F$8,#REF!)*1000),"#,##0")&amp;" total"</f>
        <v>#REF!</v>
      </c>
      <c r="G74" s="985" t="s">
        <v>166</v>
      </c>
      <c r="H74" s="986"/>
      <c r="I74" s="1054" t="e">
        <f>SUMIF(#REF!,Cover!$M$36,#REF!)</f>
        <v>#REF!</v>
      </c>
      <c r="J74" s="1036" t="e">
        <f>ROUND(SUMIF(#REF!,AC!$J$8,#REF!),3)</f>
        <v>#REF!</v>
      </c>
      <c r="M74" s="150"/>
    </row>
    <row r="75" spans="2:13" ht="21.6" customHeight="1">
      <c r="B75" s="925"/>
      <c r="C75" s="966"/>
      <c r="D75" s="1048"/>
      <c r="E75" s="1049"/>
      <c r="F75" s="230" t="e">
        <f>"▪ "&amp;TEXT((SUMIF(#REF!,AC!$F$8,#REF!)*1000/3),"#,##0")&amp;" mthly avg"</f>
        <v>#REF!</v>
      </c>
      <c r="G75" s="987"/>
      <c r="H75" s="986"/>
      <c r="I75" s="1054"/>
      <c r="J75" s="1037"/>
    </row>
    <row r="76" spans="2:13" ht="21.6" customHeight="1">
      <c r="B76" s="925"/>
      <c r="C76" s="966"/>
      <c r="D76" s="1038" t="s">
        <v>167</v>
      </c>
      <c r="E76" s="1039"/>
      <c r="F76" s="231" t="e">
        <f>"▪ "&amp;TEXT((SUMIF(#REF!,AC!$F$8,#REF!)*1000),"#,##0")&amp;" total"</f>
        <v>#REF!</v>
      </c>
      <c r="G76" s="1055" t="s">
        <v>168</v>
      </c>
      <c r="H76" s="1056"/>
      <c r="I76" s="1058" t="e">
        <f>SUMIF(#REF!,Cover!$M$36,#REF!)</f>
        <v>#REF!</v>
      </c>
      <c r="J76" s="1036" t="e">
        <f>ROUND(SUMIF(#REF!,AC!$J$8,#REF!),3)</f>
        <v>#REF!</v>
      </c>
    </row>
    <row r="77" spans="2:13" ht="21.6" customHeight="1">
      <c r="B77" s="925"/>
      <c r="C77" s="966"/>
      <c r="D77" s="1038"/>
      <c r="E77" s="1039"/>
      <c r="F77" s="232" t="e">
        <f>"▪ "&amp;TEXT((SUMIF(#REF!,AC!$F$8,#REF!)*1000/3),"#,##0")&amp;" mthly avg"</f>
        <v>#REF!</v>
      </c>
      <c r="G77" s="1057"/>
      <c r="H77" s="1056"/>
      <c r="I77" s="1058"/>
      <c r="J77" s="1037"/>
    </row>
    <row r="78" spans="2:13" ht="21.6" customHeight="1">
      <c r="C78" s="966" t="s">
        <v>169</v>
      </c>
      <c r="D78" s="995" t="s">
        <v>150</v>
      </c>
      <c r="E78" s="1002"/>
      <c r="F78" s="122" t="str">
        <f>"▪ "&amp;TEXT((SUMIF(MyHRT1!$BK$26:$BK$37,AC!$F$8,MyHRT1!$BR$26:$BR$37)*1000),"#,##0")&amp;" total"</f>
        <v>▪ 294 total</v>
      </c>
      <c r="G78" s="988" t="s">
        <v>151</v>
      </c>
      <c r="H78" s="989"/>
      <c r="I78" s="993">
        <f>SUMIF(MyHRT1!$BJ$26:$BJ$37,Cover!$M$36,MyHRT1!$BU$26:$BU$37)</f>
        <v>0.9</v>
      </c>
      <c r="J78" s="978">
        <f>ROUND(SUMIF(MyHRT1!$BK$26:$BK$37,AC!$J$8,MyHRT1!$BT$26:$BT$37),3)</f>
        <v>0.98799999999999999</v>
      </c>
      <c r="L78" s="130"/>
    </row>
    <row r="79" spans="2:13" ht="21.6" customHeight="1">
      <c r="C79" s="966"/>
      <c r="D79" s="1053"/>
      <c r="E79" s="1030"/>
      <c r="F79" s="123" t="str">
        <f>"▪ "&amp;TEXT((SUMIF(MyHRT1!$BK$26:$BK$37,AC!$F$8,MyHRT1!$BR$26:$BR$37)*1000/3),"#,##0")&amp;" mthly avg"</f>
        <v>▪ 98 mthly avg</v>
      </c>
      <c r="G79" s="990"/>
      <c r="H79" s="989"/>
      <c r="I79" s="993"/>
      <c r="J79" s="978"/>
    </row>
    <row r="80" spans="2:13" ht="21.6" customHeight="1">
      <c r="C80" s="966"/>
      <c r="D80" s="1004" t="s">
        <v>152</v>
      </c>
      <c r="E80" s="998"/>
      <c r="F80" s="124" t="str">
        <f>"▪ "&amp;TEXT((SUMIF(MyHRT1!$BK$45:$BK$56,AC!$F$8,MyHRT1!$BR$45:$BR$56)*1000),"#,##0")&amp;" total"</f>
        <v>▪ 7,519 total</v>
      </c>
      <c r="G80" s="997" t="s">
        <v>153</v>
      </c>
      <c r="H80" s="998"/>
      <c r="I80" s="1029">
        <f>SUMIF(MyHRT1!$BJ$45:$BJ$56,Cover!$M$36,MyHRT1!$BU$45:$BU$56)</f>
        <v>6.9444444444444447E-4</v>
      </c>
      <c r="J80" s="1034">
        <f>ROUND(SUMIF(MyHRT1!$BK$45:$BK$56,AC!$J$8,MyHRT1!$BT$45:$BT$56),5)</f>
        <v>1.2999999999999999E-4</v>
      </c>
      <c r="M80" s="149"/>
    </row>
    <row r="81" spans="2:16" ht="21.6" customHeight="1">
      <c r="C81" s="966"/>
      <c r="D81" s="998"/>
      <c r="E81" s="998"/>
      <c r="F81" s="125" t="str">
        <f>"▪ "&amp;TEXT((SUMIF(MyHRT1!$BK$45:$BK$56,AC!$F$8,MyHRT1!$BR$45:$BR$56)*1000/3),"#,##0")&amp;" mthly avg"</f>
        <v>▪ 2,506 mthly avg</v>
      </c>
      <c r="G81" s="999"/>
      <c r="H81" s="998"/>
      <c r="I81" s="1029"/>
      <c r="J81" s="1034"/>
    </row>
    <row r="82" spans="2:16" ht="21.6" customHeight="1">
      <c r="C82" s="966"/>
      <c r="D82" s="1046" t="s">
        <v>154</v>
      </c>
      <c r="E82" s="1047"/>
      <c r="F82" s="122" t="str">
        <f>"▪ "&amp;TEXT((SUMIF(MyHRT1!$BK$64:$BK$75,AC!$F$8,MyHRT1!$BR$64:$BR$75)*1000),"#,##0")&amp;" total"</f>
        <v>▪ 7,519 total</v>
      </c>
      <c r="G82" s="988" t="s">
        <v>155</v>
      </c>
      <c r="H82" s="989"/>
      <c r="I82" s="993">
        <f>SUMIF(MyHRT1!$BJ$64:$BJ$75,Cover!$M$36,MyHRT1!$BU$64:$BU$75)</f>
        <v>0.05</v>
      </c>
      <c r="J82" s="1035">
        <f>ROUND(SUMIF(MyHRT1!$BK$64:$BK$75,AC!$J$8,MyHRT1!$BT$64:$BT$75),3)</f>
        <v>7.0000000000000001E-3</v>
      </c>
      <c r="L82" s="147"/>
      <c r="M82" s="147"/>
      <c r="N82" s="147"/>
      <c r="O82" s="147"/>
      <c r="P82" s="147"/>
    </row>
    <row r="83" spans="2:16" ht="21.6" customHeight="1">
      <c r="C83" s="966"/>
      <c r="D83" s="989"/>
      <c r="E83" s="996"/>
      <c r="F83" s="123" t="str">
        <f>"▪ "&amp;TEXT((SUMIF(MyHRT1!$BK$64:$BK$75,AC!$F$8,MyHRT1!$BR$64:$BR$75)*1000/3),"#,##0")&amp;" mthly avg"</f>
        <v>▪ 2,506 mthly avg</v>
      </c>
      <c r="G83" s="990"/>
      <c r="H83" s="989"/>
      <c r="I83" s="993"/>
      <c r="J83" s="1035"/>
      <c r="L83" s="147"/>
      <c r="M83" s="147"/>
      <c r="N83" s="147"/>
      <c r="O83" s="147"/>
      <c r="P83" s="147"/>
    </row>
    <row r="84" spans="2:16" ht="21.6" customHeight="1">
      <c r="B84" s="926"/>
      <c r="C84" s="966"/>
      <c r="D84" s="989" t="s">
        <v>160</v>
      </c>
      <c r="E84" s="996"/>
      <c r="F84" s="122" t="str">
        <f>"▪ "&amp;TEXT((SUMIF(MyHRT1!$BK$83:$BK$94,AC!$F$8,MyHRT1!$BR$83:$BR$94)*1000),"#,##0")&amp;" total"</f>
        <v>▪ 7,519 total</v>
      </c>
      <c r="G84" s="988" t="s">
        <v>161</v>
      </c>
      <c r="H84" s="989"/>
      <c r="I84" s="1045">
        <f>SUMIF(MyHRT1!$BJ$83:$BJ$94,Cover!$M$36,MyHRT1!$BU$83:$BU$94)</f>
        <v>3.472222222222222E-3</v>
      </c>
      <c r="J84" s="1034">
        <f>ROUND(SUMIF(MyHRT1!$BK$83:$BK$94,AC!$J$8,MyHRT1!$BT$83:$BT$94),3)</f>
        <v>3.0000000000000001E-3</v>
      </c>
      <c r="K84" s="926"/>
      <c r="L84" s="130"/>
    </row>
    <row r="85" spans="2:16" ht="21.6" customHeight="1">
      <c r="C85" s="966"/>
      <c r="D85" s="989"/>
      <c r="E85" s="996"/>
      <c r="F85" s="123" t="str">
        <f>"▪ "&amp;TEXT((SUMIF(MyHRT1!$BK$83:$BK$94,AC!$F$8,MyHRT1!$BR$83:$BR$94)*1000/3),"#,##0")&amp;" mthly avg"</f>
        <v>▪ 2,506 mthly avg</v>
      </c>
      <c r="G85" s="990"/>
      <c r="H85" s="989"/>
      <c r="I85" s="1045"/>
      <c r="J85" s="1034"/>
      <c r="L85" s="130"/>
    </row>
    <row r="86" spans="2:16" ht="21.6" customHeight="1">
      <c r="C86" s="1059" t="s">
        <v>170</v>
      </c>
      <c r="D86" s="1004" t="s">
        <v>171</v>
      </c>
      <c r="E86" s="1005"/>
      <c r="F86" s="124" t="e">
        <f>"▪ "&amp;TEXT((SUMIF(#REF!,AC!$F$8,#REF!)*1000),"#,##0")&amp;" total"</f>
        <v>#REF!</v>
      </c>
      <c r="G86" s="997" t="s">
        <v>149</v>
      </c>
      <c r="H86" s="998"/>
      <c r="I86" s="1003" t="e">
        <f>SUMIF(#REF!,Cover!$M$36,#REF!)</f>
        <v>#REF!</v>
      </c>
      <c r="J86" s="1000" t="e">
        <f>ROUND(SUMIF(#REF!,AC!$J$8,#REF!),3)</f>
        <v>#REF!</v>
      </c>
      <c r="L86" s="130"/>
      <c r="M86" s="149"/>
    </row>
    <row r="87" spans="2:16" ht="21.6" customHeight="1">
      <c r="C87" s="1060"/>
      <c r="D87" s="1004"/>
      <c r="E87" s="1005"/>
      <c r="F87" s="125" t="e">
        <f>"▪ "&amp;TEXT((SUMIF(#REF!,AC!$F$8,#REF!)*1000/3),"#,##0")&amp;" mthly avg"</f>
        <v>#REF!</v>
      </c>
      <c r="G87" s="999"/>
      <c r="H87" s="998"/>
      <c r="I87" s="1003"/>
      <c r="J87" s="1001"/>
    </row>
    <row r="88" spans="2:16" ht="21.6" customHeight="1">
      <c r="C88" s="1060"/>
      <c r="D88" s="995" t="s">
        <v>172</v>
      </c>
      <c r="E88" s="1002"/>
      <c r="F88" s="122" t="e">
        <f>"▪ "&amp;TEXT((SUMIF(#REF!,AC!$F$8,#REF!)*1000),"#,##0")&amp;" total"</f>
        <v>#REF!</v>
      </c>
      <c r="G88" s="988" t="s">
        <v>173</v>
      </c>
      <c r="H88" s="989"/>
      <c r="I88" s="993" t="e">
        <f>SUMIF(#REF!,Cover!$M$36,#REF!)</f>
        <v>#REF!</v>
      </c>
      <c r="J88" s="1000" t="e">
        <f>ROUND(SUMIF(#REF!,AC!$J$8,#REF!),3)</f>
        <v>#REF!</v>
      </c>
      <c r="L88" s="130"/>
      <c r="M88" s="148"/>
    </row>
    <row r="89" spans="2:16" ht="21.6" customHeight="1">
      <c r="C89" s="1060"/>
      <c r="D89" s="995"/>
      <c r="E89" s="1002"/>
      <c r="F89" s="123" t="e">
        <f>"▪ "&amp;TEXT((SUMIF(#REF!,AC!$F$8,#REF!)*1000/3),"#,##0")&amp;" mthly avg"</f>
        <v>#REF!</v>
      </c>
      <c r="G89" s="990"/>
      <c r="H89" s="989"/>
      <c r="I89" s="993"/>
      <c r="J89" s="1001"/>
    </row>
    <row r="90" spans="2:16" ht="21.6" customHeight="1">
      <c r="C90" s="1060"/>
      <c r="D90" s="1004" t="s">
        <v>174</v>
      </c>
      <c r="E90" s="1005"/>
      <c r="F90" s="124" t="e">
        <f>"▪ "&amp;TEXT((SUMIF(#REF!,AC!$F$8,#REF!)*1000),"#,##0")&amp;" total"</f>
        <v>#REF!</v>
      </c>
      <c r="G90" s="997" t="s">
        <v>175</v>
      </c>
      <c r="H90" s="998"/>
      <c r="I90" s="1043" t="e">
        <f>SUMIF(#REF!,Cover!$M$36,#REF!)</f>
        <v>#REF!</v>
      </c>
      <c r="J90" s="1042" t="e">
        <f>ROUND(SUMIF(#REF!,AC!$J$8,#REF!),3)</f>
        <v>#REF!</v>
      </c>
      <c r="L90" s="130"/>
    </row>
    <row r="91" spans="2:16" ht="21.6" customHeight="1">
      <c r="C91" s="1060"/>
      <c r="D91" s="1004"/>
      <c r="E91" s="1005"/>
      <c r="F91" s="125" t="e">
        <f>"▪ "&amp;TEXT((SUMIF(#REF!,AC!$F$8,#REF!)*1000/3),"#,##0")&amp;" mthly avg"</f>
        <v>#REF!</v>
      </c>
      <c r="G91" s="999"/>
      <c r="H91" s="998"/>
      <c r="I91" s="1043"/>
      <c r="J91" s="1042"/>
    </row>
    <row r="92" spans="2:16" ht="21.6" customHeight="1">
      <c r="C92" s="1060"/>
      <c r="D92" s="995" t="s">
        <v>176</v>
      </c>
      <c r="E92" s="1002"/>
      <c r="F92" s="122" t="e">
        <f>"▪ "&amp;TEXT((SUMIF(#REF!,AC!$F$8,#REF!)*1000),"#,##0")&amp;" total"</f>
        <v>#REF!</v>
      </c>
      <c r="G92" s="988" t="s">
        <v>177</v>
      </c>
      <c r="H92" s="989"/>
      <c r="I92" s="1044" t="e">
        <f>SUMIF(#REF!,Cover!$M$36,#REF!)</f>
        <v>#REF!</v>
      </c>
      <c r="J92" s="1040" t="e">
        <f>ROUND(SUMIF(#REF!,AC!$J$8,#REF!),3)</f>
        <v>#REF!</v>
      </c>
    </row>
    <row r="93" spans="2:16" ht="21.6" customHeight="1">
      <c r="C93" s="1061"/>
      <c r="D93" s="995"/>
      <c r="E93" s="1002"/>
      <c r="F93" s="123" t="e">
        <f>"▪ "&amp;TEXT((SUMIF(#REF!,AC!$F$8,#REF!)*1000/3),"#,##0")&amp;" mthly avg"</f>
        <v>#REF!</v>
      </c>
      <c r="G93" s="990"/>
      <c r="H93" s="989"/>
      <c r="I93" s="1044"/>
      <c r="J93" s="1041"/>
    </row>
    <row r="94" spans="2:16" ht="21.6" customHeight="1">
      <c r="C94" s="966" t="s">
        <v>178</v>
      </c>
      <c r="D94" s="967" t="s">
        <v>150</v>
      </c>
      <c r="E94" s="968"/>
      <c r="F94" s="229" t="e">
        <f>"▪ "&amp;TEXT((SUMIF(#REF!,AC!$F$8,#REF!)*1000),"#,##0")&amp;" total"</f>
        <v>#REF!</v>
      </c>
      <c r="G94" s="985" t="s">
        <v>151</v>
      </c>
      <c r="H94" s="986"/>
      <c r="I94" s="983">
        <v>0.9</v>
      </c>
      <c r="J94" s="978" t="e">
        <f>ROUND(SUMIF(#REF!,AC!$J$8,#REF!),3)</f>
        <v>#REF!</v>
      </c>
      <c r="M94" s="149"/>
    </row>
    <row r="95" spans="2:16" ht="21.6" customHeight="1">
      <c r="C95" s="966"/>
      <c r="D95" s="969"/>
      <c r="E95" s="970"/>
      <c r="F95" s="230" t="e">
        <f>"▪ "&amp;TEXT((SUMIF(#REF!,AC!$F$8,#REF!)*1000/3),"#,##0")&amp;" mthly avg"</f>
        <v>#REF!</v>
      </c>
      <c r="G95" s="987"/>
      <c r="H95" s="986"/>
      <c r="I95" s="983"/>
      <c r="J95" s="978"/>
    </row>
    <row r="96" spans="2:16" ht="21.6" customHeight="1">
      <c r="C96" s="966"/>
      <c r="D96" s="971" t="s">
        <v>152</v>
      </c>
      <c r="E96" s="972"/>
      <c r="F96" s="122" t="e">
        <f>"▪ "&amp;TEXT((SUMIF(#REF!,AC!$F$8,#REF!)*1000),"#,##0")&amp;" total"</f>
        <v>#REF!</v>
      </c>
      <c r="G96" s="988" t="s">
        <v>179</v>
      </c>
      <c r="H96" s="989"/>
      <c r="I96" s="984">
        <v>6.9444444444444447E-4</v>
      </c>
      <c r="J96" s="979" t="e">
        <f>ROUND(SUMIF(#REF!,AC!$J$8,#REF!),5)</f>
        <v>#REF!</v>
      </c>
    </row>
    <row r="97" spans="3:10" ht="21.6" customHeight="1">
      <c r="C97" s="966"/>
      <c r="D97" s="973"/>
      <c r="E97" s="974"/>
      <c r="F97" s="123" t="e">
        <f>"▪ "&amp;TEXT((SUMIF(#REF!,AC!$F$8,#REF!)*1000/3),"#,##0")&amp;" mthly avg"</f>
        <v>#REF!</v>
      </c>
      <c r="G97" s="990"/>
      <c r="H97" s="989"/>
      <c r="I97" s="984"/>
      <c r="J97" s="980"/>
    </row>
    <row r="98" spans="3:10" ht="21.6" customHeight="1">
      <c r="C98" s="966"/>
      <c r="D98" s="967" t="s">
        <v>154</v>
      </c>
      <c r="E98" s="975"/>
      <c r="F98" s="229" t="e">
        <f>"▪ "&amp;TEXT((SUMIF(#REF!,AC!$F$8,#REF!)*1000),"#,##0")&amp;" total"</f>
        <v>#REF!</v>
      </c>
      <c r="G98" s="985" t="s">
        <v>155</v>
      </c>
      <c r="H98" s="986"/>
      <c r="I98" s="983">
        <v>0.05</v>
      </c>
      <c r="J98" s="981" t="e">
        <f>ROUND(SUMIF(#REF!,AC!$J$8,#REF!),3)</f>
        <v>#REF!</v>
      </c>
    </row>
    <row r="99" spans="3:10" ht="21.6" customHeight="1">
      <c r="C99" s="966"/>
      <c r="D99" s="976"/>
      <c r="E99" s="977"/>
      <c r="F99" s="230" t="e">
        <f>"▪ "&amp;TEXT((SUMIF(#REF!,AC!$F$8,#REF!)*1000/3),"#,##0")&amp;" mthly avg"</f>
        <v>#REF!</v>
      </c>
      <c r="G99" s="987"/>
      <c r="H99" s="986"/>
      <c r="I99" s="983"/>
      <c r="J99" s="982"/>
    </row>
  </sheetData>
  <mergeCells count="161">
    <mergeCell ref="C86:C93"/>
    <mergeCell ref="C78:C85"/>
    <mergeCell ref="C74:C77"/>
    <mergeCell ref="C36:C41"/>
    <mergeCell ref="C50:C57"/>
    <mergeCell ref="C58:C67"/>
    <mergeCell ref="D66:E67"/>
    <mergeCell ref="G66:H67"/>
    <mergeCell ref="C20:C21"/>
    <mergeCell ref="C28:C31"/>
    <mergeCell ref="C32:C35"/>
    <mergeCell ref="G84:H85"/>
    <mergeCell ref="G80:H81"/>
    <mergeCell ref="G20:H21"/>
    <mergeCell ref="D64:E65"/>
    <mergeCell ref="G62:H63"/>
    <mergeCell ref="G36:H37"/>
    <mergeCell ref="G49:H49"/>
    <mergeCell ref="G82:H83"/>
    <mergeCell ref="G92:H93"/>
    <mergeCell ref="D86:E87"/>
    <mergeCell ref="D73:E73"/>
    <mergeCell ref="G60:H61"/>
    <mergeCell ref="D36:E37"/>
    <mergeCell ref="J82:J83"/>
    <mergeCell ref="D82:E83"/>
    <mergeCell ref="J80:J81"/>
    <mergeCell ref="D80:E81"/>
    <mergeCell ref="G78:H79"/>
    <mergeCell ref="I78:I79"/>
    <mergeCell ref="D74:E75"/>
    <mergeCell ref="D54:E55"/>
    <mergeCell ref="D49:E49"/>
    <mergeCell ref="D56:E57"/>
    <mergeCell ref="G73:H73"/>
    <mergeCell ref="I66:I67"/>
    <mergeCell ref="I82:I83"/>
    <mergeCell ref="I64:I65"/>
    <mergeCell ref="I60:I61"/>
    <mergeCell ref="I80:I81"/>
    <mergeCell ref="I62:I63"/>
    <mergeCell ref="J78:J79"/>
    <mergeCell ref="D78:E79"/>
    <mergeCell ref="J74:J75"/>
    <mergeCell ref="G74:H75"/>
    <mergeCell ref="I74:I75"/>
    <mergeCell ref="G76:H77"/>
    <mergeCell ref="I76:I77"/>
    <mergeCell ref="J92:J93"/>
    <mergeCell ref="D92:E93"/>
    <mergeCell ref="J84:J85"/>
    <mergeCell ref="D84:E85"/>
    <mergeCell ref="J88:J89"/>
    <mergeCell ref="D90:E91"/>
    <mergeCell ref="J90:J91"/>
    <mergeCell ref="G88:H89"/>
    <mergeCell ref="I88:I89"/>
    <mergeCell ref="G90:H91"/>
    <mergeCell ref="I90:I91"/>
    <mergeCell ref="G86:H87"/>
    <mergeCell ref="I86:I87"/>
    <mergeCell ref="J86:J87"/>
    <mergeCell ref="D88:E89"/>
    <mergeCell ref="I92:I93"/>
    <mergeCell ref="I84:I85"/>
    <mergeCell ref="J62:J63"/>
    <mergeCell ref="D62:E63"/>
    <mergeCell ref="G64:H65"/>
    <mergeCell ref="J64:J65"/>
    <mergeCell ref="J76:J77"/>
    <mergeCell ref="D76:E77"/>
    <mergeCell ref="J60:J61"/>
    <mergeCell ref="D60:E61"/>
    <mergeCell ref="G58:H59"/>
    <mergeCell ref="I58:I59"/>
    <mergeCell ref="J58:J59"/>
    <mergeCell ref="D58:E59"/>
    <mergeCell ref="J50:J51"/>
    <mergeCell ref="D52:E53"/>
    <mergeCell ref="G52:H53"/>
    <mergeCell ref="I52:I53"/>
    <mergeCell ref="D50:E51"/>
    <mergeCell ref="G50:H51"/>
    <mergeCell ref="J52:J53"/>
    <mergeCell ref="G56:H57"/>
    <mergeCell ref="I56:I57"/>
    <mergeCell ref="I50:I51"/>
    <mergeCell ref="J56:J57"/>
    <mergeCell ref="G54:H55"/>
    <mergeCell ref="I54:I55"/>
    <mergeCell ref="J54:J55"/>
    <mergeCell ref="I36:I37"/>
    <mergeCell ref="I30:I31"/>
    <mergeCell ref="D28:E29"/>
    <mergeCell ref="G30:H31"/>
    <mergeCell ref="G28:H29"/>
    <mergeCell ref="G40:H41"/>
    <mergeCell ref="I40:I41"/>
    <mergeCell ref="J40:J41"/>
    <mergeCell ref="D40:E41"/>
    <mergeCell ref="G11:H11"/>
    <mergeCell ref="F18:F19"/>
    <mergeCell ref="D27:E27"/>
    <mergeCell ref="G27:H27"/>
    <mergeCell ref="G18:H19"/>
    <mergeCell ref="J38:J39"/>
    <mergeCell ref="D38:E39"/>
    <mergeCell ref="J32:J33"/>
    <mergeCell ref="D34:E35"/>
    <mergeCell ref="G34:H35"/>
    <mergeCell ref="I34:I35"/>
    <mergeCell ref="J34:J35"/>
    <mergeCell ref="G32:H33"/>
    <mergeCell ref="I32:I33"/>
    <mergeCell ref="D32:E33"/>
    <mergeCell ref="G38:H39"/>
    <mergeCell ref="I38:I39"/>
    <mergeCell ref="J30:J31"/>
    <mergeCell ref="D30:E31"/>
    <mergeCell ref="I20:I21"/>
    <mergeCell ref="J20:J21"/>
    <mergeCell ref="D20:E21"/>
    <mergeCell ref="F28:F29"/>
    <mergeCell ref="J36:J37"/>
    <mergeCell ref="C2:J2"/>
    <mergeCell ref="C3:J3"/>
    <mergeCell ref="I12:I13"/>
    <mergeCell ref="J12:J13"/>
    <mergeCell ref="D12:E13"/>
    <mergeCell ref="G14:H15"/>
    <mergeCell ref="G12:H13"/>
    <mergeCell ref="J66:J67"/>
    <mergeCell ref="J16:J17"/>
    <mergeCell ref="D16:E17"/>
    <mergeCell ref="C12:C15"/>
    <mergeCell ref="C16:C19"/>
    <mergeCell ref="G16:H17"/>
    <mergeCell ref="I14:I15"/>
    <mergeCell ref="J14:J15"/>
    <mergeCell ref="D14:E15"/>
    <mergeCell ref="J18:J19"/>
    <mergeCell ref="D18:E19"/>
    <mergeCell ref="I18:I19"/>
    <mergeCell ref="I28:I29"/>
    <mergeCell ref="J28:J29"/>
    <mergeCell ref="I16:I17"/>
    <mergeCell ref="G4:H4"/>
    <mergeCell ref="D11:E11"/>
    <mergeCell ref="C94:C99"/>
    <mergeCell ref="D94:E95"/>
    <mergeCell ref="D96:E97"/>
    <mergeCell ref="D98:E99"/>
    <mergeCell ref="J94:J95"/>
    <mergeCell ref="J96:J97"/>
    <mergeCell ref="J98:J99"/>
    <mergeCell ref="I94:I95"/>
    <mergeCell ref="I96:I97"/>
    <mergeCell ref="I98:I99"/>
    <mergeCell ref="G94:H95"/>
    <mergeCell ref="G96:H97"/>
    <mergeCell ref="G98:H99"/>
  </mergeCells>
  <conditionalFormatting sqref="J60:J65 J74:J77 J80:J85 J98:J99 J28:J31">
    <cfRule type="cellIs" dxfId="2461" priority="1013" stopIfTrue="1" operator="lessThanOrEqual">
      <formula>$I28</formula>
    </cfRule>
    <cfRule type="cellIs" dxfId="2460" priority="1014" stopIfTrue="1" operator="lessThan">
      <formula>$I28*1.1</formula>
    </cfRule>
    <cfRule type="cellIs" dxfId="2459" priority="1015" operator="greaterThan">
      <formula>$I28</formula>
    </cfRule>
  </conditionalFormatting>
  <conditionalFormatting sqref="J16:J17">
    <cfRule type="cellIs" dxfId="2458" priority="656" stopIfTrue="1" operator="greaterThanOrEqual">
      <formula>$I16</formula>
    </cfRule>
    <cfRule type="cellIs" dxfId="2457" priority="657" stopIfTrue="1" operator="greaterThan">
      <formula>$I16*0.9</formula>
    </cfRule>
    <cfRule type="cellIs" dxfId="2456" priority="658" operator="lessThan">
      <formula>$I16</formula>
    </cfRule>
  </conditionalFormatting>
  <conditionalFormatting sqref="J16:J17">
    <cfRule type="cellIs" dxfId="2455" priority="655" stopIfTrue="1" operator="equal">
      <formula>"N/A"</formula>
    </cfRule>
  </conditionalFormatting>
  <conditionalFormatting sqref="J28:J29">
    <cfRule type="cellIs" dxfId="2454" priority="623" stopIfTrue="1" operator="equal">
      <formula>"N/A"</formula>
    </cfRule>
  </conditionalFormatting>
  <conditionalFormatting sqref="J28:J31">
    <cfRule type="cellIs" dxfId="2453" priority="611" stopIfTrue="1" operator="equal">
      <formula>"N/A"</formula>
    </cfRule>
  </conditionalFormatting>
  <conditionalFormatting sqref="J12:J13">
    <cfRule type="cellIs" dxfId="2452" priority="587" operator="lessThan">
      <formula>$I$12</formula>
    </cfRule>
  </conditionalFormatting>
  <conditionalFormatting sqref="J14:J15">
    <cfRule type="cellIs" dxfId="2451" priority="575" stopIfTrue="1" operator="equal">
      <formula>"N/A"</formula>
    </cfRule>
  </conditionalFormatting>
  <conditionalFormatting sqref="J20:J21">
    <cfRule type="cellIs" dxfId="2450" priority="564" stopIfTrue="1" operator="greaterThanOrEqual">
      <formula>$I20</formula>
    </cfRule>
    <cfRule type="cellIs" dxfId="2449" priority="565" stopIfTrue="1" operator="greaterThan">
      <formula>$I20*0.9</formula>
    </cfRule>
    <cfRule type="cellIs" dxfId="2448" priority="566" operator="lessThan">
      <formula>$I20</formula>
    </cfRule>
  </conditionalFormatting>
  <conditionalFormatting sqref="J20:J21">
    <cfRule type="cellIs" dxfId="2447" priority="563" stopIfTrue="1" operator="equal">
      <formula>"N/A"</formula>
    </cfRule>
  </conditionalFormatting>
  <conditionalFormatting sqref="J32:J33">
    <cfRule type="cellIs" dxfId="2446" priority="540" stopIfTrue="1" operator="lessThanOrEqual">
      <formula>$I32</formula>
    </cfRule>
    <cfRule type="cellIs" dxfId="2445" priority="541" stopIfTrue="1" operator="lessThan">
      <formula>$I32*1.1</formula>
    </cfRule>
    <cfRule type="cellIs" dxfId="2444" priority="542" operator="greaterThan">
      <formula>$I32</formula>
    </cfRule>
  </conditionalFormatting>
  <conditionalFormatting sqref="J32:J33">
    <cfRule type="cellIs" dxfId="2443" priority="539" stopIfTrue="1" operator="equal">
      <formula>"N/A"</formula>
    </cfRule>
  </conditionalFormatting>
  <conditionalFormatting sqref="J34:J35">
    <cfRule type="cellIs" dxfId="2442" priority="528" stopIfTrue="1" operator="lessThanOrEqual">
      <formula>$I34</formula>
    </cfRule>
    <cfRule type="cellIs" dxfId="2441" priority="529" stopIfTrue="1" operator="lessThan">
      <formula>$I34*1.1</formula>
    </cfRule>
    <cfRule type="cellIs" dxfId="2440" priority="530" operator="greaterThan">
      <formula>$I34</formula>
    </cfRule>
  </conditionalFormatting>
  <conditionalFormatting sqref="J34:J35">
    <cfRule type="cellIs" dxfId="2439" priority="527" stopIfTrue="1" operator="equal">
      <formula>"N/A"</formula>
    </cfRule>
  </conditionalFormatting>
  <conditionalFormatting sqref="J36:J37">
    <cfRule type="cellIs" dxfId="2438" priority="516" stopIfTrue="1" operator="lessThanOrEqual">
      <formula>$I36</formula>
    </cfRule>
    <cfRule type="cellIs" dxfId="2437" priority="517" stopIfTrue="1" operator="lessThan">
      <formula>$I36*1.1</formula>
    </cfRule>
    <cfRule type="cellIs" dxfId="2436" priority="518" operator="greaterThan">
      <formula>$I36</formula>
    </cfRule>
  </conditionalFormatting>
  <conditionalFormatting sqref="J36:J37">
    <cfRule type="cellIs" dxfId="2435" priority="515" stopIfTrue="1" operator="equal">
      <formula>"N/A"</formula>
    </cfRule>
  </conditionalFormatting>
  <conditionalFormatting sqref="J38:J39">
    <cfRule type="cellIs" dxfId="2434" priority="504" stopIfTrue="1" operator="greaterThanOrEqual">
      <formula>$I38</formula>
    </cfRule>
    <cfRule type="cellIs" dxfId="2433" priority="505" stopIfTrue="1" operator="greaterThan">
      <formula>$I38*0.9</formula>
    </cfRule>
    <cfRule type="cellIs" dxfId="2432" priority="506" operator="lessThan">
      <formula>$I38</formula>
    </cfRule>
  </conditionalFormatting>
  <conditionalFormatting sqref="J38:J39">
    <cfRule type="cellIs" dxfId="2431" priority="503" stopIfTrue="1" operator="equal">
      <formula>"N/A"</formula>
    </cfRule>
  </conditionalFormatting>
  <conditionalFormatting sqref="J40:J41">
    <cfRule type="cellIs" dxfId="2430" priority="492" stopIfTrue="1" operator="greaterThanOrEqual">
      <formula>$I40</formula>
    </cfRule>
    <cfRule type="cellIs" dxfId="2429" priority="493" stopIfTrue="1" operator="greaterThan">
      <formula>$I40*0.9</formula>
    </cfRule>
    <cfRule type="cellIs" dxfId="2428" priority="494" operator="lessThan">
      <formula>$I40</formula>
    </cfRule>
  </conditionalFormatting>
  <conditionalFormatting sqref="J40:J41">
    <cfRule type="cellIs" dxfId="2427" priority="491" stopIfTrue="1" operator="equal">
      <formula>"N/A"</formula>
    </cfRule>
  </conditionalFormatting>
  <conditionalFormatting sqref="J58:J59">
    <cfRule type="cellIs" dxfId="2426" priority="479" stopIfTrue="1" operator="equal">
      <formula>"N/A"</formula>
    </cfRule>
  </conditionalFormatting>
  <conditionalFormatting sqref="J60:J61">
    <cfRule type="cellIs" dxfId="2425" priority="467" stopIfTrue="1" operator="equal">
      <formula>"N/A"</formula>
    </cfRule>
  </conditionalFormatting>
  <conditionalFormatting sqref="J64:J65">
    <cfRule type="cellIs" dxfId="2424" priority="455" stopIfTrue="1" operator="equal">
      <formula>"N/A"</formula>
    </cfRule>
  </conditionalFormatting>
  <conditionalFormatting sqref="J62:J63">
    <cfRule type="cellIs" dxfId="2423" priority="443" stopIfTrue="1" operator="equal">
      <formula>"N/A"</formula>
    </cfRule>
  </conditionalFormatting>
  <conditionalFormatting sqref="J50:J51">
    <cfRule type="cellIs" dxfId="2422" priority="432" stopIfTrue="1" operator="greaterThanOrEqual">
      <formula>$I50</formula>
    </cfRule>
    <cfRule type="cellIs" dxfId="2421" priority="433" stopIfTrue="1" operator="greaterThan">
      <formula>$I50*0.9</formula>
    </cfRule>
    <cfRule type="cellIs" dxfId="2420" priority="434" operator="lessThan">
      <formula>$I50</formula>
    </cfRule>
  </conditionalFormatting>
  <conditionalFormatting sqref="J50:J51">
    <cfRule type="cellIs" dxfId="2419" priority="431" stopIfTrue="1" operator="equal">
      <formula>"N/A"</formula>
    </cfRule>
  </conditionalFormatting>
  <conditionalFormatting sqref="J52:J53">
    <cfRule type="cellIs" dxfId="2418" priority="420" stopIfTrue="1" operator="lessThanOrEqual">
      <formula>$I52</formula>
    </cfRule>
    <cfRule type="cellIs" dxfId="2417" priority="421" stopIfTrue="1" operator="lessThan">
      <formula>$I52*1.1</formula>
    </cfRule>
    <cfRule type="cellIs" dxfId="2416" priority="422" operator="greaterThan">
      <formula>$I52</formula>
    </cfRule>
  </conditionalFormatting>
  <conditionalFormatting sqref="J52:J53">
    <cfRule type="cellIs" dxfId="2415" priority="419" stopIfTrue="1" operator="equal">
      <formula>"N/A"</formula>
    </cfRule>
  </conditionalFormatting>
  <conditionalFormatting sqref="J54:J55">
    <cfRule type="cellIs" dxfId="2414" priority="408" stopIfTrue="1" operator="lessThanOrEqual">
      <formula>$I54</formula>
    </cfRule>
    <cfRule type="cellIs" dxfId="2413" priority="409" stopIfTrue="1" operator="lessThan">
      <formula>$I54*1.1</formula>
    </cfRule>
    <cfRule type="cellIs" dxfId="2412" priority="410" operator="greaterThan">
      <formula>$I54</formula>
    </cfRule>
  </conditionalFormatting>
  <conditionalFormatting sqref="J54:J55">
    <cfRule type="cellIs" dxfId="2411" priority="407" stopIfTrue="1" operator="equal">
      <formula>"N/A"</formula>
    </cfRule>
  </conditionalFormatting>
  <conditionalFormatting sqref="J56:J57">
    <cfRule type="cellIs" dxfId="2410" priority="396" stopIfTrue="1" operator="greaterThanOrEqual">
      <formula>$I56</formula>
    </cfRule>
    <cfRule type="cellIs" dxfId="2409" priority="397" stopIfTrue="1" operator="greaterThan">
      <formula>$I56*0.9</formula>
    </cfRule>
    <cfRule type="cellIs" dxfId="2408" priority="398" operator="lessThan">
      <formula>$I56</formula>
    </cfRule>
  </conditionalFormatting>
  <conditionalFormatting sqref="J56:J57">
    <cfRule type="cellIs" dxfId="2407" priority="395" stopIfTrue="1" operator="equal">
      <formula>"N/A"</formula>
    </cfRule>
  </conditionalFormatting>
  <conditionalFormatting sqref="J78:J79">
    <cfRule type="cellIs" dxfId="2406" priority="383" stopIfTrue="1" operator="equal">
      <formula>"N/A"</formula>
    </cfRule>
  </conditionalFormatting>
  <conditionalFormatting sqref="J80:J81">
    <cfRule type="cellIs" dxfId="2405" priority="371" stopIfTrue="1" operator="equal">
      <formula>"N/A"</formula>
    </cfRule>
  </conditionalFormatting>
  <conditionalFormatting sqref="J82:J83">
    <cfRule type="cellIs" dxfId="2404" priority="359" stopIfTrue="1" operator="equal">
      <formula>"N/A"</formula>
    </cfRule>
  </conditionalFormatting>
  <conditionalFormatting sqref="J84:J85">
    <cfRule type="cellIs" dxfId="2403" priority="347" stopIfTrue="1" operator="equal">
      <formula>"N/A"</formula>
    </cfRule>
  </conditionalFormatting>
  <conditionalFormatting sqref="J86:J87">
    <cfRule type="cellIs" dxfId="2402" priority="336" stopIfTrue="1" operator="greaterThanOrEqual">
      <formula>$I86</formula>
    </cfRule>
    <cfRule type="cellIs" dxfId="2401" priority="337" stopIfTrue="1" operator="greaterThan">
      <formula>$I86*0.9</formula>
    </cfRule>
    <cfRule type="cellIs" dxfId="2400" priority="338" operator="lessThan">
      <formula>$I86</formula>
    </cfRule>
  </conditionalFormatting>
  <conditionalFormatting sqref="J86:J87">
    <cfRule type="cellIs" dxfId="2399" priority="335" stopIfTrue="1" operator="equal">
      <formula>"N/A"</formula>
    </cfRule>
  </conditionalFormatting>
  <conditionalFormatting sqref="J88:J89">
    <cfRule type="cellIs" dxfId="2398" priority="324" stopIfTrue="1" operator="greaterThanOrEqual">
      <formula>$I88</formula>
    </cfRule>
    <cfRule type="cellIs" dxfId="2397" priority="325" stopIfTrue="1" operator="greaterThan">
      <formula>$I88*0.9</formula>
    </cfRule>
    <cfRule type="cellIs" dxfId="2396" priority="326" operator="lessThan">
      <formula>$I88</formula>
    </cfRule>
  </conditionalFormatting>
  <conditionalFormatting sqref="J88:J89">
    <cfRule type="cellIs" dxfId="2395" priority="323" stopIfTrue="1" operator="equal">
      <formula>"N/A"</formula>
    </cfRule>
  </conditionalFormatting>
  <conditionalFormatting sqref="J90:J91">
    <cfRule type="cellIs" dxfId="2394" priority="312" stopIfTrue="1" operator="lessThanOrEqual">
      <formula>$I90</formula>
    </cfRule>
    <cfRule type="cellIs" dxfId="2393" priority="313" stopIfTrue="1" operator="lessThan">
      <formula>$I90*1.1</formula>
    </cfRule>
    <cfRule type="cellIs" dxfId="2392" priority="314" operator="greaterThan">
      <formula>$I90</formula>
    </cfRule>
  </conditionalFormatting>
  <conditionalFormatting sqref="J90:J91">
    <cfRule type="cellIs" dxfId="2391" priority="311" stopIfTrue="1" operator="equal">
      <formula>"N/A"</formula>
    </cfRule>
  </conditionalFormatting>
  <conditionalFormatting sqref="J92:J93">
    <cfRule type="cellIs" dxfId="2390" priority="300" stopIfTrue="1" operator="lessThanOrEqual">
      <formula>$I92</formula>
    </cfRule>
    <cfRule type="cellIs" dxfId="2389" priority="301" stopIfTrue="1" operator="lessThan">
      <formula>$I92*1.1</formula>
    </cfRule>
    <cfRule type="cellIs" dxfId="2388" priority="302" operator="greaterThan">
      <formula>$I92</formula>
    </cfRule>
  </conditionalFormatting>
  <conditionalFormatting sqref="J92:J93">
    <cfRule type="cellIs" dxfId="2387" priority="299" stopIfTrue="1" operator="equal">
      <formula>"N/A"</formula>
    </cfRule>
  </conditionalFormatting>
  <conditionalFormatting sqref="J74:J75">
    <cfRule type="cellIs" dxfId="2386" priority="275" stopIfTrue="1" operator="equal">
      <formula>"N/A"</formula>
    </cfRule>
  </conditionalFormatting>
  <conditionalFormatting sqref="J76:J77">
    <cfRule type="cellIs" dxfId="2385" priority="263" stopIfTrue="1" operator="equal">
      <formula>"N/A"</formula>
    </cfRule>
  </conditionalFormatting>
  <conditionalFormatting sqref="J66:J67">
    <cfRule type="cellIs" dxfId="2384" priority="246" stopIfTrue="1" operator="greaterThanOrEqual">
      <formula>$I66</formula>
    </cfRule>
    <cfRule type="cellIs" dxfId="2383" priority="247" stopIfTrue="1" operator="greaterThan">
      <formula>$I66*0.9</formula>
    </cfRule>
    <cfRule type="cellIs" dxfId="2382" priority="248" operator="lessThan">
      <formula>$I66</formula>
    </cfRule>
  </conditionalFormatting>
  <conditionalFormatting sqref="J66:J67">
    <cfRule type="cellIs" dxfId="2381" priority="245" stopIfTrue="1" operator="equal">
      <formula>"N/A"</formula>
    </cfRule>
  </conditionalFormatting>
  <conditionalFormatting sqref="J14:J15">
    <cfRule type="cellIs" dxfId="2380" priority="1021" stopIfTrue="1" operator="greaterThanOrEqual">
      <formula>$I14</formula>
    </cfRule>
    <cfRule type="cellIs" dxfId="2379" priority="1022" stopIfTrue="1" operator="greaterThanOrEqual">
      <formula>$I14*0.9</formula>
    </cfRule>
    <cfRule type="cellIs" dxfId="2378" priority="1023" operator="lessThan">
      <formula>$I14*0.9</formula>
    </cfRule>
  </conditionalFormatting>
  <conditionalFormatting sqref="J12:J13">
    <cfRule type="cellIs" dxfId="2377" priority="242" stopIfTrue="1" operator="equal">
      <formula>"N/A"</formula>
    </cfRule>
    <cfRule type="cellIs" dxfId="2376" priority="243" stopIfTrue="1" operator="greaterThanOrEqual">
      <formula>$I$12</formula>
    </cfRule>
    <cfRule type="cellIs" dxfId="2375" priority="244" stopIfTrue="1" operator="greaterThanOrEqual">
      <formula>$I$12*0.9</formula>
    </cfRule>
  </conditionalFormatting>
  <conditionalFormatting sqref="J58:J59">
    <cfRule type="cellIs" dxfId="2374" priority="236" stopIfTrue="1" operator="equal">
      <formula>"N/A"</formula>
    </cfRule>
    <cfRule type="cellIs" dxfId="2373" priority="237" operator="greaterThanOrEqual">
      <formula>$I$58</formula>
    </cfRule>
    <cfRule type="cellIs" dxfId="2372" priority="238" operator="greaterThanOrEqual">
      <formula>$I$58*0.9</formula>
    </cfRule>
    <cfRule type="cellIs" dxfId="2371" priority="487" operator="lessThan">
      <formula>$I$58*0.9</formula>
    </cfRule>
  </conditionalFormatting>
  <conditionalFormatting sqref="J78:J79">
    <cfRule type="cellIs" dxfId="2370" priority="233" stopIfTrue="1" operator="equal">
      <formula>"N/A"</formula>
    </cfRule>
    <cfRule type="cellIs" dxfId="2369" priority="234" stopIfTrue="1" operator="greaterThanOrEqual">
      <formula>$I$78</formula>
    </cfRule>
    <cfRule type="cellIs" dxfId="2368" priority="235" stopIfTrue="1" operator="greaterThanOrEqual">
      <formula>$I$78*0.9</formula>
    </cfRule>
    <cfRule type="cellIs" dxfId="2367" priority="391" operator="lessThan">
      <formula>$I$78*0.9</formula>
    </cfRule>
  </conditionalFormatting>
  <conditionalFormatting sqref="J98:J99">
    <cfRule type="cellIs" dxfId="2366" priority="50" stopIfTrue="1" operator="equal">
      <formula>"N/A"</formula>
    </cfRule>
  </conditionalFormatting>
  <conditionalFormatting sqref="J94:J95">
    <cfRule type="cellIs" dxfId="2365" priority="30" stopIfTrue="1" operator="greaterThanOrEqual">
      <formula>$I94</formula>
    </cfRule>
    <cfRule type="cellIs" dxfId="2364" priority="31" stopIfTrue="1" operator="greaterThan">
      <formula>$I94*0.9</formula>
    </cfRule>
    <cfRule type="cellIs" dxfId="2363" priority="32" operator="lessThan">
      <formula>$I94</formula>
    </cfRule>
  </conditionalFormatting>
  <conditionalFormatting sqref="J94:J95">
    <cfRule type="cellIs" dxfId="2362" priority="29" stopIfTrue="1" operator="equal">
      <formula>"N/A"</formula>
    </cfRule>
  </conditionalFormatting>
  <conditionalFormatting sqref="J96:J97">
    <cfRule type="cellIs" dxfId="2361" priority="18" stopIfTrue="1" operator="lessThanOrEqual">
      <formula>$I96</formula>
    </cfRule>
    <cfRule type="cellIs" dxfId="2360" priority="19" stopIfTrue="1" operator="lessThan">
      <formula>$I96*1.1</formula>
    </cfRule>
    <cfRule type="cellIs" dxfId="2359" priority="20" operator="greaterThan">
      <formula>$I96</formula>
    </cfRule>
  </conditionalFormatting>
  <conditionalFormatting sqref="J96:J97">
    <cfRule type="cellIs" dxfId="2358" priority="17" stopIfTrue="1" operator="equal">
      <formula>"N/A"</formula>
    </cfRule>
  </conditionalFormatting>
  <conditionalFormatting sqref="J18:J19">
    <cfRule type="cellIs" dxfId="2357" priority="2" stopIfTrue="1" operator="lessThanOrEqual">
      <formula>$I18</formula>
    </cfRule>
    <cfRule type="cellIs" dxfId="2356" priority="3" stopIfTrue="1" operator="lessThan">
      <formula>$I18*1.1</formula>
    </cfRule>
    <cfRule type="cellIs" dxfId="2355" priority="4" operator="greaterThan">
      <formula>$I18</formula>
    </cfRule>
  </conditionalFormatting>
  <conditionalFormatting sqref="J18:J19">
    <cfRule type="cellIs" dxfId="2354" priority="1" stopIfTrue="1" operator="equal">
      <formula>"N/A"</formula>
    </cfRule>
  </conditionalFormatting>
  <printOptions horizontalCentered="1"/>
  <pageMargins left="0.7" right="0.7" top="0.25" bottom="0.75" header="0.3" footer="0.3"/>
  <pageSetup scale="69" orientation="landscape" r:id="rId1"/>
  <headerFooter>
    <oddFooter>&amp;R&amp;F | &amp;A
Printed &amp;D @ &amp;T</oddFooter>
  </headerFooter>
  <rowBreaks count="3" manualBreakCount="3">
    <brk id="24" min="1" max="13" man="1"/>
    <brk id="46" min="1" max="13" man="1"/>
    <brk id="68" min="1" max="1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pageSetUpPr fitToPage="1"/>
  </sheetPr>
  <dimension ref="B2:N39"/>
  <sheetViews>
    <sheetView showGridLines="0" zoomScale="85" zoomScaleNormal="85" workbookViewId="0">
      <selection activeCell="J48" sqref="J48"/>
    </sheetView>
  </sheetViews>
  <sheetFormatPr defaultColWidth="12.7109375" defaultRowHeight="15"/>
  <cols>
    <col min="1" max="1" width="3.28515625" customWidth="1"/>
    <col min="2" max="2" width="3.28515625" hidden="1" customWidth="1"/>
  </cols>
  <sheetData>
    <row r="2" spans="3:14">
      <c r="C2" s="1068" t="s">
        <v>180</v>
      </c>
      <c r="D2" s="1068"/>
      <c r="E2" s="1068"/>
      <c r="F2" s="1068"/>
      <c r="G2" s="1068"/>
      <c r="H2" s="1068"/>
      <c r="I2" s="1068"/>
      <c r="J2" s="1068"/>
      <c r="K2" s="1068"/>
      <c r="L2" s="1068"/>
      <c r="M2" s="1068"/>
      <c r="N2" s="1068"/>
    </row>
    <row r="3" spans="3:14" ht="15" customHeight="1">
      <c r="C3" s="1068"/>
      <c r="D3" s="1068"/>
      <c r="E3" s="1068"/>
      <c r="F3" s="1068"/>
      <c r="G3" s="1068"/>
      <c r="H3" s="1068"/>
      <c r="I3" s="1068"/>
      <c r="J3" s="1068"/>
      <c r="K3" s="1068"/>
      <c r="L3" s="1068"/>
      <c r="M3" s="1068"/>
      <c r="N3" s="1068"/>
    </row>
    <row r="4" spans="3:14" ht="15" customHeight="1">
      <c r="C4" s="1068"/>
      <c r="D4" s="1068"/>
      <c r="E4" s="1068"/>
      <c r="F4" s="1068"/>
      <c r="G4" s="1068"/>
      <c r="H4" s="1068"/>
      <c r="I4" s="1068"/>
      <c r="J4" s="1068"/>
      <c r="K4" s="1068"/>
      <c r="L4" s="1068"/>
      <c r="M4" s="1068"/>
      <c r="N4" s="1068"/>
    </row>
    <row r="5" spans="3:14" ht="18.75" customHeight="1">
      <c r="C5" s="1068"/>
      <c r="D5" s="1068"/>
      <c r="E5" s="1068"/>
      <c r="F5" s="1068"/>
      <c r="G5" s="1068"/>
      <c r="H5" s="1068"/>
      <c r="I5" s="1068"/>
      <c r="J5" s="1068"/>
      <c r="K5" s="1068"/>
      <c r="L5" s="1068"/>
      <c r="M5" s="1068"/>
      <c r="N5" s="1068"/>
    </row>
    <row r="6" spans="3:14">
      <c r="C6" s="446"/>
      <c r="D6" s="446"/>
      <c r="E6" s="446"/>
      <c r="F6" s="446"/>
      <c r="G6" s="446"/>
      <c r="H6" s="446"/>
      <c r="I6" s="446"/>
      <c r="J6" s="446"/>
      <c r="K6" s="446"/>
      <c r="L6" s="446"/>
      <c r="M6" s="446"/>
      <c r="N6" s="446"/>
    </row>
    <row r="7" spans="3:14" ht="14.65" customHeight="1">
      <c r="C7" s="1066" t="s">
        <v>181</v>
      </c>
      <c r="D7" s="1066"/>
      <c r="E7" s="1066"/>
      <c r="F7" s="1066"/>
      <c r="G7" s="1066"/>
      <c r="H7" s="1066"/>
      <c r="I7" s="1066"/>
      <c r="J7" s="1066"/>
      <c r="K7" s="1066"/>
      <c r="L7" s="1066"/>
      <c r="M7" s="1066"/>
      <c r="N7" s="1066"/>
    </row>
    <row r="8" spans="3:14" ht="14.65" customHeight="1">
      <c r="C8" s="1066"/>
      <c r="D8" s="1066"/>
      <c r="E8" s="1066"/>
      <c r="F8" s="1066"/>
      <c r="G8" s="1066"/>
      <c r="H8" s="1066"/>
      <c r="I8" s="1066"/>
      <c r="J8" s="1066"/>
      <c r="K8" s="1066"/>
      <c r="L8" s="1066"/>
      <c r="M8" s="1066"/>
      <c r="N8" s="1066"/>
    </row>
    <row r="9" spans="3:14" ht="14.65" customHeight="1">
      <c r="C9" s="1066"/>
      <c r="D9" s="1066"/>
      <c r="E9" s="1066"/>
      <c r="F9" s="1066"/>
      <c r="G9" s="1066"/>
      <c r="H9" s="1066"/>
      <c r="I9" s="1066"/>
      <c r="J9" s="1066"/>
      <c r="K9" s="1066"/>
      <c r="L9" s="1066"/>
      <c r="M9" s="1066"/>
      <c r="N9" s="1066"/>
    </row>
    <row r="10" spans="3:14" ht="14.65" customHeight="1">
      <c r="C10" s="1066"/>
      <c r="D10" s="1066"/>
      <c r="E10" s="1066"/>
      <c r="F10" s="1066"/>
      <c r="G10" s="1066"/>
      <c r="H10" s="1066"/>
      <c r="I10" s="1066"/>
      <c r="J10" s="1066"/>
      <c r="K10" s="1066"/>
      <c r="L10" s="1066"/>
      <c r="M10" s="1066"/>
      <c r="N10" s="1066"/>
    </row>
    <row r="11" spans="3:14" ht="14.65" customHeight="1">
      <c r="C11" s="1067" t="str">
        <f>"Period " &amp; M36 &amp; " FY 2024"</f>
        <v>Period 1 FY 2024</v>
      </c>
      <c r="D11" s="1067"/>
      <c r="E11" s="1067"/>
      <c r="F11" s="1067"/>
      <c r="G11" s="1067"/>
      <c r="H11" s="1067"/>
      <c r="I11" s="1067"/>
      <c r="J11" s="1067"/>
      <c r="K11" s="1067"/>
      <c r="L11" s="1067"/>
      <c r="M11" s="1067"/>
      <c r="N11" s="1067"/>
    </row>
    <row r="12" spans="3:14" ht="14.65" customHeight="1">
      <c r="C12" s="1067"/>
      <c r="D12" s="1067"/>
      <c r="E12" s="1067"/>
      <c r="F12" s="1067"/>
      <c r="G12" s="1067"/>
      <c r="H12" s="1067"/>
      <c r="I12" s="1067"/>
      <c r="J12" s="1067"/>
      <c r="K12" s="1067"/>
      <c r="L12" s="1067"/>
      <c r="M12" s="1067"/>
      <c r="N12" s="1067"/>
    </row>
    <row r="13" spans="3:14" ht="14.65" customHeight="1">
      <c r="C13" s="428"/>
      <c r="D13" s="428"/>
      <c r="E13" s="428"/>
      <c r="F13" s="428"/>
      <c r="G13" s="428"/>
      <c r="H13" s="428"/>
      <c r="I13" s="428"/>
      <c r="J13" s="428"/>
      <c r="K13" s="428"/>
      <c r="L13" s="428"/>
      <c r="M13" s="428"/>
      <c r="N13" s="428"/>
    </row>
    <row r="14" spans="3:14" ht="14.65" customHeight="1"/>
    <row r="15" spans="3:14" ht="14.65" customHeight="1">
      <c r="C15" s="187"/>
      <c r="D15" s="187"/>
      <c r="E15" s="187"/>
      <c r="F15" s="187"/>
      <c r="G15" s="187"/>
      <c r="H15" s="187"/>
      <c r="I15" s="187"/>
      <c r="J15" s="187"/>
      <c r="K15" s="187"/>
      <c r="L15" s="187"/>
      <c r="M15" s="187"/>
      <c r="N15" s="187"/>
    </row>
    <row r="16" spans="3:14" ht="14.65" customHeight="1"/>
    <row r="17" spans="5:12" ht="14.65" customHeight="1"/>
    <row r="18" spans="5:12" ht="14.65" customHeight="1">
      <c r="E18" s="527" t="s">
        <v>182</v>
      </c>
      <c r="F18" s="528"/>
      <c r="H18" s="529" t="s">
        <v>183</v>
      </c>
      <c r="I18" s="528"/>
      <c r="K18" s="530" t="s">
        <v>184</v>
      </c>
      <c r="L18" s="528"/>
    </row>
    <row r="19" spans="5:12" ht="14.65" customHeight="1"/>
    <row r="20" spans="5:12">
      <c r="E20" s="264" t="s">
        <v>185</v>
      </c>
      <c r="H20" s="264" t="s">
        <v>38</v>
      </c>
      <c r="K20" s="264" t="s">
        <v>45</v>
      </c>
    </row>
    <row r="21" spans="5:12">
      <c r="E21" s="264" t="s">
        <v>186</v>
      </c>
      <c r="H21" s="264" t="s">
        <v>42</v>
      </c>
      <c r="K21" s="264" t="s">
        <v>47</v>
      </c>
      <c r="L21" s="1"/>
    </row>
    <row r="22" spans="5:12">
      <c r="E22" s="264" t="s">
        <v>187</v>
      </c>
      <c r="H22" s="264" t="s">
        <v>43</v>
      </c>
      <c r="K22" s="264" t="s">
        <v>78</v>
      </c>
    </row>
    <row r="23" spans="5:12">
      <c r="E23" s="264" t="s">
        <v>188</v>
      </c>
      <c r="H23" s="264" t="s">
        <v>44</v>
      </c>
      <c r="L23" s="264"/>
    </row>
    <row r="24" spans="5:12">
      <c r="E24" s="2"/>
      <c r="J24" s="264"/>
      <c r="L24" s="264"/>
    </row>
    <row r="25" spans="5:12">
      <c r="E25" s="2"/>
    </row>
    <row r="26" spans="5:12">
      <c r="E26" s="530" t="s">
        <v>189</v>
      </c>
      <c r="F26" s="528"/>
      <c r="H26" s="530" t="s">
        <v>190</v>
      </c>
      <c r="I26" s="528"/>
    </row>
    <row r="28" spans="5:12">
      <c r="E28" s="264" t="s">
        <v>191</v>
      </c>
      <c r="H28" s="264" t="s">
        <v>192</v>
      </c>
      <c r="K28" s="187"/>
      <c r="L28" s="225"/>
    </row>
    <row r="29" spans="5:12">
      <c r="E29" s="264" t="s">
        <v>49</v>
      </c>
      <c r="J29" s="187"/>
      <c r="K29" s="187"/>
      <c r="L29" s="225"/>
    </row>
    <row r="30" spans="5:12">
      <c r="K30" s="187"/>
      <c r="L30" s="225"/>
    </row>
    <row r="31" spans="5:12">
      <c r="K31" s="187"/>
      <c r="L31" s="225"/>
    </row>
    <row r="32" spans="5:12">
      <c r="K32" s="187"/>
      <c r="L32" s="225"/>
    </row>
    <row r="34" spans="3:14">
      <c r="L34" s="265" t="s">
        <v>193</v>
      </c>
      <c r="M34" s="610" t="s">
        <v>698</v>
      </c>
    </row>
    <row r="35" spans="3:14">
      <c r="L35" s="265" t="s">
        <v>194</v>
      </c>
      <c r="M35" s="134" t="str">
        <f>IF(M36&lt;4,"Q1",IF(M36&lt;7,"Q2",IF(M36&lt;10,"Q3","Q4")))</f>
        <v>Q1</v>
      </c>
    </row>
    <row r="36" spans="3:14">
      <c r="L36" s="265" t="s">
        <v>37</v>
      </c>
      <c r="M36" s="133">
        <f>SUMIF(AR!BI26:BI37,LEFT(M34,3),AR!BJ26:BJ37)</f>
        <v>1</v>
      </c>
    </row>
    <row r="38" spans="3:14">
      <c r="C38" s="446"/>
      <c r="D38" s="446"/>
      <c r="E38" s="446"/>
      <c r="F38" s="446"/>
      <c r="G38" s="446"/>
      <c r="H38" s="446"/>
      <c r="I38" s="446"/>
      <c r="J38" s="446"/>
      <c r="K38" s="446"/>
      <c r="L38" s="446"/>
      <c r="M38" s="446"/>
      <c r="N38" s="446"/>
    </row>
    <row r="39" spans="3:14">
      <c r="C39" s="446"/>
      <c r="D39" s="446"/>
      <c r="E39" s="446"/>
      <c r="F39" s="446"/>
      <c r="G39" s="446"/>
      <c r="H39" s="446"/>
      <c r="I39" s="446"/>
      <c r="J39" s="446"/>
      <c r="K39" s="446"/>
      <c r="L39" s="446"/>
      <c r="M39" s="446"/>
      <c r="N39" s="446"/>
    </row>
  </sheetData>
  <mergeCells count="3">
    <mergeCell ref="C7:N10"/>
    <mergeCell ref="C11:N12"/>
    <mergeCell ref="C2:N5"/>
  </mergeCells>
  <dataValidations count="1">
    <dataValidation type="list" allowBlank="1" showInputMessage="1" showErrorMessage="1" sqref="M34" xr:uid="{00000000-0002-0000-0600-000000000000}">
      <formula1>"SEP FY-23,OCT FY-24,NOV FY-24,DEC FY-24,JAN FY-24,FEB FY-24,MAR FY-24,APR FY-24,MAY FY-24,JUN FY-24,JUL FY-24,AUG FY-24,SEP FY-24"</formula1>
    </dataValidation>
  </dataValidations>
  <hyperlinks>
    <hyperlink ref="E22" location="'S&amp;B'!Print_Area" display="Staff &amp; Budget" xr:uid="{00000000-0004-0000-0600-000000000000}"/>
    <hyperlink ref="E23" location="SOX!Print_Area" display="SOX Compliance" xr:uid="{00000000-0004-0000-0600-000001000000}"/>
    <hyperlink ref="E20" location="Summary!Print_Area" display="Summary" xr:uid="{00000000-0004-0000-0600-000002000000}"/>
    <hyperlink ref="H20" location="AR!Print_Area" display="Accounts Receivable" xr:uid="{00000000-0004-0000-0600-000003000000}"/>
    <hyperlink ref="H21" location="CB!Print_Area" display="Cash &amp; Banking" xr:uid="{00000000-0004-0000-0600-000004000000}"/>
    <hyperlink ref="H22" location="FA!Print_Area" display="Fixed Assets" xr:uid="{00000000-0004-0000-0600-000005000000}"/>
    <hyperlink ref="H23" location="GL!Print_Area" display="General Ledger" xr:uid="{00000000-0004-0000-0600-000006000000}"/>
    <hyperlink ref="K20" location="AP!Print_Area" display="Accounts Payable" xr:uid="{00000000-0004-0000-0600-000007000000}"/>
    <hyperlink ref="K21" location="PR!Print_Area" display="Payroll" xr:uid="{00000000-0004-0000-0600-000008000000}"/>
    <hyperlink ref="K22" location="PS!Print_Area" display="Payment Services" xr:uid="{00000000-0004-0000-0600-000009000000}"/>
    <hyperlink ref="E28" location="BSS!Print_Area" display="Business Support" xr:uid="{00000000-0004-0000-0600-00000A000000}"/>
    <hyperlink ref="E29" location="PMO!Print_Area" display="Project Management Office" xr:uid="{00000000-0004-0000-0600-00000B000000}"/>
    <hyperlink ref="H28" location="GBS_HR!A1" display="GBS HR" xr:uid="{C4C8B466-D262-47C6-A720-B23D7B2998E6}"/>
    <hyperlink ref="E21" location="Turnover!A1" display="Turnover" xr:uid="{1DB7A053-E8C1-44A3-A533-D4CE2C1A03B6}"/>
  </hyperlinks>
  <printOptions horizontalCentered="1"/>
  <pageMargins left="0.7" right="0.7" top="0.25" bottom="0.75" header="0.3" footer="0.3"/>
  <pageSetup scale="80" orientation="landscape"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pageSetUpPr fitToPage="1"/>
  </sheetPr>
  <dimension ref="A1:BE46"/>
  <sheetViews>
    <sheetView topLeftCell="A10" zoomScaleNormal="100" zoomScaleSheetLayoutView="100" workbookViewId="0">
      <selection activeCell="F30" sqref="F30"/>
    </sheetView>
  </sheetViews>
  <sheetFormatPr defaultColWidth="12.7109375" defaultRowHeight="15"/>
  <cols>
    <col min="1" max="1" width="3.28515625" style="407" customWidth="1"/>
    <col min="2" max="2" width="29.85546875" style="68" customWidth="1"/>
    <col min="3" max="3" width="19.85546875" style="68" bestFit="1" customWidth="1"/>
    <col min="4" max="4" width="1.7109375" style="68" customWidth="1"/>
    <col min="5" max="8" width="12.7109375" style="68" customWidth="1"/>
    <col min="9" max="9" width="2.7109375" style="68" customWidth="1"/>
    <col min="10" max="10" width="12.7109375" style="68" customWidth="1"/>
    <col min="11" max="11" width="3.7109375" style="68" customWidth="1"/>
    <col min="12" max="12" width="62.5703125" style="68" customWidth="1"/>
    <col min="13" max="13" width="2.28515625" style="68" customWidth="1"/>
    <col min="14" max="14" width="0" style="68" hidden="1" customWidth="1"/>
    <col min="15" max="15" width="15.140625" style="68" hidden="1" customWidth="1"/>
    <col min="16" max="16" width="0" style="68" hidden="1" customWidth="1"/>
    <col min="17" max="17" width="2.28515625" style="68" hidden="1" customWidth="1"/>
    <col min="18" max="18" width="33" style="68" hidden="1" customWidth="1"/>
    <col min="19" max="19" width="14.5703125" style="68" hidden="1" customWidth="1"/>
    <col min="20" max="20" width="0" style="68" hidden="1" customWidth="1"/>
    <col min="21" max="27" width="12.7109375" style="407"/>
    <col min="28" max="16384" width="12.7109375" style="68"/>
  </cols>
  <sheetData>
    <row r="1" spans="1:57" ht="15.75" thickBot="1">
      <c r="B1" s="407"/>
      <c r="C1" s="407"/>
      <c r="D1" s="407"/>
      <c r="E1" s="407"/>
      <c r="F1" s="407"/>
      <c r="G1" s="407"/>
      <c r="H1" s="407"/>
      <c r="I1" s="407"/>
      <c r="J1" s="407"/>
      <c r="K1" s="407"/>
      <c r="L1" s="407"/>
      <c r="M1" s="407"/>
      <c r="N1" s="407"/>
      <c r="O1" s="409"/>
      <c r="P1" s="407"/>
      <c r="Q1" s="407"/>
      <c r="R1" s="1069" t="s">
        <v>195</v>
      </c>
      <c r="S1" s="1070"/>
    </row>
    <row r="2" spans="1:57" s="37" customFormat="1" ht="14.65" customHeight="1">
      <c r="A2" s="248"/>
      <c r="B2" s="1076" t="s">
        <v>180</v>
      </c>
      <c r="C2" s="1076"/>
      <c r="D2" s="1076"/>
      <c r="E2" s="1076"/>
      <c r="F2" s="1076"/>
      <c r="G2" s="1076"/>
      <c r="H2" s="430"/>
      <c r="I2" s="430"/>
      <c r="J2" s="430"/>
      <c r="K2" s="430"/>
      <c r="L2" s="430"/>
      <c r="M2" s="430"/>
      <c r="N2" s="260"/>
      <c r="O2" s="260"/>
      <c r="P2" s="260"/>
      <c r="Q2" s="260"/>
      <c r="R2" s="260"/>
      <c r="S2" s="260"/>
      <c r="T2" s="260"/>
      <c r="U2" s="260"/>
      <c r="V2" s="260"/>
      <c r="W2" s="260"/>
      <c r="X2" s="260"/>
      <c r="Y2" s="260"/>
      <c r="Z2" s="260"/>
      <c r="AA2" s="260"/>
      <c r="AB2" s="260"/>
      <c r="AC2" s="260"/>
      <c r="AD2" s="260"/>
      <c r="AE2" s="260"/>
      <c r="AF2" s="260"/>
      <c r="AG2" s="260"/>
      <c r="AH2" s="260"/>
      <c r="AI2" s="260"/>
      <c r="AJ2" s="260"/>
      <c r="AK2" s="260"/>
      <c r="AL2" s="260"/>
      <c r="AM2" s="260"/>
      <c r="AN2" s="260"/>
      <c r="AO2" s="260"/>
      <c r="AP2" s="260"/>
      <c r="AQ2" s="260"/>
      <c r="AR2" s="260"/>
      <c r="AS2" s="260"/>
      <c r="AT2" s="260"/>
      <c r="AU2" s="260"/>
      <c r="AV2" s="260"/>
      <c r="AW2" s="260"/>
      <c r="AX2" s="260"/>
      <c r="AY2" s="260"/>
      <c r="AZ2" s="260"/>
      <c r="BA2" s="260"/>
      <c r="BB2" s="260"/>
      <c r="BC2" s="260"/>
      <c r="BD2" s="260"/>
      <c r="BE2" s="260"/>
    </row>
    <row r="3" spans="1:57" s="37" customFormat="1" ht="14.65" customHeight="1">
      <c r="A3" s="248"/>
      <c r="B3" s="1076"/>
      <c r="C3" s="1076"/>
      <c r="D3" s="1076"/>
      <c r="E3" s="1076"/>
      <c r="F3" s="1076"/>
      <c r="G3" s="1076"/>
      <c r="H3" s="431"/>
      <c r="I3" s="431"/>
      <c r="J3" s="431"/>
      <c r="K3" s="431"/>
      <c r="L3" s="431"/>
      <c r="M3" s="431"/>
      <c r="N3" s="261"/>
      <c r="O3" s="261"/>
      <c r="P3" s="261"/>
      <c r="Q3" s="261"/>
      <c r="R3" s="261"/>
      <c r="S3" s="261"/>
      <c r="T3" s="261"/>
      <c r="U3" s="261"/>
      <c r="V3" s="261"/>
      <c r="W3" s="261"/>
      <c r="X3" s="261"/>
      <c r="Y3" s="261"/>
      <c r="Z3" s="261"/>
      <c r="AA3" s="261"/>
      <c r="AB3" s="261"/>
      <c r="AC3" s="261"/>
      <c r="AD3" s="261"/>
      <c r="AE3" s="261"/>
      <c r="AF3" s="261"/>
      <c r="AG3" s="261"/>
      <c r="AH3" s="261"/>
      <c r="AI3" s="261"/>
      <c r="AJ3" s="261"/>
      <c r="AK3" s="261"/>
      <c r="AL3" s="261"/>
      <c r="AM3" s="261"/>
      <c r="AN3" s="261"/>
      <c r="AO3" s="261"/>
      <c r="AP3" s="261"/>
      <c r="AQ3" s="261"/>
      <c r="AR3" s="261"/>
      <c r="AS3" s="261"/>
      <c r="AT3" s="261"/>
      <c r="AU3" s="261"/>
      <c r="AV3" s="261"/>
      <c r="AW3" s="261"/>
      <c r="AX3" s="261"/>
      <c r="AY3" s="261"/>
      <c r="AZ3" s="261"/>
      <c r="BA3" s="261"/>
      <c r="BB3" s="261"/>
      <c r="BC3" s="261"/>
      <c r="BD3" s="261"/>
      <c r="BE3" s="261"/>
    </row>
    <row r="4" spans="1:57" s="248" customFormat="1" ht="14.65" customHeight="1">
      <c r="B4" s="1076"/>
      <c r="C4" s="1076"/>
      <c r="D4" s="1076"/>
      <c r="E4" s="1076"/>
      <c r="F4" s="1076"/>
      <c r="G4" s="1076"/>
      <c r="H4" s="432"/>
      <c r="I4" s="432"/>
      <c r="J4" s="432"/>
      <c r="K4" s="432"/>
      <c r="L4" s="432"/>
      <c r="M4" s="433"/>
      <c r="N4" s="408"/>
      <c r="O4" s="409"/>
      <c r="P4" s="407"/>
      <c r="R4" s="407" t="s">
        <v>42</v>
      </c>
      <c r="S4" s="248">
        <f>'S&amp;B'!U12</f>
        <v>1</v>
      </c>
    </row>
    <row r="5" spans="1:57" s="37" customFormat="1" ht="14.65" customHeight="1">
      <c r="A5" s="248"/>
      <c r="B5" s="447" t="s">
        <v>196</v>
      </c>
      <c r="C5" s="447"/>
      <c r="D5" s="447"/>
      <c r="E5" s="447"/>
      <c r="F5" s="447"/>
      <c r="G5" s="447"/>
      <c r="H5" s="447"/>
      <c r="I5" s="447"/>
      <c r="J5" s="447"/>
      <c r="K5" s="447"/>
      <c r="L5" s="447"/>
      <c r="M5" s="448" t="str">
        <f>Cover!M34</f>
        <v>OCT FY-24</v>
      </c>
      <c r="N5" s="408"/>
      <c r="O5" s="409"/>
      <c r="P5" s="407"/>
      <c r="Q5" s="248"/>
      <c r="R5" s="407" t="s">
        <v>43</v>
      </c>
      <c r="S5" s="248">
        <f>'S&amp;B'!U13</f>
        <v>1</v>
      </c>
      <c r="T5" s="248"/>
      <c r="U5" s="248"/>
      <c r="V5" s="248"/>
      <c r="W5" s="248"/>
      <c r="X5" s="248"/>
      <c r="Y5" s="248"/>
      <c r="Z5" s="248"/>
      <c r="AA5" s="248"/>
    </row>
    <row r="6" spans="1:57" s="407" customFormat="1">
      <c r="O6" s="409"/>
      <c r="R6" s="407" t="s">
        <v>44</v>
      </c>
      <c r="S6" s="248">
        <f>'S&amp;B'!U14</f>
        <v>1</v>
      </c>
    </row>
    <row r="7" spans="1:57" s="407" customFormat="1">
      <c r="B7" s="410" t="s">
        <v>197</v>
      </c>
      <c r="O7" s="409"/>
      <c r="R7" s="407" t="s">
        <v>45</v>
      </c>
      <c r="S7" s="248">
        <f>'S&amp;B'!U16</f>
        <v>1</v>
      </c>
    </row>
    <row r="8" spans="1:57" s="407" customFormat="1">
      <c r="E8" s="411" t="s">
        <v>198</v>
      </c>
      <c r="F8" s="412" t="s">
        <v>199</v>
      </c>
      <c r="G8" s="412" t="s">
        <v>200</v>
      </c>
      <c r="H8" s="413"/>
      <c r="L8" s="411" t="s">
        <v>201</v>
      </c>
      <c r="O8" s="409"/>
      <c r="R8" s="407" t="s">
        <v>47</v>
      </c>
      <c r="S8" s="248">
        <f>'S&amp;B'!U17</f>
        <v>0</v>
      </c>
    </row>
    <row r="9" spans="1:57">
      <c r="B9" s="407" t="str">
        <f>'S&amp;B'!E9</f>
        <v>OCT FY-24</v>
      </c>
      <c r="C9" s="407"/>
      <c r="D9" s="407"/>
      <c r="E9" s="414">
        <f>'S&amp;B'!E31</f>
        <v>0</v>
      </c>
      <c r="F9" s="415">
        <f>'S&amp;B'!F31</f>
        <v>0</v>
      </c>
      <c r="G9" s="415">
        <f>'S&amp;B'!G31</f>
        <v>0</v>
      </c>
      <c r="H9" s="415"/>
      <c r="I9" s="407"/>
      <c r="J9" s="407"/>
      <c r="K9" s="407"/>
      <c r="L9" s="611"/>
      <c r="M9" s="407"/>
      <c r="N9" s="407"/>
      <c r="O9" s="409"/>
      <c r="P9" s="407"/>
      <c r="Q9" s="407"/>
      <c r="R9" s="407" t="s">
        <v>78</v>
      </c>
      <c r="S9" s="248" t="e">
        <f>'S&amp;B'!#REF!</f>
        <v>#REF!</v>
      </c>
      <c r="T9" s="407"/>
    </row>
    <row r="10" spans="1:57">
      <c r="B10" s="407" t="str">
        <f>'S&amp;B'!I9</f>
        <v>FY-24</v>
      </c>
      <c r="C10" s="407"/>
      <c r="D10" s="407"/>
      <c r="E10" s="414">
        <f>'S&amp;B'!I31</f>
        <v>0</v>
      </c>
      <c r="F10" s="415">
        <f>'S&amp;B'!J31</f>
        <v>0</v>
      </c>
      <c r="G10" s="415">
        <f>'S&amp;B'!K31</f>
        <v>0</v>
      </c>
      <c r="H10" s="415"/>
      <c r="I10" s="407"/>
      <c r="J10" s="407"/>
      <c r="K10" s="407"/>
      <c r="L10" s="469"/>
      <c r="M10" s="407"/>
      <c r="N10" s="407"/>
      <c r="O10" s="409"/>
      <c r="P10" s="407"/>
      <c r="Q10" s="407"/>
      <c r="R10" s="407" t="s">
        <v>48</v>
      </c>
      <c r="S10" s="248">
        <f>'S&amp;B'!U18</f>
        <v>2</v>
      </c>
      <c r="T10" s="407"/>
    </row>
    <row r="11" spans="1:57">
      <c r="B11" s="407"/>
      <c r="C11" s="407"/>
      <c r="D11" s="407"/>
      <c r="E11" s="407"/>
      <c r="F11" s="416"/>
      <c r="G11" s="407"/>
      <c r="H11" s="407"/>
      <c r="I11" s="407"/>
      <c r="J11" s="407"/>
      <c r="K11" s="407"/>
      <c r="L11" s="469"/>
      <c r="M11" s="407"/>
      <c r="N11" s="407"/>
      <c r="O11" s="409"/>
      <c r="P11" s="407"/>
      <c r="Q11" s="407"/>
      <c r="R11" s="407" t="s">
        <v>49</v>
      </c>
      <c r="S11" s="248">
        <f>'S&amp;B'!U19</f>
        <v>0</v>
      </c>
      <c r="T11" s="407"/>
    </row>
    <row r="12" spans="1:57">
      <c r="B12" s="407"/>
      <c r="C12" s="407"/>
      <c r="D12" s="407"/>
      <c r="E12" s="407"/>
      <c r="F12" s="407"/>
      <c r="G12" s="407"/>
      <c r="H12" s="407"/>
      <c r="I12" s="407"/>
      <c r="J12" s="407"/>
      <c r="K12" s="407"/>
      <c r="L12" s="469"/>
      <c r="M12" s="407"/>
      <c r="N12" s="407"/>
      <c r="O12" s="409"/>
      <c r="P12" s="407"/>
      <c r="Q12" s="407"/>
      <c r="R12" s="407" t="s">
        <v>202</v>
      </c>
      <c r="S12" s="248" t="e">
        <f>'S&amp;B'!#REF!</f>
        <v>#REF!</v>
      </c>
      <c r="T12" s="407"/>
    </row>
    <row r="13" spans="1:57">
      <c r="B13" s="407"/>
      <c r="C13" s="407"/>
      <c r="D13" s="407"/>
      <c r="E13" s="407"/>
      <c r="F13" s="407"/>
      <c r="G13" s="407"/>
      <c r="H13" s="407"/>
      <c r="I13" s="407"/>
      <c r="J13" s="407"/>
      <c r="K13" s="407"/>
      <c r="L13" s="470"/>
      <c r="M13" s="407"/>
      <c r="N13" s="407"/>
      <c r="O13" s="409"/>
      <c r="P13" s="407"/>
      <c r="Q13" s="407"/>
      <c r="R13" s="407" t="s">
        <v>50</v>
      </c>
      <c r="S13" s="248" t="e">
        <f>'S&amp;B'!#REF!</f>
        <v>#REF!</v>
      </c>
      <c r="T13" s="407"/>
    </row>
    <row r="14" spans="1:57">
      <c r="B14" s="410" t="s">
        <v>203</v>
      </c>
      <c r="C14" s="407"/>
      <c r="D14" s="407"/>
      <c r="E14" s="407"/>
      <c r="F14" s="407"/>
      <c r="G14" s="407"/>
      <c r="H14" s="407"/>
      <c r="I14" s="407"/>
      <c r="J14" s="407"/>
      <c r="K14" s="407"/>
      <c r="L14" s="407"/>
      <c r="M14" s="407"/>
      <c r="N14" s="407"/>
      <c r="O14" s="409"/>
      <c r="P14" s="407"/>
      <c r="Q14" s="407"/>
      <c r="R14" s="407" t="s">
        <v>51</v>
      </c>
      <c r="S14" s="248">
        <f>'S&amp;B'!U23</f>
        <v>0</v>
      </c>
      <c r="T14" s="407"/>
    </row>
    <row r="15" spans="1:57">
      <c r="B15" s="410"/>
      <c r="C15" s="407"/>
      <c r="D15" s="407"/>
      <c r="E15" s="411" t="s">
        <v>198</v>
      </c>
      <c r="F15" s="412" t="s">
        <v>199</v>
      </c>
      <c r="G15" s="407"/>
      <c r="H15" s="407"/>
      <c r="I15" s="407"/>
      <c r="J15" s="407"/>
      <c r="K15" s="407"/>
      <c r="L15" s="411" t="s">
        <v>201</v>
      </c>
      <c r="M15" s="407"/>
      <c r="N15" s="407"/>
      <c r="O15" s="423"/>
      <c r="P15" s="407"/>
      <c r="Q15" s="407"/>
      <c r="R15" s="407" t="s">
        <v>52</v>
      </c>
      <c r="S15" s="248">
        <f>'S&amp;B'!U24</f>
        <v>0</v>
      </c>
      <c r="T15" s="407"/>
    </row>
    <row r="16" spans="1:57">
      <c r="B16" s="407" t="s">
        <v>204</v>
      </c>
      <c r="C16" s="407"/>
      <c r="D16" s="407"/>
      <c r="E16" s="415">
        <f>'S&amp;B'!M31</f>
        <v>235</v>
      </c>
      <c r="F16" s="415">
        <f>'S&amp;B'!O31</f>
        <v>4</v>
      </c>
      <c r="G16" s="407"/>
      <c r="H16" s="407"/>
      <c r="I16" s="407"/>
      <c r="J16" s="407"/>
      <c r="K16" s="407"/>
      <c r="L16" s="611"/>
      <c r="M16" s="407"/>
      <c r="N16" s="407"/>
      <c r="O16" s="407"/>
      <c r="P16" s="407"/>
      <c r="Q16" s="407"/>
      <c r="R16" s="407" t="s">
        <v>205</v>
      </c>
      <c r="S16" s="248">
        <f>'S&amp;B'!U27</f>
        <v>0</v>
      </c>
      <c r="T16" s="407"/>
    </row>
    <row r="17" spans="2:20">
      <c r="B17" s="407" t="s">
        <v>206</v>
      </c>
      <c r="C17" s="407"/>
      <c r="D17" s="407"/>
      <c r="E17" s="415">
        <f>-'S&amp;B'!Q31</f>
        <v>1</v>
      </c>
      <c r="F17" s="415"/>
      <c r="G17" s="407"/>
      <c r="H17" s="407"/>
      <c r="I17" s="407"/>
      <c r="J17" s="407"/>
      <c r="K17" s="407"/>
      <c r="L17" s="469"/>
      <c r="M17" s="407"/>
      <c r="N17" s="407"/>
      <c r="O17" s="407"/>
      <c r="P17" s="407"/>
      <c r="Q17" s="407"/>
      <c r="R17" s="420" t="s">
        <v>58</v>
      </c>
      <c r="S17" s="424" t="e">
        <f>SUM(S3:S16)</f>
        <v>#REF!</v>
      </c>
      <c r="T17" s="407"/>
    </row>
    <row r="18" spans="2:20">
      <c r="B18" s="407" t="s">
        <v>207</v>
      </c>
      <c r="C18" s="407"/>
      <c r="D18" s="407"/>
      <c r="E18" s="415">
        <f>-'S&amp;B'!R31</f>
        <v>4</v>
      </c>
      <c r="F18" s="415"/>
      <c r="G18" s="407"/>
      <c r="H18" s="407"/>
      <c r="I18" s="407"/>
      <c r="J18" s="407"/>
      <c r="K18" s="407"/>
      <c r="L18" s="469"/>
      <c r="M18" s="407"/>
      <c r="N18" s="407"/>
      <c r="O18" s="407"/>
      <c r="P18" s="407"/>
      <c r="Q18" s="407"/>
      <c r="R18" s="407"/>
      <c r="S18" s="407"/>
      <c r="T18" s="407"/>
    </row>
    <row r="19" spans="2:20">
      <c r="B19" s="407"/>
      <c r="C19" s="407"/>
      <c r="D19" s="407"/>
      <c r="E19" s="417"/>
      <c r="F19" s="407"/>
      <c r="G19" s="407"/>
      <c r="H19" s="407"/>
      <c r="I19" s="407"/>
      <c r="J19" s="407"/>
      <c r="K19" s="407"/>
      <c r="L19" s="469"/>
      <c r="M19" s="407"/>
      <c r="N19" s="407"/>
      <c r="O19" s="407"/>
      <c r="P19" s="407"/>
      <c r="Q19" s="407"/>
      <c r="R19" s="407"/>
      <c r="S19" s="407"/>
      <c r="T19" s="407"/>
    </row>
    <row r="20" spans="2:20">
      <c r="B20" s="407"/>
      <c r="C20" s="407"/>
      <c r="D20" s="407"/>
      <c r="E20" s="407"/>
      <c r="F20" s="407"/>
      <c r="G20" s="407"/>
      <c r="H20" s="407"/>
      <c r="I20" s="407"/>
      <c r="J20" s="407"/>
      <c r="K20" s="407"/>
      <c r="L20" s="470"/>
      <c r="M20" s="407"/>
      <c r="N20" s="407"/>
      <c r="O20" s="407"/>
      <c r="P20" s="407"/>
      <c r="Q20" s="407"/>
      <c r="R20" s="407"/>
      <c r="S20" s="407"/>
      <c r="T20" s="407"/>
    </row>
    <row r="21" spans="2:20">
      <c r="B21" s="407"/>
      <c r="C21" s="407"/>
      <c r="D21" s="407"/>
      <c r="E21" s="407"/>
      <c r="F21" s="407"/>
      <c r="G21" s="407"/>
      <c r="H21" s="407"/>
      <c r="I21" s="407"/>
      <c r="J21" s="407"/>
      <c r="K21" s="407"/>
      <c r="L21" s="407"/>
      <c r="M21" s="407"/>
      <c r="N21" s="407"/>
      <c r="O21" s="407"/>
      <c r="P21" s="407"/>
      <c r="Q21" s="407"/>
      <c r="R21" s="407"/>
      <c r="S21" s="407"/>
      <c r="T21" s="407"/>
    </row>
    <row r="22" spans="2:20" ht="15.75" thickBot="1">
      <c r="B22" s="407"/>
      <c r="C22" s="407"/>
      <c r="D22" s="407"/>
      <c r="E22" s="407"/>
      <c r="F22" s="407"/>
      <c r="G22" s="407"/>
      <c r="H22" s="407"/>
      <c r="I22" s="407"/>
      <c r="J22" s="407"/>
      <c r="K22" s="407"/>
      <c r="L22" s="407"/>
      <c r="M22" s="407"/>
      <c r="N22" s="407"/>
      <c r="O22" s="407"/>
      <c r="P22" s="407"/>
      <c r="Q22" s="407"/>
      <c r="R22" s="407"/>
      <c r="S22" s="407"/>
      <c r="T22" s="407"/>
    </row>
    <row r="23" spans="2:20" ht="15.75" thickBot="1">
      <c r="B23" s="410" t="s">
        <v>208</v>
      </c>
      <c r="C23" s="407"/>
      <c r="D23" s="407"/>
      <c r="E23" s="407"/>
      <c r="F23" s="407"/>
      <c r="G23" s="407"/>
      <c r="H23" s="407"/>
      <c r="I23" s="407"/>
      <c r="J23" s="407"/>
      <c r="K23" s="407"/>
      <c r="L23" s="407"/>
      <c r="M23" s="407"/>
      <c r="N23" s="407"/>
      <c r="O23" s="1074" t="s">
        <v>195</v>
      </c>
      <c r="P23" s="1075"/>
      <c r="Q23" s="407"/>
      <c r="R23" s="407"/>
      <c r="S23" s="407"/>
      <c r="T23" s="407"/>
    </row>
    <row r="24" spans="2:20" ht="15.75" thickBot="1">
      <c r="B24" s="407"/>
      <c r="C24" s="407"/>
      <c r="D24" s="407"/>
      <c r="E24" s="1071" t="s">
        <v>209</v>
      </c>
      <c r="F24" s="1072"/>
      <c r="G24" s="1072"/>
      <c r="H24" s="1072"/>
      <c r="I24" s="1072"/>
      <c r="J24" s="1073"/>
      <c r="L24" s="407"/>
      <c r="M24" s="407"/>
      <c r="N24" s="407"/>
      <c r="O24" s="425" t="s">
        <v>210</v>
      </c>
      <c r="P24" s="425" t="s">
        <v>211</v>
      </c>
      <c r="Q24" s="407"/>
      <c r="R24" s="407"/>
      <c r="S24" s="407"/>
      <c r="T24" s="407"/>
    </row>
    <row r="25" spans="2:20">
      <c r="B25" s="407"/>
      <c r="C25" s="418" t="s">
        <v>212</v>
      </c>
      <c r="D25" s="407"/>
      <c r="E25" s="154" t="s">
        <v>213</v>
      </c>
      <c r="F25" s="155" t="s">
        <v>214</v>
      </c>
      <c r="G25" s="157" t="s">
        <v>215</v>
      </c>
      <c r="H25" s="162" t="s">
        <v>216</v>
      </c>
      <c r="I25" s="419"/>
      <c r="J25" s="418" t="s">
        <v>65</v>
      </c>
      <c r="K25" s="407"/>
      <c r="L25" s="418" t="s">
        <v>201</v>
      </c>
      <c r="M25" s="407"/>
      <c r="N25" s="407"/>
      <c r="O25" s="421"/>
      <c r="P25" s="421"/>
      <c r="Q25" s="407"/>
      <c r="R25" s="407"/>
      <c r="S25" s="407"/>
      <c r="T25" s="407"/>
    </row>
    <row r="26" spans="2:20">
      <c r="B26" s="407" t="s">
        <v>38</v>
      </c>
      <c r="C26" s="419">
        <v>7976</v>
      </c>
      <c r="D26" s="407"/>
      <c r="E26" s="193">
        <f>SUMIF(AR!$BH$35:$BH$41,1,AR!$BH$35:$BH$41)</f>
        <v>0</v>
      </c>
      <c r="F26" s="194">
        <f>SUMIF(AR!$BH$35:$BH$41,2,AR!$BH$35:$BH$41)/2</f>
        <v>0</v>
      </c>
      <c r="G26" s="195">
        <f>SUMIF(AR!$BH$35:$BH$41,3,AR!$BH$35:$BH$41)/3</f>
        <v>2</v>
      </c>
      <c r="H26" s="196">
        <f>SUMIF(AR!$BH$35:$BH$41,4,AR!$BH$35:$BH$41)/4</f>
        <v>2</v>
      </c>
      <c r="I26" s="415"/>
      <c r="J26" s="415">
        <f>SUM(E26:H26)</f>
        <v>4</v>
      </c>
      <c r="K26" s="407"/>
      <c r="L26" s="612"/>
      <c r="M26" s="407"/>
      <c r="N26" s="407"/>
      <c r="O26" s="415">
        <f>COUNT(AR!Q38:S41)</f>
        <v>4</v>
      </c>
      <c r="P26" s="426">
        <f t="shared" ref="P26:P37" si="0">J26-O26</f>
        <v>0</v>
      </c>
      <c r="Q26" s="407"/>
      <c r="R26" s="407"/>
      <c r="S26" s="407"/>
      <c r="T26" s="407"/>
    </row>
    <row r="27" spans="2:20">
      <c r="B27" s="407" t="s">
        <v>42</v>
      </c>
      <c r="C27" s="419">
        <v>7974</v>
      </c>
      <c r="D27" s="407"/>
      <c r="E27" s="193">
        <f>SUMIF(CB!$BH$35:$BH$42,1,CB!$BH$35:$BH$42)</f>
        <v>3</v>
      </c>
      <c r="F27" s="194">
        <f>SUMIF(CB!$BH$35:$BH$42,2,CB!$BH$35:$BH$42)/2</f>
        <v>1</v>
      </c>
      <c r="G27" s="195">
        <f>SUMIF(CB!$BH$35:$BH$42,3,CB!$BH$35:$BH$42)/3</f>
        <v>0</v>
      </c>
      <c r="H27" s="196">
        <f>SUMIF(CB!$BH$35:$BH$42,4,CB!$BH$35:$BH$42)/4</f>
        <v>1</v>
      </c>
      <c r="I27" s="415"/>
      <c r="J27" s="415">
        <f t="shared" ref="J27:J37" si="1">SUM(E27:H27)</f>
        <v>5</v>
      </c>
      <c r="K27" s="407"/>
      <c r="L27" s="471"/>
      <c r="M27" s="407"/>
      <c r="N27" s="407"/>
      <c r="O27" s="415">
        <f>COUNT(CB!Q38:S42)</f>
        <v>5</v>
      </c>
      <c r="P27" s="426">
        <f t="shared" si="0"/>
        <v>0</v>
      </c>
      <c r="Q27" s="407"/>
      <c r="R27" s="407"/>
      <c r="S27" s="407"/>
      <c r="T27" s="407"/>
    </row>
    <row r="28" spans="2:20">
      <c r="B28" s="407" t="s">
        <v>43</v>
      </c>
      <c r="C28" s="419">
        <v>7972</v>
      </c>
      <c r="D28" s="407"/>
      <c r="E28" s="193">
        <f>SUMIF(FA!$BH$35:$BH$42,1,FA!$BH$35:$BH$42)</f>
        <v>3</v>
      </c>
      <c r="F28" s="194">
        <f>SUMIF(FA!$BH$35:$BH$42,2,FA!$BH$35:$BH$42)/2</f>
        <v>0</v>
      </c>
      <c r="G28" s="195">
        <f>SUMIF(FA!$BH$35:$BH$42,3,FA!$BH$35:$BH$42)/3</f>
        <v>1</v>
      </c>
      <c r="H28" s="196">
        <f>SUMIF(FA!$BH$35:$BH$42,4,FA!$BH$35:$BH$42)/4</f>
        <v>1</v>
      </c>
      <c r="I28" s="415"/>
      <c r="J28" s="415">
        <f>SUM(E28:H28)</f>
        <v>5</v>
      </c>
      <c r="K28" s="407"/>
      <c r="L28" s="472"/>
      <c r="M28" s="407"/>
      <c r="N28" s="407"/>
      <c r="O28" s="415">
        <f>COUNT(FA!W38:Y42)</f>
        <v>5</v>
      </c>
      <c r="P28" s="426">
        <f t="shared" si="0"/>
        <v>0</v>
      </c>
      <c r="Q28" s="407"/>
      <c r="R28" s="407"/>
      <c r="S28" s="407"/>
      <c r="T28" s="407"/>
    </row>
    <row r="29" spans="2:20">
      <c r="B29" s="407" t="s">
        <v>44</v>
      </c>
      <c r="C29" s="419">
        <v>7973</v>
      </c>
      <c r="D29" s="407"/>
      <c r="E29" s="193">
        <f>SUMIF(GL!$BH$35:$BH$41,1,GL!$BH$35:$BH$41)</f>
        <v>1</v>
      </c>
      <c r="F29" s="194">
        <f>SUMIF(GL!$BH$35:$BH$41,2,GL!$BH$35:$BH$41)/2</f>
        <v>0</v>
      </c>
      <c r="G29" s="195">
        <f>SUMIF(GL!$BH$35:$BH$41,3,GL!$BH$35:$BH$41)/3</f>
        <v>0</v>
      </c>
      <c r="H29" s="196">
        <f>SUMIF(GL!$BH$35:$BH$41,4,GL!$BH$35:$BH$41)/4</f>
        <v>2</v>
      </c>
      <c r="I29" s="415"/>
      <c r="J29" s="415">
        <f t="shared" si="1"/>
        <v>3</v>
      </c>
      <c r="K29" s="407"/>
      <c r="L29" s="471"/>
      <c r="M29" s="407"/>
      <c r="N29" s="407"/>
      <c r="O29" s="415">
        <f>COUNT(GL!Q38:S40)</f>
        <v>3</v>
      </c>
      <c r="P29" s="426">
        <f t="shared" si="0"/>
        <v>0</v>
      </c>
      <c r="Q29" s="407"/>
      <c r="R29" s="407"/>
      <c r="S29" s="407"/>
      <c r="T29" s="407"/>
    </row>
    <row r="30" spans="2:20">
      <c r="B30" s="407" t="s">
        <v>45</v>
      </c>
      <c r="C30" s="419" t="s">
        <v>46</v>
      </c>
      <c r="D30" s="407"/>
      <c r="E30" s="193">
        <f>SUMIF(AP!$BH$35:$BH$43,1,AP!$BH$35:$BH$44)</f>
        <v>3</v>
      </c>
      <c r="F30" s="194">
        <f>SUMIF(AP!$BH$35:$BH$43,2,AP!$BH$35:$BH$43)/2</f>
        <v>2</v>
      </c>
      <c r="G30" s="195">
        <f>SUMIF(AP!$BH$35:$BH$43,3,AP!$BH$35:$BH$43)/3</f>
        <v>1</v>
      </c>
      <c r="H30" s="196">
        <f>SUMIF(AP!$BH$35:$BH$43,4,AP!$BH$35:$BH$43)/4</f>
        <v>0</v>
      </c>
      <c r="I30" s="415"/>
      <c r="J30" s="415">
        <f t="shared" si="1"/>
        <v>6</v>
      </c>
      <c r="K30" s="407"/>
      <c r="L30" s="473"/>
      <c r="M30" s="407"/>
      <c r="N30" s="407"/>
      <c r="O30" s="415">
        <f>COUNT(AP!Q38:S43)</f>
        <v>6</v>
      </c>
      <c r="P30" s="426">
        <f t="shared" si="0"/>
        <v>0</v>
      </c>
      <c r="Q30" s="407"/>
      <c r="R30" s="407"/>
      <c r="S30" s="407"/>
      <c r="T30" s="407"/>
    </row>
    <row r="31" spans="2:20">
      <c r="B31" s="407" t="s">
        <v>47</v>
      </c>
      <c r="C31" s="419">
        <v>7979</v>
      </c>
      <c r="D31" s="407"/>
      <c r="E31" s="193">
        <f>SUMIF(PR!$BH$35:$BH$41,1,PR!$BH$35:$BH$41)</f>
        <v>2</v>
      </c>
      <c r="F31" s="194">
        <f>SUMIF(PR!$BH$35:$BH$41,2,PR!$BH$35:$BH$41)/2</f>
        <v>1</v>
      </c>
      <c r="G31" s="195">
        <f>SUMIF(PR!$BH$35:$BH$41,3,PR!$BH$35:$BH$41)/3</f>
        <v>0</v>
      </c>
      <c r="H31" s="196">
        <f>SUMIF(PR!$BH$35:$BH$41,4,PR!$BH$35:$BH$41)/4</f>
        <v>0</v>
      </c>
      <c r="I31" s="415"/>
      <c r="J31" s="415">
        <f t="shared" si="1"/>
        <v>3</v>
      </c>
      <c r="K31" s="407"/>
      <c r="L31" s="473"/>
      <c r="M31" s="407"/>
      <c r="N31" s="407"/>
      <c r="O31" s="415">
        <f>COUNT(PR!Q38:S40)</f>
        <v>3</v>
      </c>
      <c r="P31" s="426">
        <f t="shared" si="0"/>
        <v>0</v>
      </c>
      <c r="Q31" s="407"/>
      <c r="R31" s="407"/>
      <c r="S31" s="407"/>
      <c r="T31" s="407"/>
    </row>
    <row r="32" spans="2:20">
      <c r="B32" s="407" t="s">
        <v>78</v>
      </c>
      <c r="C32" s="419">
        <v>90926900</v>
      </c>
      <c r="D32" s="407"/>
      <c r="E32" s="193">
        <f>SUMIF(PS!$BH$17:$BH$21,1,PS!$BH$17:$BH$21)</f>
        <v>4</v>
      </c>
      <c r="F32" s="194">
        <f>SUMIF(PS!$BH$17:$BH$21,2,PS!$BH$17:$BH$21)/2</f>
        <v>0</v>
      </c>
      <c r="G32" s="195">
        <f>SUMIF(PS!$BH$17:$BH$21,3,PS!$BH$17:$BH$21)/3</f>
        <v>0</v>
      </c>
      <c r="H32" s="196">
        <f>SUMIF(PS!$BH$17:$BH$21,4,PS!$BH$17:$BH$21)/4</f>
        <v>0</v>
      </c>
      <c r="I32" s="415"/>
      <c r="J32" s="415">
        <f t="shared" si="1"/>
        <v>4</v>
      </c>
      <c r="K32" s="407"/>
      <c r="L32" s="473"/>
      <c r="M32" s="407"/>
      <c r="N32" s="407"/>
      <c r="O32" s="415">
        <f>COUNT(PS!Q17:S20)</f>
        <v>4</v>
      </c>
      <c r="P32" s="426">
        <f t="shared" si="0"/>
        <v>0</v>
      </c>
      <c r="Q32" s="407"/>
      <c r="R32" s="407"/>
      <c r="S32" s="407"/>
      <c r="T32" s="407"/>
    </row>
    <row r="33" spans="2:20">
      <c r="B33" s="407" t="s">
        <v>202</v>
      </c>
      <c r="C33" s="419">
        <v>8546</v>
      </c>
      <c r="D33" s="407"/>
      <c r="E33" s="193">
        <f>SUMIF(CC!$BH$38:$BH$43,1,CC!$BH$38:$BH$43)</f>
        <v>0</v>
      </c>
      <c r="F33" s="194">
        <f>SUMIF(CC!$BH$38:$BH$43,2,CC!$BH$38:$BH$43)/2</f>
        <v>0</v>
      </c>
      <c r="G33" s="195">
        <f>SUMIF(CC!$BH$38:$BH$43,3,CC!$BH$38:$BH$43)/3</f>
        <v>0</v>
      </c>
      <c r="H33" s="196">
        <f>SUMIF(CC!$BH$38:$BH$43,4,CC!$BH$38:$BH$43)/4</f>
        <v>0</v>
      </c>
      <c r="I33" s="415"/>
      <c r="J33" s="415">
        <f t="shared" si="1"/>
        <v>0</v>
      </c>
      <c r="K33" s="407"/>
      <c r="L33" s="473"/>
      <c r="M33" s="407"/>
      <c r="N33" s="407"/>
      <c r="O33" s="415">
        <f>COUNT(CC!Q36:S37)</f>
        <v>0</v>
      </c>
      <c r="P33" s="426">
        <f>J33-O33</f>
        <v>0</v>
      </c>
      <c r="Q33" s="407"/>
      <c r="R33" s="407"/>
      <c r="S33" s="407"/>
      <c r="T33" s="407"/>
    </row>
    <row r="34" spans="2:20">
      <c r="B34" s="407" t="s">
        <v>48</v>
      </c>
      <c r="C34" s="419">
        <v>8545</v>
      </c>
      <c r="D34" s="407"/>
      <c r="E34" s="193">
        <f>SUMIF(BSS!$BH$38:$BH$62,1,BSS!$BH$38:$BH$62)</f>
        <v>5</v>
      </c>
      <c r="F34" s="194">
        <f>SUMIF(BSS!$BH$38:$BH$62,2,BSS!$BH$38:$BH$62)/2</f>
        <v>0</v>
      </c>
      <c r="G34" s="195">
        <f>SUMIF(BSS!$BH$38:$BH$62,3,BSS!$BH$38:$BH$62)/3</f>
        <v>0</v>
      </c>
      <c r="H34" s="196">
        <f>SUMIF(BSS!$BH$38:$BH$62,4,BSS!$BH$38:$BH$62)/4</f>
        <v>0</v>
      </c>
      <c r="I34" s="415"/>
      <c r="J34" s="415">
        <f>SUM(E34:H34)</f>
        <v>5</v>
      </c>
      <c r="K34" s="407"/>
      <c r="L34" s="471"/>
      <c r="M34" s="407"/>
      <c r="N34" s="407"/>
      <c r="O34" s="415">
        <f>COUNT(BSS!#REF!)</f>
        <v>0</v>
      </c>
      <c r="P34" s="426">
        <f t="shared" si="0"/>
        <v>5</v>
      </c>
      <c r="Q34" s="407"/>
      <c r="R34" s="407"/>
      <c r="S34" s="407"/>
      <c r="T34" s="407"/>
    </row>
    <row r="35" spans="2:20">
      <c r="B35" s="407" t="s">
        <v>192</v>
      </c>
      <c r="C35" s="419"/>
      <c r="D35" s="407"/>
      <c r="E35" s="193">
        <f>SUMIF(GBS_HR!$BH$11:$BH$23,1,GBS_HR!$BH$11:$BH$23)</f>
        <v>0</v>
      </c>
      <c r="F35" s="194">
        <f>SUMIF(GBS_HR!$BH$11:$BH$23,2,GBS_HR!$BH$11:$BH$23)/2</f>
        <v>0</v>
      </c>
      <c r="G35" s="195">
        <f>SUMIF(GBS_HR!$BH$11:$BH$23,3,GBS_HR!$BH$11:$BH$23)/3</f>
        <v>0</v>
      </c>
      <c r="H35" s="196">
        <f>SUMIF(GBS_HR!$BH$11:$BH$23,4,GBS_HR!$BH$11:$BH$23)/4</f>
        <v>0</v>
      </c>
      <c r="I35" s="415"/>
      <c r="J35" s="415">
        <f t="shared" si="1"/>
        <v>0</v>
      </c>
      <c r="K35" s="407"/>
      <c r="L35" s="474"/>
      <c r="M35" s="407"/>
      <c r="N35" s="407"/>
      <c r="O35" s="415">
        <f>COUNT(#REF!)</f>
        <v>0</v>
      </c>
      <c r="P35" s="426">
        <f t="shared" si="0"/>
        <v>0</v>
      </c>
      <c r="Q35" s="407"/>
      <c r="R35" s="407"/>
      <c r="S35" s="407"/>
      <c r="T35" s="407"/>
    </row>
    <row r="36" spans="2:20" hidden="1">
      <c r="B36" s="407" t="s">
        <v>218</v>
      </c>
      <c r="C36" s="419">
        <v>18804</v>
      </c>
      <c r="D36" s="407"/>
      <c r="E36" s="193">
        <f>SUMIF(MyCC!$BH$35:$BH$41,1,MyCC!$BH$35:$BH$41)</f>
        <v>0</v>
      </c>
      <c r="F36" s="194">
        <f>SUMIF(MyCC!$BH$35:$BH$41,2,MyCC!$BH$35:$BH$41)/2</f>
        <v>0</v>
      </c>
      <c r="G36" s="195">
        <f>SUMIF(MyCC!$BH$35:$BH$41,3,MyCC!$BH$35:$BH$41)/3</f>
        <v>0</v>
      </c>
      <c r="H36" s="222"/>
      <c r="I36" s="415"/>
      <c r="J36" s="415">
        <f t="shared" si="1"/>
        <v>0</v>
      </c>
      <c r="K36" s="407"/>
      <c r="L36" s="266"/>
      <c r="M36" s="407"/>
      <c r="N36" s="407"/>
      <c r="O36" s="415">
        <f>COUNT(MyCC!Q38:S43)</f>
        <v>3</v>
      </c>
      <c r="P36" s="426">
        <f>J36-O36</f>
        <v>-3</v>
      </c>
      <c r="Q36" s="407"/>
      <c r="R36" s="407"/>
      <c r="S36" s="407"/>
      <c r="T36" s="407"/>
    </row>
    <row r="37" spans="2:20" hidden="1">
      <c r="B37" s="407" t="s">
        <v>219</v>
      </c>
      <c r="C37" s="419">
        <v>18803</v>
      </c>
      <c r="D37" s="407"/>
      <c r="E37" s="193">
        <f>SUMIF(MyTC!$BH$35:$BH$41,1,MyTC!$BH$35:$BH$41)</f>
        <v>0</v>
      </c>
      <c r="F37" s="194">
        <f>SUMIF(MyTC!$BH$35:$BH$41,2,SC!$BH$35:$BH$41)/2</f>
        <v>0</v>
      </c>
      <c r="G37" s="195">
        <f>SUMIF(MyTC!$BH$35:$BH$41,3,MyTC!$BH$35:$BH$41)/3</f>
        <v>0</v>
      </c>
      <c r="H37" s="222"/>
      <c r="I37" s="415"/>
      <c r="J37" s="415">
        <f t="shared" si="1"/>
        <v>0</v>
      </c>
      <c r="K37" s="407"/>
      <c r="L37" s="266"/>
      <c r="M37" s="407"/>
      <c r="N37" s="407"/>
      <c r="O37" s="415">
        <f>COUNT(MyTC!Q38:S43)</f>
        <v>3</v>
      </c>
      <c r="P37" s="426">
        <f t="shared" si="0"/>
        <v>-3</v>
      </c>
      <c r="Q37" s="407"/>
      <c r="R37" s="407"/>
      <c r="S37" s="407"/>
      <c r="T37" s="407"/>
    </row>
    <row r="38" spans="2:20" hidden="1">
      <c r="B38" s="407" t="s">
        <v>220</v>
      </c>
      <c r="C38" s="419">
        <v>7978</v>
      </c>
      <c r="D38" s="407"/>
      <c r="E38" s="193" t="e">
        <f>SUMIF(#REF!,1,#REF!)</f>
        <v>#REF!</v>
      </c>
      <c r="F38" s="194" t="e">
        <f>SUMIF(#REF!,2,#REF!)/2</f>
        <v>#REF!</v>
      </c>
      <c r="G38" s="195" t="e">
        <f>SUMIF(#REF!,3,#REF!)/3</f>
        <v>#REF!</v>
      </c>
      <c r="H38" s="222"/>
      <c r="I38" s="415"/>
      <c r="J38" s="415" t="e">
        <f t="shared" ref="J38" si="2">SUM(E38:H38)</f>
        <v>#REF!</v>
      </c>
      <c r="K38" s="407"/>
      <c r="L38" s="266"/>
      <c r="M38" s="407"/>
      <c r="N38" s="407"/>
      <c r="O38" s="415">
        <f>COUNT(#REF!)</f>
        <v>0</v>
      </c>
      <c r="P38" s="426" t="e">
        <f t="shared" ref="P38" si="3">J38-O38</f>
        <v>#REF!</v>
      </c>
      <c r="Q38" s="407"/>
      <c r="R38" s="407"/>
      <c r="S38" s="407"/>
      <c r="T38" s="407"/>
    </row>
    <row r="39" spans="2:20" ht="15.75" thickBot="1">
      <c r="B39" s="420" t="s">
        <v>221</v>
      </c>
      <c r="C39" s="419"/>
      <c r="D39" s="407"/>
      <c r="E39" s="156">
        <f>SUM(E26:E37)</f>
        <v>21</v>
      </c>
      <c r="F39" s="156">
        <f>SUM(F26:F37)</f>
        <v>4</v>
      </c>
      <c r="G39" s="158">
        <f>SUM(G26:G37)</f>
        <v>4</v>
      </c>
      <c r="H39" s="158">
        <f>SUM(H26:H37)</f>
        <v>6</v>
      </c>
      <c r="I39" s="421"/>
      <c r="J39" s="422">
        <f>SUM(J26:J35)</f>
        <v>35</v>
      </c>
      <c r="K39" s="407"/>
      <c r="M39" s="407"/>
      <c r="N39" s="407"/>
      <c r="O39" s="427">
        <f>SUM(O26:O35)</f>
        <v>30</v>
      </c>
      <c r="P39" s="427">
        <f>SUM(P26:P35)</f>
        <v>5</v>
      </c>
      <c r="Q39" s="407"/>
      <c r="R39" s="407"/>
      <c r="S39" s="407"/>
      <c r="T39" s="407"/>
    </row>
    <row r="40" spans="2:20" ht="15.75" thickTop="1">
      <c r="B40" s="420"/>
      <c r="C40" s="419"/>
      <c r="D40" s="407"/>
      <c r="E40" s="416"/>
      <c r="F40" s="416"/>
      <c r="G40" s="416"/>
      <c r="H40" s="416"/>
      <c r="I40" s="407"/>
      <c r="J40" s="416"/>
      <c r="K40" s="407"/>
      <c r="L40" s="407"/>
      <c r="M40" s="407"/>
      <c r="N40" s="407"/>
      <c r="O40" s="407"/>
      <c r="P40" s="407"/>
      <c r="Q40" s="407"/>
      <c r="R40" s="407"/>
      <c r="S40" s="407"/>
      <c r="T40" s="407"/>
    </row>
    <row r="41" spans="2:20">
      <c r="B41" s="429"/>
      <c r="C41" s="429"/>
      <c r="D41" s="429"/>
      <c r="E41" s="429"/>
      <c r="F41" s="429"/>
      <c r="G41" s="429"/>
      <c r="H41" s="429"/>
      <c r="I41" s="429"/>
      <c r="J41" s="429"/>
      <c r="K41" s="429"/>
      <c r="L41" s="429"/>
      <c r="M41" s="434"/>
      <c r="N41" s="407"/>
      <c r="O41" s="407"/>
      <c r="P41" s="407"/>
      <c r="Q41" s="407"/>
      <c r="R41" s="407"/>
      <c r="S41" s="407"/>
      <c r="T41" s="407"/>
    </row>
    <row r="42" spans="2:20">
      <c r="B42" s="429"/>
      <c r="C42" s="429"/>
      <c r="D42" s="429"/>
      <c r="E42" s="429"/>
      <c r="F42" s="429"/>
      <c r="G42" s="429"/>
      <c r="H42" s="429"/>
      <c r="I42" s="429"/>
      <c r="J42" s="429"/>
      <c r="K42" s="429"/>
      <c r="L42" s="429"/>
      <c r="M42" s="434"/>
      <c r="N42" s="407"/>
      <c r="O42" s="407"/>
      <c r="P42" s="407"/>
      <c r="Q42" s="407"/>
      <c r="R42" s="407"/>
      <c r="S42" s="407"/>
      <c r="T42" s="407"/>
    </row>
    <row r="43" spans="2:20">
      <c r="B43" s="407"/>
      <c r="C43" s="407"/>
      <c r="D43" s="407"/>
      <c r="E43" s="407"/>
      <c r="F43" s="407"/>
      <c r="G43" s="407"/>
      <c r="H43" s="407"/>
      <c r="I43" s="407"/>
      <c r="J43" s="407"/>
      <c r="K43" s="407"/>
      <c r="L43" s="407"/>
      <c r="M43" s="407"/>
      <c r="N43" s="407"/>
      <c r="O43" s="407"/>
      <c r="P43" s="407"/>
      <c r="Q43" s="407"/>
      <c r="R43" s="407"/>
    </row>
    <row r="44" spans="2:20">
      <c r="B44" s="407"/>
      <c r="C44" s="407"/>
      <c r="D44" s="407"/>
      <c r="E44" s="407"/>
      <c r="F44" s="407"/>
      <c r="G44" s="407"/>
      <c r="H44" s="407"/>
      <c r="I44" s="407"/>
      <c r="J44" s="407"/>
      <c r="K44" s="407"/>
      <c r="L44" s="407"/>
      <c r="M44" s="407"/>
      <c r="N44" s="407"/>
      <c r="O44" s="407"/>
      <c r="P44" s="407"/>
      <c r="Q44" s="407"/>
      <c r="R44" s="407"/>
    </row>
    <row r="45" spans="2:20">
      <c r="B45" s="407"/>
      <c r="C45" s="407"/>
      <c r="D45" s="407"/>
      <c r="E45" s="407"/>
      <c r="F45" s="407"/>
      <c r="G45" s="407"/>
      <c r="H45" s="407"/>
      <c r="I45" s="407"/>
      <c r="J45" s="407"/>
      <c r="K45" s="407"/>
      <c r="L45" s="407"/>
      <c r="M45" s="407"/>
      <c r="N45" s="407"/>
      <c r="O45" s="407"/>
      <c r="P45" s="407"/>
      <c r="Q45" s="407"/>
      <c r="R45" s="407"/>
    </row>
    <row r="46" spans="2:20">
      <c r="B46" s="407"/>
      <c r="C46" s="407"/>
      <c r="D46" s="407"/>
      <c r="E46" s="407"/>
      <c r="F46" s="407"/>
      <c r="G46" s="407"/>
      <c r="H46" s="407"/>
      <c r="I46" s="407"/>
      <c r="J46" s="407"/>
      <c r="K46" s="407"/>
      <c r="L46" s="407"/>
      <c r="M46" s="407"/>
      <c r="N46" s="407"/>
      <c r="O46" s="407"/>
      <c r="P46" s="407"/>
      <c r="Q46" s="407"/>
      <c r="R46" s="407"/>
    </row>
  </sheetData>
  <mergeCells count="4">
    <mergeCell ref="R1:S1"/>
    <mergeCell ref="E24:J24"/>
    <mergeCell ref="O23:P23"/>
    <mergeCell ref="B2:G4"/>
  </mergeCells>
  <conditionalFormatting sqref="B2 H2:BE3">
    <cfRule type="cellIs" dxfId="2353" priority="2" operator="equal">
      <formula>"XXX"</formula>
    </cfRule>
  </conditionalFormatting>
  <printOptions horizontalCentered="1"/>
  <pageMargins left="0.25" right="0.25" top="0.25" bottom="0.5" header="0.3" footer="0.3"/>
  <pageSetup scale="74" orientation="landscape" r:id="rId1"/>
  <headerFooter>
    <oddFooter>&amp;R&amp;F | &amp;A
Printed &amp;D @ &amp;T
&amp;P</oddFooter>
  </headerFooter>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pageSetUpPr fitToPage="1"/>
  </sheetPr>
  <dimension ref="A1:BE205"/>
  <sheetViews>
    <sheetView topLeftCell="B7" zoomScaleNormal="100" workbookViewId="0">
      <selection activeCell="J11" sqref="J11"/>
    </sheetView>
  </sheetViews>
  <sheetFormatPr defaultColWidth="12.7109375" defaultRowHeight="15"/>
  <cols>
    <col min="1" max="1" width="3.28515625" style="407" customWidth="1"/>
    <col min="2" max="2" width="36.28515625" style="68" bestFit="1" customWidth="1"/>
    <col min="3" max="3" width="19.85546875" style="68" bestFit="1" customWidth="1"/>
    <col min="4" max="4" width="1.7109375" style="68" customWidth="1"/>
    <col min="5" max="5" width="7.7109375" style="68" customWidth="1"/>
    <col min="6" max="6" width="8.5703125" style="68" customWidth="1"/>
    <col min="7" max="7" width="2" style="68" customWidth="1"/>
    <col min="8" max="8" width="14" style="68" customWidth="1"/>
    <col min="9" max="22" width="13.140625" style="68" customWidth="1"/>
    <col min="23" max="23" width="3" style="68" customWidth="1"/>
    <col min="24" max="24" width="14.7109375" style="68" customWidth="1"/>
    <col min="25" max="34" width="12.7109375" style="407"/>
    <col min="35" max="16384" width="12.7109375" style="68"/>
  </cols>
  <sheetData>
    <row r="1" spans="1:57" s="407" customFormat="1"/>
    <row r="2" spans="1:57" s="37" customFormat="1" ht="14.65" customHeight="1">
      <c r="A2" s="248"/>
      <c r="B2" s="1076" t="s">
        <v>180</v>
      </c>
      <c r="C2" s="1076"/>
      <c r="D2" s="1076"/>
      <c r="E2" s="1076"/>
      <c r="F2" s="1076"/>
      <c r="G2" s="1076"/>
      <c r="H2" s="1076"/>
      <c r="I2" s="1076"/>
      <c r="J2" s="1076"/>
      <c r="K2" s="1076"/>
      <c r="L2" s="1076"/>
      <c r="M2" s="1076"/>
      <c r="N2" s="1076"/>
      <c r="O2" s="1076"/>
      <c r="P2" s="1076"/>
      <c r="Q2" s="475"/>
      <c r="R2" s="475"/>
      <c r="S2" s="475"/>
      <c r="T2" s="475"/>
      <c r="U2" s="475"/>
      <c r="V2" s="475"/>
      <c r="W2" s="475"/>
      <c r="X2" s="475"/>
      <c r="Y2" s="480"/>
      <c r="Z2" s="481"/>
      <c r="AA2" s="481"/>
      <c r="AB2" s="481"/>
      <c r="AC2" s="481"/>
      <c r="AD2" s="481"/>
      <c r="AE2" s="481"/>
      <c r="AF2" s="481"/>
      <c r="AG2" s="481"/>
      <c r="AH2" s="481"/>
      <c r="AI2" s="302"/>
      <c r="AJ2" s="302"/>
      <c r="AK2" s="302"/>
      <c r="AL2" s="302"/>
      <c r="AM2" s="302"/>
      <c r="AN2" s="302"/>
      <c r="AO2" s="302"/>
      <c r="AP2" s="302"/>
      <c r="AQ2" s="302"/>
      <c r="AR2" s="302"/>
      <c r="AS2" s="302"/>
      <c r="AT2" s="302"/>
      <c r="AU2" s="302"/>
      <c r="AV2" s="302"/>
      <c r="AW2" s="302"/>
      <c r="AX2" s="302"/>
      <c r="AY2" s="302"/>
      <c r="AZ2" s="302"/>
      <c r="BA2" s="302"/>
      <c r="BB2" s="302"/>
      <c r="BC2" s="302"/>
      <c r="BD2" s="302"/>
      <c r="BE2" s="302"/>
    </row>
    <row r="3" spans="1:57" s="37" customFormat="1" ht="14.65" customHeight="1">
      <c r="A3" s="248"/>
      <c r="B3" s="1076"/>
      <c r="C3" s="1076"/>
      <c r="D3" s="1076"/>
      <c r="E3" s="1076"/>
      <c r="F3" s="1076"/>
      <c r="G3" s="1076"/>
      <c r="H3" s="1076"/>
      <c r="I3" s="1076"/>
      <c r="J3" s="1076"/>
      <c r="K3" s="1076"/>
      <c r="L3" s="1076"/>
      <c r="M3" s="1076"/>
      <c r="N3" s="1076"/>
      <c r="O3" s="1076"/>
      <c r="P3" s="1076"/>
      <c r="Q3" s="476"/>
      <c r="R3" s="476"/>
      <c r="S3" s="476"/>
      <c r="T3" s="476"/>
      <c r="U3" s="476"/>
      <c r="V3" s="476"/>
      <c r="W3" s="476"/>
      <c r="X3" s="476"/>
      <c r="Y3" s="482"/>
      <c r="Z3" s="481"/>
      <c r="AA3" s="481"/>
      <c r="AB3" s="481"/>
      <c r="AC3" s="481"/>
      <c r="AD3" s="481"/>
      <c r="AE3" s="481"/>
      <c r="AF3" s="481"/>
      <c r="AG3" s="481"/>
      <c r="AH3" s="481"/>
      <c r="AI3" s="302"/>
      <c r="AJ3" s="302"/>
      <c r="AK3" s="302"/>
      <c r="AL3" s="302"/>
      <c r="AM3" s="302"/>
      <c r="AN3" s="302"/>
      <c r="AO3" s="302"/>
      <c r="AP3" s="302"/>
      <c r="AQ3" s="302"/>
      <c r="AR3" s="302"/>
      <c r="AS3" s="302"/>
      <c r="AT3" s="302"/>
      <c r="AU3" s="302"/>
      <c r="AV3" s="302"/>
      <c r="AW3" s="302"/>
      <c r="AX3" s="302"/>
      <c r="AY3" s="302"/>
      <c r="AZ3" s="302"/>
      <c r="BA3" s="302"/>
      <c r="BB3" s="302"/>
      <c r="BC3" s="302"/>
      <c r="BD3" s="302"/>
      <c r="BE3" s="302"/>
    </row>
    <row r="4" spans="1:57" s="37" customFormat="1" ht="14.65" customHeight="1">
      <c r="A4" s="248"/>
      <c r="B4" s="1076"/>
      <c r="C4" s="1076"/>
      <c r="D4" s="1076"/>
      <c r="E4" s="1076"/>
      <c r="F4" s="1076"/>
      <c r="G4" s="1076"/>
      <c r="H4" s="1076"/>
      <c r="I4" s="1076"/>
      <c r="J4" s="1076"/>
      <c r="K4" s="1076"/>
      <c r="L4" s="1076"/>
      <c r="M4" s="1076"/>
      <c r="N4" s="1076"/>
      <c r="O4" s="1076"/>
      <c r="P4" s="1076"/>
      <c r="Q4" s="439"/>
      <c r="R4" s="439"/>
      <c r="S4" s="439"/>
      <c r="T4" s="439"/>
      <c r="U4" s="439"/>
      <c r="V4" s="439"/>
      <c r="W4" s="439"/>
      <c r="X4" s="477"/>
      <c r="Y4" s="248"/>
      <c r="Z4" s="248"/>
      <c r="AA4" s="248"/>
      <c r="AB4" s="248"/>
      <c r="AC4" s="248"/>
      <c r="AD4" s="248"/>
      <c r="AE4" s="248"/>
      <c r="AF4" s="248"/>
      <c r="AG4" s="248"/>
      <c r="AH4" s="248"/>
    </row>
    <row r="5" spans="1:57" s="37" customFormat="1" ht="14.65" customHeight="1">
      <c r="A5" s="248"/>
      <c r="B5" s="444" t="s">
        <v>222</v>
      </c>
      <c r="C5" s="444"/>
      <c r="D5" s="444"/>
      <c r="E5" s="444"/>
      <c r="F5" s="444"/>
      <c r="G5" s="444"/>
      <c r="H5" s="444"/>
      <c r="I5" s="444"/>
      <c r="J5" s="444"/>
      <c r="K5" s="444"/>
      <c r="L5" s="444"/>
      <c r="M5" s="444"/>
      <c r="N5" s="444"/>
      <c r="O5" s="444"/>
      <c r="P5" s="444"/>
      <c r="Q5" s="444"/>
      <c r="R5" s="444"/>
      <c r="S5" s="444"/>
      <c r="T5" s="444"/>
      <c r="U5" s="444"/>
      <c r="V5" s="444"/>
      <c r="W5" s="444"/>
      <c r="X5" s="478"/>
      <c r="Y5" s="248"/>
      <c r="Z5" s="248"/>
      <c r="AA5" s="248"/>
      <c r="AB5" s="248"/>
      <c r="AC5" s="248"/>
      <c r="AD5" s="248"/>
      <c r="AE5" s="248"/>
      <c r="AF5" s="248"/>
      <c r="AG5" s="248"/>
      <c r="AH5" s="248"/>
    </row>
    <row r="6" spans="1:57">
      <c r="B6" s="407"/>
      <c r="C6" s="407"/>
      <c r="D6" s="407"/>
      <c r="E6" s="407"/>
      <c r="F6" s="407"/>
      <c r="G6" s="407"/>
      <c r="H6" s="441"/>
      <c r="I6" s="407"/>
      <c r="J6" s="407"/>
      <c r="K6" s="407"/>
      <c r="L6" s="407"/>
      <c r="M6" s="407"/>
      <c r="N6" s="407"/>
      <c r="O6" s="407"/>
      <c r="P6" s="407"/>
      <c r="Q6" s="407"/>
      <c r="R6" s="407"/>
      <c r="S6" s="407"/>
      <c r="T6" s="407"/>
      <c r="U6" s="407"/>
      <c r="V6" s="407"/>
      <c r="W6" s="479" t="s">
        <v>223</v>
      </c>
      <c r="X6" s="425">
        <f>Cover!M36</f>
        <v>1</v>
      </c>
    </row>
    <row r="7" spans="1:57">
      <c r="B7" s="407"/>
      <c r="C7" s="407"/>
      <c r="D7" s="407"/>
      <c r="E7" s="407"/>
      <c r="F7" s="407"/>
      <c r="G7" s="407"/>
      <c r="H7" s="407"/>
      <c r="I7" s="407"/>
      <c r="J7" s="407"/>
      <c r="K7" s="407"/>
      <c r="L7" s="407"/>
      <c r="M7" s="407"/>
      <c r="N7" s="407"/>
      <c r="O7" s="407"/>
      <c r="P7" s="407"/>
      <c r="Q7" s="407"/>
      <c r="R7" s="407"/>
      <c r="S7" s="407"/>
      <c r="T7" s="407"/>
      <c r="U7" s="407"/>
      <c r="V7" s="407"/>
      <c r="W7" s="407"/>
      <c r="X7" s="407"/>
    </row>
    <row r="8" spans="1:57">
      <c r="B8" s="441"/>
      <c r="C8" s="407"/>
      <c r="D8" s="407"/>
      <c r="E8" s="1080" t="s">
        <v>224</v>
      </c>
      <c r="F8" s="1080"/>
      <c r="G8" s="407"/>
      <c r="H8" s="1077" t="s">
        <v>207</v>
      </c>
      <c r="I8" s="1077"/>
      <c r="J8" s="1077"/>
      <c r="K8" s="1077"/>
      <c r="L8" s="1077"/>
      <c r="M8" s="1077"/>
      <c r="N8" s="1077"/>
      <c r="O8" s="1077"/>
      <c r="P8" s="1077"/>
      <c r="Q8" s="1077"/>
      <c r="R8" s="1077"/>
      <c r="S8" s="1077"/>
      <c r="T8" s="1077"/>
      <c r="U8" s="1077"/>
      <c r="V8" s="1077"/>
      <c r="W8" s="407"/>
      <c r="X8" s="1078" t="s">
        <v>711</v>
      </c>
    </row>
    <row r="9" spans="1:57">
      <c r="B9" s="613" t="s">
        <v>225</v>
      </c>
      <c r="C9" s="614" t="s">
        <v>212</v>
      </c>
      <c r="D9" s="407"/>
      <c r="E9" s="418" t="s">
        <v>198</v>
      </c>
      <c r="F9" s="418" t="s">
        <v>67</v>
      </c>
      <c r="G9" s="407"/>
      <c r="H9" s="484" t="s">
        <v>35</v>
      </c>
      <c r="I9" s="418" t="s">
        <v>36</v>
      </c>
      <c r="J9" s="418" t="s">
        <v>698</v>
      </c>
      <c r="K9" s="418" t="s">
        <v>699</v>
      </c>
      <c r="L9" s="418" t="s">
        <v>700</v>
      </c>
      <c r="M9" s="418" t="s">
        <v>701</v>
      </c>
      <c r="N9" s="418" t="s">
        <v>702</v>
      </c>
      <c r="O9" s="418" t="s">
        <v>703</v>
      </c>
      <c r="P9" s="418" t="s">
        <v>704</v>
      </c>
      <c r="Q9" s="418" t="s">
        <v>705</v>
      </c>
      <c r="R9" s="418" t="s">
        <v>706</v>
      </c>
      <c r="S9" s="418" t="s">
        <v>707</v>
      </c>
      <c r="T9" s="418" t="s">
        <v>708</v>
      </c>
      <c r="U9" s="418" t="s">
        <v>709</v>
      </c>
      <c r="V9" s="418" t="s">
        <v>710</v>
      </c>
      <c r="W9" s="407"/>
      <c r="X9" s="1079"/>
    </row>
    <row r="10" spans="1:57">
      <c r="B10" s="407" t="s">
        <v>38</v>
      </c>
      <c r="C10" s="419">
        <v>7976</v>
      </c>
      <c r="D10" s="407"/>
      <c r="E10" s="414">
        <f>SUMIF('S&amp;B'!$B$11:$B$31,Turnover!$B10,'S&amp;B'!$M$11:$M$31)</f>
        <v>17</v>
      </c>
      <c r="F10" s="414">
        <f>SUMIF('S&amp;B'!$B$11:$B$31,Turnover!$B10,'S&amp;B'!$N$11:$N$31)</f>
        <v>18</v>
      </c>
      <c r="G10" s="414">
        <f>IF(G$9=Cover!$M$34,SUMIF('S&amp;B'!$B$11:$B$31,$B10,'S&amp;B'!$R$11:$R$31),0)</f>
        <v>0</v>
      </c>
      <c r="H10" s="414">
        <v>-1</v>
      </c>
      <c r="I10" s="414">
        <v>-1</v>
      </c>
      <c r="J10" s="414">
        <f>IF(J$9=Cover!$M$34,SUMIF('S&amp;B'!$B$11:$B$31,$B10,'S&amp;B'!$R$11:$R$31),0)</f>
        <v>0</v>
      </c>
      <c r="K10" s="414">
        <f>IF(K$9=Cover!$M$34,SUMIF('S&amp;B'!$B$11:$B$31,$B10,'S&amp;B'!$R$11:$R$31),0)</f>
        <v>0</v>
      </c>
      <c r="L10" s="414">
        <f>IF(L$9=Cover!$M$34,SUMIF('S&amp;B'!$B$11:$B$31,$B10,'S&amp;B'!$R$11:$R$31),0)</f>
        <v>0</v>
      </c>
      <c r="M10" s="414">
        <f>IF(M$9=Cover!$M$34,SUMIF('S&amp;B'!$B$11:$B$31,$B10,'S&amp;B'!$R$11:$R$31),0)</f>
        <v>0</v>
      </c>
      <c r="N10" s="414">
        <f>IF(N$9=Cover!$M$34,SUMIF('S&amp;B'!$B$11:$B$31,$B10,'S&amp;B'!$R$11:$R$31),0)</f>
        <v>0</v>
      </c>
      <c r="O10" s="414">
        <f>IF(O$9=Cover!$M$34,SUMIF('S&amp;B'!$B$11:$B$31,$B10,'S&amp;B'!$R$11:$R$31),0)</f>
        <v>0</v>
      </c>
      <c r="P10" s="414">
        <f>IF(P$9=Cover!$M$34,SUMIF('S&amp;B'!$B$11:$B$31,$B10,'S&amp;B'!$R$11:$R$31),0)</f>
        <v>0</v>
      </c>
      <c r="Q10" s="414">
        <f>IF(Q$9=Cover!$M$34,SUMIF('S&amp;B'!$B$11:$B$31,$B10,'S&amp;B'!$R$11:$R$31),0)</f>
        <v>0</v>
      </c>
      <c r="R10" s="414">
        <f>IF(R$9=Cover!$M$34,SUMIF('S&amp;B'!$B$11:$B$31,$B10,'S&amp;B'!$R$11:$R$31),0)</f>
        <v>0</v>
      </c>
      <c r="S10" s="414">
        <f>IF(S$9=Cover!$M$34,SUMIF('S&amp;B'!$B$11:$B$31,$B10,'S&amp;B'!$R$11:$R$31),0)</f>
        <v>0</v>
      </c>
      <c r="T10" s="414">
        <f>IF(T$9=Cover!$M$34,SUMIF('S&amp;B'!$B$11:$B$31,$B10,'S&amp;B'!$R$11:$R$31),0)</f>
        <v>0</v>
      </c>
      <c r="U10" s="414">
        <f>IF(U$9=Cover!$M$34,SUMIF('S&amp;B'!$B$11:$B$31,$B10,'S&amp;B'!$R$11:$R$31),0)</f>
        <v>0</v>
      </c>
      <c r="V10" s="468">
        <f>SUM(J10:U10)</f>
        <v>0</v>
      </c>
      <c r="W10" s="407"/>
      <c r="X10" s="483">
        <f>IF(V10=0,0,(-V10*12/$X$6/F10))</f>
        <v>0</v>
      </c>
    </row>
    <row r="11" spans="1:57">
      <c r="B11" s="462" t="s">
        <v>42</v>
      </c>
      <c r="C11" s="463">
        <v>7974</v>
      </c>
      <c r="D11" s="462"/>
      <c r="E11" s="464">
        <f>SUMIF('S&amp;B'!$B$11:$B$31,Turnover!$B11,'S&amp;B'!$M$11:$M$31)</f>
        <v>27</v>
      </c>
      <c r="F11" s="464">
        <f>SUMIF('S&amp;B'!$B$11:$B$31,Turnover!$B11,'S&amp;B'!$N$11:$N$31)</f>
        <v>28</v>
      </c>
      <c r="G11" s="464">
        <f>IF(G$9=Cover!$M$34,SUMIF('S&amp;B'!$B$11:$B$31,$B11,'S&amp;B'!$R$11:$R$31),0)</f>
        <v>0</v>
      </c>
      <c r="H11" s="464">
        <v>-2</v>
      </c>
      <c r="I11" s="464">
        <v>-1</v>
      </c>
      <c r="J11" s="464">
        <f>IF(J$9=Cover!$M$34,SUMIF('S&amp;B'!$B$11:$B$31,$B11,'S&amp;B'!$R$11:$R$31),0)</f>
        <v>0</v>
      </c>
      <c r="K11" s="464">
        <f>IF(K$9=Cover!$M$34,SUMIF('S&amp;B'!$B$11:$B$31,$B11,'S&amp;B'!$R$11:$R$31),0)</f>
        <v>0</v>
      </c>
      <c r="L11" s="464">
        <f>IF(L$9=Cover!$M$34,SUMIF('S&amp;B'!$B$11:$B$31,$B11,'S&amp;B'!$R$11:$R$31),0)</f>
        <v>0</v>
      </c>
      <c r="M11" s="464">
        <f>IF(M$9=Cover!$M$34,SUMIF('S&amp;B'!$B$11:$B$31,$B11,'S&amp;B'!$R$11:$R$31),0)</f>
        <v>0</v>
      </c>
      <c r="N11" s="464">
        <f>IF(N$9=Cover!$M$34,SUMIF('S&amp;B'!$B$11:$B$31,$B11,'S&amp;B'!$R$11:$R$31),0)</f>
        <v>0</v>
      </c>
      <c r="O11" s="464">
        <f>IF(O$9=Cover!$M$34,SUMIF('S&amp;B'!$B$11:$B$31,$B11,'S&amp;B'!$R$11:$R$31),0)</f>
        <v>0</v>
      </c>
      <c r="P11" s="464">
        <f>IF(P$9=Cover!$M$34,SUMIF('S&amp;B'!$B$11:$B$31,$B11,'S&amp;B'!$R$11:$R$31),0)</f>
        <v>0</v>
      </c>
      <c r="Q11" s="464">
        <f>IF(Q$9=Cover!$M$34,SUMIF('S&amp;B'!$B$11:$B$31,$B11,'S&amp;B'!$R$11:$R$31),0)</f>
        <v>0</v>
      </c>
      <c r="R11" s="464">
        <f>IF(R$9=Cover!$M$34,SUMIF('S&amp;B'!$B$11:$B$31,$B11,'S&amp;B'!$R$11:$R$31),0)</f>
        <v>0</v>
      </c>
      <c r="S11" s="464">
        <f>IF(S$9=Cover!$M$34,SUMIF('S&amp;B'!$B$11:$B$31,$B11,'S&amp;B'!$R$11:$R$31),0)</f>
        <v>0</v>
      </c>
      <c r="T11" s="464">
        <f>IF(T$9=Cover!$M$34,SUMIF('S&amp;B'!$B$11:$B$31,$B11,'S&amp;B'!$R$11:$R$31),0)</f>
        <v>0</v>
      </c>
      <c r="U11" s="464">
        <f>IF(U$9=Cover!$M$34,SUMIF('S&amp;B'!$B$11:$B$31,$B11,'S&amp;B'!$R$11:$R$31),0)</f>
        <v>0</v>
      </c>
      <c r="V11" s="468">
        <f t="shared" ref="V11:V18" si="0">SUM(J11:U11)</f>
        <v>0</v>
      </c>
      <c r="W11" s="462"/>
      <c r="X11" s="485">
        <f>IF(V11=0,0,(-V11*12/$X$6/F11))</f>
        <v>0</v>
      </c>
    </row>
    <row r="12" spans="1:57">
      <c r="B12" s="407" t="s">
        <v>43</v>
      </c>
      <c r="C12" s="419">
        <v>7972</v>
      </c>
      <c r="D12" s="407"/>
      <c r="E12" s="414">
        <f>SUMIF('S&amp;B'!$B$11:$B$31,Turnover!$B12,'S&amp;B'!$M$11:$M$31)</f>
        <v>15</v>
      </c>
      <c r="F12" s="414">
        <f>SUMIF('S&amp;B'!$B$11:$B$31,Turnover!$B12,'S&amp;B'!$N$11:$N$31)</f>
        <v>16</v>
      </c>
      <c r="G12" s="414">
        <f>IF(G$9=Cover!$M$34,SUMIF('S&amp;B'!$B$11:$B$31,$B12,'S&amp;B'!$R$11:$R$31),0)</f>
        <v>0</v>
      </c>
      <c r="H12" s="414">
        <v>0</v>
      </c>
      <c r="I12" s="414">
        <v>0</v>
      </c>
      <c r="J12" s="414">
        <f>IF(J$9=Cover!$M$34,SUMIF('S&amp;B'!$B$11:$B$31,$B12,'S&amp;B'!$R$11:$R$31),0)</f>
        <v>0</v>
      </c>
      <c r="K12" s="414">
        <f>IF(K$9=Cover!$M$34,SUMIF('S&amp;B'!$B$11:$B$31,$B12,'S&amp;B'!$R$11:$R$31),0)</f>
        <v>0</v>
      </c>
      <c r="L12" s="414">
        <f>IF(L$9=Cover!$M$34,SUMIF('S&amp;B'!$B$11:$B$31,$B12,'S&amp;B'!$R$11:$R$31),0)</f>
        <v>0</v>
      </c>
      <c r="M12" s="414">
        <f>IF(M$9=Cover!$M$34,SUMIF('S&amp;B'!$B$11:$B$31,$B12,'S&amp;B'!$R$11:$R$31),0)</f>
        <v>0</v>
      </c>
      <c r="N12" s="414">
        <f>IF(N$9=Cover!$M$34,SUMIF('S&amp;B'!$B$11:$B$31,$B12,'S&amp;B'!$R$11:$R$31),0)</f>
        <v>0</v>
      </c>
      <c r="O12" s="414">
        <f>IF(O$9=Cover!$M$34,SUMIF('S&amp;B'!$B$11:$B$31,$B12,'S&amp;B'!$R$11:$R$31),0)</f>
        <v>0</v>
      </c>
      <c r="P12" s="414">
        <f>IF(P$9=Cover!$M$34,SUMIF('S&amp;B'!$B$11:$B$31,$B12,'S&amp;B'!$R$11:$R$31),0)</f>
        <v>0</v>
      </c>
      <c r="Q12" s="414">
        <f>IF(Q$9=Cover!$M$34,SUMIF('S&amp;B'!$B$11:$B$31,$B12,'S&amp;B'!$R$11:$R$31),0)</f>
        <v>0</v>
      </c>
      <c r="R12" s="414">
        <f>IF(R$9=Cover!$M$34,SUMIF('S&amp;B'!$B$11:$B$31,$B12,'S&amp;B'!$R$11:$R$31),0)</f>
        <v>0</v>
      </c>
      <c r="S12" s="414">
        <f>IF(S$9=Cover!$M$34,SUMIF('S&amp;B'!$B$11:$B$31,$B12,'S&amp;B'!$R$11:$R$31),0)</f>
        <v>0</v>
      </c>
      <c r="T12" s="414">
        <f>IF(T$9=Cover!$M$34,SUMIF('S&amp;B'!$B$11:$B$31,$B12,'S&amp;B'!$R$11:$R$31),0)</f>
        <v>0</v>
      </c>
      <c r="U12" s="414">
        <f>IF(U$9=Cover!$M$34,SUMIF('S&amp;B'!$B$11:$B$31,$B12,'S&amp;B'!$R$11:$R$31),0)</f>
        <v>0</v>
      </c>
      <c r="V12" s="468">
        <f t="shared" si="0"/>
        <v>0</v>
      </c>
      <c r="W12" s="407"/>
      <c r="X12" s="483">
        <f t="shared" ref="X12:X16" si="1">IF(V12=0,0,(-V12*12/$X$6/F12))</f>
        <v>0</v>
      </c>
    </row>
    <row r="13" spans="1:57">
      <c r="B13" s="462" t="s">
        <v>44</v>
      </c>
      <c r="C13" s="463">
        <v>7973</v>
      </c>
      <c r="D13" s="462"/>
      <c r="E13" s="464">
        <f>SUMIF('S&amp;B'!$B$11:$B$31,Turnover!$B13,'S&amp;B'!$M$11:$M$31)</f>
        <v>7</v>
      </c>
      <c r="F13" s="464">
        <f>SUMIF('S&amp;B'!$B$11:$B$31,Turnover!$B13,'S&amp;B'!$N$11:$N$31)</f>
        <v>7</v>
      </c>
      <c r="G13" s="464">
        <f>IF(G$9=Cover!$M$34,SUMIF('S&amp;B'!$B$11:$B$31,$B13,'S&amp;B'!$R$11:$R$31),0)</f>
        <v>0</v>
      </c>
      <c r="H13" s="464">
        <v>0</v>
      </c>
      <c r="I13" s="464">
        <v>0</v>
      </c>
      <c r="J13" s="464">
        <f>IF(J$9=Cover!$M$34,SUMIF('S&amp;B'!$B$11:$B$31,$B13,'S&amp;B'!$R$11:$R$31),0)</f>
        <v>0</v>
      </c>
      <c r="K13" s="464">
        <f>IF(K$9=Cover!$M$34,SUMIF('S&amp;B'!$B$11:$B$31,$B13,'S&amp;B'!$R$11:$R$31),0)</f>
        <v>0</v>
      </c>
      <c r="L13" s="464">
        <f>IF(L$9=Cover!$M$34,SUMIF('S&amp;B'!$B$11:$B$31,$B13,'S&amp;B'!$R$11:$R$31),0)</f>
        <v>0</v>
      </c>
      <c r="M13" s="464">
        <f>IF(M$9=Cover!$M$34,SUMIF('S&amp;B'!$B$11:$B$31,$B13,'S&amp;B'!$R$11:$R$31),0)</f>
        <v>0</v>
      </c>
      <c r="N13" s="464">
        <f>IF(N$9=Cover!$M$34,SUMIF('S&amp;B'!$B$11:$B$31,$B13,'S&amp;B'!$R$11:$R$31),0)</f>
        <v>0</v>
      </c>
      <c r="O13" s="464">
        <f>IF(O$9=Cover!$M$34,SUMIF('S&amp;B'!$B$11:$B$31,$B13,'S&amp;B'!$R$11:$R$31),0)</f>
        <v>0</v>
      </c>
      <c r="P13" s="464">
        <f>IF(P$9=Cover!$M$34,SUMIF('S&amp;B'!$B$11:$B$31,$B13,'S&amp;B'!$R$11:$R$31),0)</f>
        <v>0</v>
      </c>
      <c r="Q13" s="464">
        <f>IF(Q$9=Cover!$M$34,SUMIF('S&amp;B'!$B$11:$B$31,$B13,'S&amp;B'!$R$11:$R$31),0)</f>
        <v>0</v>
      </c>
      <c r="R13" s="464">
        <f>IF(R$9=Cover!$M$34,SUMIF('S&amp;B'!$B$11:$B$31,$B13,'S&amp;B'!$R$11:$R$31),0)</f>
        <v>0</v>
      </c>
      <c r="S13" s="464">
        <f>IF(S$9=Cover!$M$34,SUMIF('S&amp;B'!$B$11:$B$31,$B13,'S&amp;B'!$R$11:$R$31),0)</f>
        <v>0</v>
      </c>
      <c r="T13" s="464">
        <f>IF(T$9=Cover!$M$34,SUMIF('S&amp;B'!$B$11:$B$31,$B13,'S&amp;B'!$R$11:$R$31),0)</f>
        <v>0</v>
      </c>
      <c r="U13" s="464">
        <f>IF(U$9=Cover!$M$34,SUMIF('S&amp;B'!$B$11:$B$31,$B13,'S&amp;B'!$R$11:$R$31),0)</f>
        <v>0</v>
      </c>
      <c r="V13" s="468">
        <f t="shared" si="0"/>
        <v>0</v>
      </c>
      <c r="W13" s="462"/>
      <c r="X13" s="485">
        <f t="shared" si="1"/>
        <v>0</v>
      </c>
    </row>
    <row r="14" spans="1:57">
      <c r="B14" s="407" t="s">
        <v>53</v>
      </c>
      <c r="C14" s="419">
        <v>17643</v>
      </c>
      <c r="D14" s="407"/>
      <c r="E14" s="414">
        <f>SUMIF('S&amp;B'!$B$11:$B$31,Turnover!$B14,'S&amp;B'!$M$11:$M$31)</f>
        <v>4</v>
      </c>
      <c r="F14" s="414">
        <f>SUMIF('S&amp;B'!$B$11:$B$31,Turnover!$B14,'S&amp;B'!$N$11:$N$31)</f>
        <v>5</v>
      </c>
      <c r="G14" s="414">
        <f>IF(G$9=Cover!$M$34,SUMIF('S&amp;B'!$B$11:$B$31,$B14,'S&amp;B'!$R$11:$R$31),0)</f>
        <v>0</v>
      </c>
      <c r="H14" s="414">
        <v>0</v>
      </c>
      <c r="I14" s="414">
        <v>0</v>
      </c>
      <c r="J14" s="414">
        <f>IF(J$9=Cover!$M$34,SUMIF('S&amp;B'!$B$11:$B$31,$B14,'S&amp;B'!$R$11:$R$31),0)</f>
        <v>0</v>
      </c>
      <c r="K14" s="414">
        <f>IF(K$9=Cover!$M$34,SUMIF('S&amp;B'!$B$11:$B$31,$B14,'S&amp;B'!$R$11:$R$31),0)</f>
        <v>0</v>
      </c>
      <c r="L14" s="414">
        <f>IF(L$9=Cover!$M$34,SUMIF('S&amp;B'!$B$11:$B$31,$B14,'S&amp;B'!$R$11:$R$31),0)</f>
        <v>0</v>
      </c>
      <c r="M14" s="414">
        <f>IF(M$9=Cover!$M$34,SUMIF('S&amp;B'!$B$11:$B$31,$B14,'S&amp;B'!$R$11:$R$31),0)</f>
        <v>0</v>
      </c>
      <c r="N14" s="414">
        <f>IF(N$9=Cover!$M$34,SUMIF('S&amp;B'!$B$11:$B$31,$B14,'S&amp;B'!$R$11:$R$31),0)</f>
        <v>0</v>
      </c>
      <c r="O14" s="414">
        <f>IF(O$9=Cover!$M$34,SUMIF('S&amp;B'!$B$11:$B$31,$B14,'S&amp;B'!$R$11:$R$31),0)</f>
        <v>0</v>
      </c>
      <c r="P14" s="414">
        <f>IF(P$9=Cover!$M$34,SUMIF('S&amp;B'!$B$11:$B$31,$B14,'S&amp;B'!$R$11:$R$31),0)</f>
        <v>0</v>
      </c>
      <c r="Q14" s="414">
        <f>IF(Q$9=Cover!$M$34,SUMIF('S&amp;B'!$B$11:$B$31,$B14,'S&amp;B'!$R$11:$R$31),0)</f>
        <v>0</v>
      </c>
      <c r="R14" s="414">
        <f>IF(R$9=Cover!$M$34,SUMIF('S&amp;B'!$B$11:$B$31,$B14,'S&amp;B'!$R$11:$R$31),0)</f>
        <v>0</v>
      </c>
      <c r="S14" s="414">
        <f>IF(S$9=Cover!$M$34,SUMIF('S&amp;B'!$B$11:$B$31,$B14,'S&amp;B'!$R$11:$R$31),0)</f>
        <v>0</v>
      </c>
      <c r="T14" s="414">
        <f>IF(T$9=Cover!$M$34,SUMIF('S&amp;B'!$B$11:$B$31,$B14,'S&amp;B'!$R$11:$R$31),0)</f>
        <v>0</v>
      </c>
      <c r="U14" s="414">
        <f>IF(U$9=Cover!$M$34,SUMIF('S&amp;B'!$B$11:$B$31,$B14,'S&amp;B'!$R$11:$R$31),0)</f>
        <v>0</v>
      </c>
      <c r="V14" s="468">
        <f t="shared" si="0"/>
        <v>0</v>
      </c>
      <c r="W14" s="407"/>
      <c r="X14" s="483">
        <f t="shared" si="1"/>
        <v>0</v>
      </c>
    </row>
    <row r="15" spans="1:57">
      <c r="B15" s="462" t="s">
        <v>45</v>
      </c>
      <c r="C15" s="463" t="s">
        <v>46</v>
      </c>
      <c r="D15" s="462"/>
      <c r="E15" s="464">
        <f>SUMIF('S&amp;B'!$B$11:$B$31,Turnover!$B15,'S&amp;B'!$M$11:$M$31)</f>
        <v>34</v>
      </c>
      <c r="F15" s="464">
        <f>SUMIF('S&amp;B'!$B$11:$B$31,Turnover!$B15,'S&amp;B'!$N$11:$N$31)</f>
        <v>34</v>
      </c>
      <c r="G15" s="464">
        <f>IF(G$9=Cover!$M$34,SUMIF('S&amp;B'!$B$11:$B$31,$B15,'S&amp;B'!$R$11:$R$31),0)</f>
        <v>0</v>
      </c>
      <c r="H15" s="464">
        <v>0</v>
      </c>
      <c r="I15" s="464">
        <v>0</v>
      </c>
      <c r="J15" s="464">
        <f>IF(J$9=Cover!$M$34,SUMIF('S&amp;B'!$B$11:$B$31,$B15,'S&amp;B'!$R$11:$R$31),0)</f>
        <v>0</v>
      </c>
      <c r="K15" s="464">
        <f>IF(K$9=Cover!$M$34,SUMIF('S&amp;B'!$B$11:$B$31,$B15,'S&amp;B'!$R$11:$R$31),0)</f>
        <v>0</v>
      </c>
      <c r="L15" s="464">
        <f>IF(L$9=Cover!$M$34,SUMIF('S&amp;B'!$B$11:$B$31,$B15,'S&amp;B'!$R$11:$R$31),0)</f>
        <v>0</v>
      </c>
      <c r="M15" s="464">
        <f>IF(M$9=Cover!$M$34,SUMIF('S&amp;B'!$B$11:$B$31,$B15,'S&amp;B'!$R$11:$R$31),0)</f>
        <v>0</v>
      </c>
      <c r="N15" s="464">
        <f>IF(N$9=Cover!$M$34,SUMIF('S&amp;B'!$B$11:$B$31,$B15,'S&amp;B'!$R$11:$R$31),0)</f>
        <v>0</v>
      </c>
      <c r="O15" s="464">
        <f>IF(O$9=Cover!$M$34,SUMIF('S&amp;B'!$B$11:$B$31,$B15,'S&amp;B'!$R$11:$R$31),0)</f>
        <v>0</v>
      </c>
      <c r="P15" s="464">
        <f>IF(P$9=Cover!$M$34,SUMIF('S&amp;B'!$B$11:$B$31,$B15,'S&amp;B'!$R$11:$R$31),0)</f>
        <v>0</v>
      </c>
      <c r="Q15" s="464">
        <f>IF(Q$9=Cover!$M$34,SUMIF('S&amp;B'!$B$11:$B$31,$B15,'S&amp;B'!$R$11:$R$31),0)</f>
        <v>0</v>
      </c>
      <c r="R15" s="464">
        <f>IF(R$9=Cover!$M$34,SUMIF('S&amp;B'!$B$11:$B$31,$B15,'S&amp;B'!$R$11:$R$31),0)</f>
        <v>0</v>
      </c>
      <c r="S15" s="464">
        <f>IF(S$9=Cover!$M$34,SUMIF('S&amp;B'!$B$11:$B$31,$B15,'S&amp;B'!$R$11:$R$31),0)</f>
        <v>0</v>
      </c>
      <c r="T15" s="464">
        <f>IF(T$9=Cover!$M$34,SUMIF('S&amp;B'!$B$11:$B$31,$B15,'S&amp;B'!$R$11:$R$31),0)</f>
        <v>0</v>
      </c>
      <c r="U15" s="464">
        <f>IF(U$9=Cover!$M$34,SUMIF('S&amp;B'!$B$11:$B$31,$B15,'S&amp;B'!$R$11:$R$31),0)</f>
        <v>0</v>
      </c>
      <c r="V15" s="468">
        <f t="shared" si="0"/>
        <v>0</v>
      </c>
      <c r="W15" s="462"/>
      <c r="X15" s="485">
        <f t="shared" si="1"/>
        <v>0</v>
      </c>
    </row>
    <row r="16" spans="1:57">
      <c r="B16" s="407" t="s">
        <v>47</v>
      </c>
      <c r="C16" s="419">
        <v>7979</v>
      </c>
      <c r="D16" s="407"/>
      <c r="E16" s="414">
        <f>SUMIF('S&amp;B'!$B$11:$B$31,Turnover!$B16,'S&amp;B'!$M$11:$M$31)</f>
        <v>37</v>
      </c>
      <c r="F16" s="414">
        <f>SUMIF('S&amp;B'!$B$11:$B$31,Turnover!$B16,'S&amp;B'!$N$11:$N$31)</f>
        <v>39</v>
      </c>
      <c r="G16" s="414">
        <f>IF(G$9=Cover!$M$34,SUMIF('S&amp;B'!$B$11:$B$31,$B16,'S&amp;B'!$R$11:$R$31),0)</f>
        <v>0</v>
      </c>
      <c r="H16" s="414">
        <v>0</v>
      </c>
      <c r="I16" s="414">
        <v>0</v>
      </c>
      <c r="J16" s="414">
        <f>IF(J$9=Cover!$M$34,SUMIF('S&amp;B'!$B$11:$B$31,$B16,'S&amp;B'!$R$11:$R$31),0)</f>
        <v>-1</v>
      </c>
      <c r="K16" s="414">
        <f>IF(K$9=Cover!$M$34,SUMIF('S&amp;B'!$B$11:$B$31,$B16,'S&amp;B'!$R$11:$R$31),0)</f>
        <v>0</v>
      </c>
      <c r="L16" s="414">
        <f>IF(L$9=Cover!$M$34,SUMIF('S&amp;B'!$B$11:$B$31,$B16,'S&amp;B'!$R$11:$R$31),0)</f>
        <v>0</v>
      </c>
      <c r="M16" s="414">
        <f>IF(M$9=Cover!$M$34,SUMIF('S&amp;B'!$B$11:$B$31,$B16,'S&amp;B'!$R$11:$R$31),0)</f>
        <v>0</v>
      </c>
      <c r="N16" s="414">
        <f>IF(N$9=Cover!$M$34,SUMIF('S&amp;B'!$B$11:$B$31,$B16,'S&amp;B'!$R$11:$R$31),0)</f>
        <v>0</v>
      </c>
      <c r="O16" s="414">
        <f>IF(O$9=Cover!$M$34,SUMIF('S&amp;B'!$B$11:$B$31,$B16,'S&amp;B'!$R$11:$R$31),0)</f>
        <v>0</v>
      </c>
      <c r="P16" s="414">
        <f>IF(P$9=Cover!$M$34,SUMIF('S&amp;B'!$B$11:$B$31,$B16,'S&amp;B'!$R$11:$R$31),0)</f>
        <v>0</v>
      </c>
      <c r="Q16" s="414">
        <f>IF(Q$9=Cover!$M$34,SUMIF('S&amp;B'!$B$11:$B$31,$B16,'S&amp;B'!$R$11:$R$31),0)</f>
        <v>0</v>
      </c>
      <c r="R16" s="414">
        <f>IF(R$9=Cover!$M$34,SUMIF('S&amp;B'!$B$11:$B$31,$B16,'S&amp;B'!$R$11:$R$31),0)</f>
        <v>0</v>
      </c>
      <c r="S16" s="414">
        <f>IF(S$9=Cover!$M$34,SUMIF('S&amp;B'!$B$11:$B$31,$B16,'S&amp;B'!$R$11:$R$31),0)</f>
        <v>0</v>
      </c>
      <c r="T16" s="414">
        <f>IF(T$9=Cover!$M$34,SUMIF('S&amp;B'!$B$11:$B$31,$B16,'S&amp;B'!$R$11:$R$31),0)</f>
        <v>0</v>
      </c>
      <c r="U16" s="414">
        <f>IF(U$9=Cover!$M$34,SUMIF('S&amp;B'!$B$11:$B$31,$B16,'S&amp;B'!$R$11:$R$31),0)</f>
        <v>0</v>
      </c>
      <c r="V16" s="468">
        <f t="shared" si="0"/>
        <v>-1</v>
      </c>
      <c r="W16" s="407"/>
      <c r="X16" s="483">
        <f t="shared" si="1"/>
        <v>0.30769230769230771</v>
      </c>
    </row>
    <row r="17" spans="1:24">
      <c r="B17" s="462" t="s">
        <v>48</v>
      </c>
      <c r="C17" s="463">
        <v>8545</v>
      </c>
      <c r="D17" s="462"/>
      <c r="E17" s="464">
        <f>SUMIF('S&amp;B'!$B$11:$B$31,Turnover!$B17,'S&amp;B'!$M$11:$M$31)</f>
        <v>63</v>
      </c>
      <c r="F17" s="464">
        <f>SUMIF('S&amp;B'!$B$11:$B$31,Turnover!$B17,'S&amp;B'!$N$11:$N$31)</f>
        <v>61</v>
      </c>
      <c r="G17" s="464">
        <f>IF(G$9=Cover!$M$34,SUMIF('S&amp;B'!$B$11:$B$31,$B17,'S&amp;B'!$R$11:$R$31),0)</f>
        <v>0</v>
      </c>
      <c r="H17" s="464">
        <v>-3</v>
      </c>
      <c r="I17" s="464">
        <v>-7</v>
      </c>
      <c r="J17" s="464">
        <f>IF(J$9=Cover!$M$34,SUMIF('S&amp;B'!$B$11:$B$31,$B17,'S&amp;B'!$R$11:$R$31),0)</f>
        <v>-3</v>
      </c>
      <c r="K17" s="464">
        <f>IF(K$9=Cover!$M$34,SUMIF('S&amp;B'!$B$11:$B$31,$B17,'S&amp;B'!$R$11:$R$31),0)</f>
        <v>0</v>
      </c>
      <c r="L17" s="464">
        <f>IF(L$9=Cover!$M$34,SUMIF('S&amp;B'!$B$11:$B$31,$B17,'S&amp;B'!$R$11:$R$31),0)</f>
        <v>0</v>
      </c>
      <c r="M17" s="464">
        <f>IF(M$9=Cover!$M$34,SUMIF('S&amp;B'!$B$11:$B$31,$B17,'S&amp;B'!$R$11:$R$31),0)</f>
        <v>0</v>
      </c>
      <c r="N17" s="464">
        <f>IF(N$9=Cover!$M$34,SUMIF('S&amp;B'!$B$11:$B$31,$B17,'S&amp;B'!$R$11:$R$31),0)</f>
        <v>0</v>
      </c>
      <c r="O17" s="464">
        <f>IF(O$9=Cover!$M$34,SUMIF('S&amp;B'!$B$11:$B$31,$B17,'S&amp;B'!$R$11:$R$31),0)</f>
        <v>0</v>
      </c>
      <c r="P17" s="464">
        <f>IF(P$9=Cover!$M$34,SUMIF('S&amp;B'!$B$11:$B$31,$B17,'S&amp;B'!$R$11:$R$31),0)</f>
        <v>0</v>
      </c>
      <c r="Q17" s="464">
        <f>IF(Q$9=Cover!$M$34,SUMIF('S&amp;B'!$B$11:$B$31,$B17,'S&amp;B'!$R$11:$R$31),0)</f>
        <v>0</v>
      </c>
      <c r="R17" s="464">
        <f>IF(R$9=Cover!$M$34,SUMIF('S&amp;B'!$B$11:$B$31,$B17,'S&amp;B'!$R$11:$R$31),0)</f>
        <v>0</v>
      </c>
      <c r="S17" s="464">
        <f>IF(S$9=Cover!$M$34,SUMIF('S&amp;B'!$B$11:$B$31,$B17,'S&amp;B'!$R$11:$R$31),0)</f>
        <v>0</v>
      </c>
      <c r="T17" s="464">
        <f>IF(T$9=Cover!$M$34,SUMIF('S&amp;B'!$B$11:$B$31,$B17,'S&amp;B'!$R$11:$R$31),0)</f>
        <v>0</v>
      </c>
      <c r="U17" s="464">
        <f>IF(U$9=Cover!$M$34,SUMIF('S&amp;B'!$B$11:$B$31,$B17,'S&amp;B'!$R$11:$R$31),0)</f>
        <v>0</v>
      </c>
      <c r="V17" s="468">
        <f t="shared" si="0"/>
        <v>-3</v>
      </c>
      <c r="W17" s="462"/>
      <c r="X17" s="485">
        <f>IF(V17=0,0,(-V17*12/$X$6/F17))</f>
        <v>0.5901639344262295</v>
      </c>
    </row>
    <row r="18" spans="1:24">
      <c r="B18" s="459" t="s">
        <v>49</v>
      </c>
      <c r="C18" s="460">
        <v>7850</v>
      </c>
      <c r="D18" s="407"/>
      <c r="E18" s="488">
        <f>SUMIF('S&amp;B'!$B$11:$B$31,Turnover!$B18,'S&amp;B'!$M$11:$M$31)</f>
        <v>7</v>
      </c>
      <c r="F18" s="488">
        <f>SUMIF('S&amp;B'!$B$11:$B$31,Turnover!$B18,'S&amp;B'!$N$11:$N$31)</f>
        <v>7</v>
      </c>
      <c r="G18" s="414">
        <f>IF(G$9=Cover!$M$34,SUMIF('S&amp;B'!$B$11:$B$31,$B18,'S&amp;B'!$R$11:$R$31),0)</f>
        <v>0</v>
      </c>
      <c r="H18" s="414">
        <v>0</v>
      </c>
      <c r="I18" s="414">
        <v>0</v>
      </c>
      <c r="J18" s="414">
        <v>0</v>
      </c>
      <c r="K18" s="414">
        <v>0</v>
      </c>
      <c r="L18" s="414">
        <v>0</v>
      </c>
      <c r="M18" s="414">
        <v>0</v>
      </c>
      <c r="N18" s="414">
        <v>0</v>
      </c>
      <c r="O18" s="414">
        <v>0</v>
      </c>
      <c r="P18" s="414">
        <v>0</v>
      </c>
      <c r="Q18" s="414">
        <v>0</v>
      </c>
      <c r="R18" s="414">
        <v>0</v>
      </c>
      <c r="S18" s="414">
        <v>0</v>
      </c>
      <c r="T18" s="414">
        <v>0</v>
      </c>
      <c r="U18" s="414">
        <f>IF(U$9=Cover!$M$34,SUMIF('S&amp;B'!$B$11:$B$31,$B18,'S&amp;B'!$R$11:$R$31),0)</f>
        <v>0</v>
      </c>
      <c r="V18" s="468">
        <f t="shared" si="0"/>
        <v>0</v>
      </c>
      <c r="W18" s="407"/>
      <c r="X18" s="483">
        <f>IF(V18=0,0,(-V18*12/$X$6/F18))</f>
        <v>0</v>
      </c>
    </row>
    <row r="19" spans="1:24">
      <c r="B19" s="615" t="s">
        <v>221</v>
      </c>
      <c r="C19" s="616"/>
      <c r="D19" s="407"/>
      <c r="E19" s="617">
        <f t="shared" ref="E19:U19" si="2">SUM(E10:E18)</f>
        <v>211</v>
      </c>
      <c r="F19" s="617">
        <f t="shared" si="2"/>
        <v>215</v>
      </c>
      <c r="G19" s="618">
        <f t="shared" si="2"/>
        <v>0</v>
      </c>
      <c r="H19" s="618">
        <f t="shared" si="2"/>
        <v>-6</v>
      </c>
      <c r="I19" s="618">
        <f t="shared" si="2"/>
        <v>-9</v>
      </c>
      <c r="J19" s="618">
        <f t="shared" si="2"/>
        <v>-4</v>
      </c>
      <c r="K19" s="618">
        <f t="shared" si="2"/>
        <v>0</v>
      </c>
      <c r="L19" s="618">
        <f t="shared" si="2"/>
        <v>0</v>
      </c>
      <c r="M19" s="618">
        <f t="shared" si="2"/>
        <v>0</v>
      </c>
      <c r="N19" s="618">
        <f t="shared" si="2"/>
        <v>0</v>
      </c>
      <c r="O19" s="618">
        <f t="shared" si="2"/>
        <v>0</v>
      </c>
      <c r="P19" s="618">
        <f t="shared" si="2"/>
        <v>0</v>
      </c>
      <c r="Q19" s="618">
        <f t="shared" si="2"/>
        <v>0</v>
      </c>
      <c r="R19" s="618">
        <f t="shared" si="2"/>
        <v>0</v>
      </c>
      <c r="S19" s="618">
        <f t="shared" si="2"/>
        <v>0</v>
      </c>
      <c r="T19" s="618">
        <f t="shared" si="2"/>
        <v>0</v>
      </c>
      <c r="U19" s="618">
        <f t="shared" si="2"/>
        <v>0</v>
      </c>
      <c r="V19" s="618">
        <f>SUM(V10:V18)</f>
        <v>-4</v>
      </c>
      <c r="W19" s="407"/>
      <c r="X19" s="619">
        <f>IF(V19=0,0,(-V19*12/$X$6/F19))</f>
        <v>0.22325581395348837</v>
      </c>
    </row>
    <row r="20" spans="1:24" ht="15.6" customHeight="1">
      <c r="B20" s="420"/>
      <c r="C20" s="419"/>
      <c r="D20" s="407"/>
      <c r="E20" s="414"/>
      <c r="F20" s="414"/>
      <c r="G20" s="407"/>
      <c r="H20" s="407"/>
      <c r="I20" s="407"/>
      <c r="J20" s="407"/>
      <c r="K20" s="407"/>
      <c r="L20" s="407"/>
      <c r="M20" s="407"/>
      <c r="N20" s="407"/>
      <c r="O20" s="407"/>
      <c r="P20" s="407"/>
      <c r="Q20" s="407"/>
      <c r="R20" s="407"/>
      <c r="S20" s="407"/>
      <c r="T20" s="407"/>
      <c r="U20" s="407"/>
      <c r="V20" s="421"/>
      <c r="W20" s="407"/>
      <c r="X20" s="407"/>
    </row>
    <row r="21" spans="1:24">
      <c r="B21" s="407" t="s">
        <v>50</v>
      </c>
      <c r="C21" s="419">
        <v>7988</v>
      </c>
      <c r="D21" s="407"/>
      <c r="E21" s="414">
        <f>SUMIF('S&amp;B'!$B$11:$B$31,Turnover!$B21,'S&amp;B'!$M$11:$M$31)</f>
        <v>0</v>
      </c>
      <c r="F21" s="414">
        <f>SUMIF('S&amp;B'!$B$11:$B$31,Turnover!$B21,'S&amp;B'!$N$11:$N$31)</f>
        <v>0</v>
      </c>
      <c r="G21" s="414">
        <f>IF(G$9=Cover!$M$34,SUMIF('S&amp;B'!$B$11:$B$31,$B21,'S&amp;B'!$R$11:$R$31),0)</f>
        <v>0</v>
      </c>
      <c r="H21" s="414">
        <v>0</v>
      </c>
      <c r="I21" s="414">
        <v>0</v>
      </c>
      <c r="J21" s="414">
        <f>IF(J$9=Cover!$M$34,SUMIF('S&amp;B'!$B$11:$B$31,$B21,'S&amp;B'!$R$11:$R$31),0)</f>
        <v>0</v>
      </c>
      <c r="K21" s="414">
        <f>IF(K$9=Cover!$M$34,SUMIF('S&amp;B'!$B$11:$B$31,$B21,'S&amp;B'!$R$11:$R$31),0)</f>
        <v>0</v>
      </c>
      <c r="L21" s="414">
        <f>IF(L$9=Cover!$M$34,SUMIF('S&amp;B'!$B$11:$B$31,$B21,'S&amp;B'!$R$11:$R$31),0)</f>
        <v>0</v>
      </c>
      <c r="M21" s="414">
        <f>IF(M$9=Cover!$M$34,SUMIF('S&amp;B'!$B$11:$B$31,$B21,'S&amp;B'!$R$11:$R$31),0)</f>
        <v>0</v>
      </c>
      <c r="N21" s="414">
        <f>IF(N$9=Cover!$M$34,SUMIF('S&amp;B'!$B$11:$B$31,$B21,'S&amp;B'!$R$11:$R$31),0)</f>
        <v>0</v>
      </c>
      <c r="O21" s="414">
        <f>IF(O$9=Cover!$M$34,SUMIF('S&amp;B'!$B$11:$B$31,$B21,'S&amp;B'!$R$11:$R$31),0)</f>
        <v>0</v>
      </c>
      <c r="P21" s="414">
        <f>IF(P$9=Cover!$M$34,SUMIF('S&amp;B'!$B$11:$B$31,$B21,'S&amp;B'!$R$11:$R$31),0)</f>
        <v>0</v>
      </c>
      <c r="Q21" s="414">
        <f>IF(Q$9=Cover!$M$34,SUMIF('S&amp;B'!$B$11:$B$31,$B21,'S&amp;B'!$R$11:$R$31),0)</f>
        <v>0</v>
      </c>
      <c r="R21" s="414">
        <f>IF(R$9=Cover!$M$34,SUMIF('S&amp;B'!$B$11:$B$31,$B21,'S&amp;B'!$R$11:$R$31),0)</f>
        <v>0</v>
      </c>
      <c r="S21" s="414">
        <f>IF(S$9=Cover!$M$34,SUMIF('S&amp;B'!$B$11:$B$31,$B21,'S&amp;B'!$R$11:$R$31),0)</f>
        <v>0</v>
      </c>
      <c r="T21" s="414">
        <f>IF(T$9=Cover!$M$34,SUMIF('S&amp;B'!$B$11:$B$31,$B21,'S&amp;B'!$R$11:$R$31),0)</f>
        <v>0</v>
      </c>
      <c r="U21" s="414">
        <f>IF(U$9=Cover!$M$34,SUMIF('S&amp;B'!$B$11:$B$31,$B21,'S&amp;B'!$R$11:$R$31),0)</f>
        <v>0</v>
      </c>
      <c r="V21" s="468">
        <f>SUM(J21:U21)</f>
        <v>0</v>
      </c>
      <c r="W21" s="407"/>
      <c r="X21" s="483">
        <f t="shared" ref="X21:X27" si="3">IF(V21=0,0,(-V21*12/$X$6/F21))</f>
        <v>0</v>
      </c>
    </row>
    <row r="22" spans="1:24">
      <c r="B22" s="462" t="s">
        <v>51</v>
      </c>
      <c r="C22" s="463">
        <v>7971</v>
      </c>
      <c r="D22" s="462"/>
      <c r="E22" s="464">
        <f>SUMIF('S&amp;B'!$B$11:$B$31,Turnover!$B22,'S&amp;B'!$M$11:$M$31)</f>
        <v>5</v>
      </c>
      <c r="F22" s="464">
        <f>SUMIF('S&amp;B'!$B$11:$B$31,Turnover!$B22,'S&amp;B'!$N$11:$N$31)</f>
        <v>5</v>
      </c>
      <c r="G22" s="464">
        <f>IF(G$9=Cover!$M$34,SUMIF('S&amp;B'!$B$11:$B$31,$B22,'S&amp;B'!$R$11:$R$31),0)</f>
        <v>0</v>
      </c>
      <c r="H22" s="464">
        <v>0</v>
      </c>
      <c r="I22" s="464">
        <v>0</v>
      </c>
      <c r="J22" s="464">
        <f>IF(J$9=Cover!$M$34,SUMIF('S&amp;B'!$B$11:$B$31,$B22,'S&amp;B'!$R$11:$R$31),0)</f>
        <v>0</v>
      </c>
      <c r="K22" s="464">
        <f>IF(K$9=Cover!$M$34,SUMIF('S&amp;B'!$B$11:$B$31,$B22,'S&amp;B'!$R$11:$R$31),0)</f>
        <v>0</v>
      </c>
      <c r="L22" s="464">
        <f>IF(L$9=Cover!$M$34,SUMIF('S&amp;B'!$B$11:$B$31,$B22,'S&amp;B'!$R$11:$R$31),0)</f>
        <v>0</v>
      </c>
      <c r="M22" s="464">
        <f>IF(M$9=Cover!$M$34,SUMIF('S&amp;B'!$B$11:$B$31,$B22,'S&amp;B'!$R$11:$R$31),0)</f>
        <v>0</v>
      </c>
      <c r="N22" s="464">
        <f>IF(N$9=Cover!$M$34,SUMIF('S&amp;B'!$B$11:$B$31,$B22,'S&amp;B'!$R$11:$R$31),0)</f>
        <v>0</v>
      </c>
      <c r="O22" s="464">
        <f>IF(O$9=Cover!$M$34,SUMIF('S&amp;B'!$B$11:$B$31,$B22,'S&amp;B'!$R$11:$R$31),0)</f>
        <v>0</v>
      </c>
      <c r="P22" s="464">
        <f>IF(P$9=Cover!$M$34,SUMIF('S&amp;B'!$B$11:$B$31,$B22,'S&amp;B'!$R$11:$R$31),0)</f>
        <v>0</v>
      </c>
      <c r="Q22" s="464">
        <f>IF(Q$9=Cover!$M$34,SUMIF('S&amp;B'!$B$11:$B$31,$B22,'S&amp;B'!$R$11:$R$31),0)</f>
        <v>0</v>
      </c>
      <c r="R22" s="464">
        <f>IF(R$9=Cover!$M$34,SUMIF('S&amp;B'!$B$11:$B$31,$B22,'S&amp;B'!$R$11:$R$31),0)</f>
        <v>0</v>
      </c>
      <c r="S22" s="464">
        <f>IF(S$9=Cover!$M$34,SUMIF('S&amp;B'!$B$11:$B$31,$B22,'S&amp;B'!$R$11:$R$31),0)</f>
        <v>0</v>
      </c>
      <c r="T22" s="464">
        <f>IF(T$9=Cover!$M$34,SUMIF('S&amp;B'!$B$11:$B$31,$B22,'S&amp;B'!$R$11:$R$31),0)</f>
        <v>0</v>
      </c>
      <c r="U22" s="464">
        <f>IF(U$9=Cover!$M$34,SUMIF('S&amp;B'!$B$11:$B$31,$B22,'S&amp;B'!$R$11:$R$31),0)</f>
        <v>0</v>
      </c>
      <c r="V22" s="468">
        <f t="shared" ref="V22:V26" si="4">SUM(J22:U22)</f>
        <v>0</v>
      </c>
      <c r="W22" s="462"/>
      <c r="X22" s="485">
        <f t="shared" si="3"/>
        <v>0</v>
      </c>
    </row>
    <row r="23" spans="1:24">
      <c r="B23" s="407" t="s">
        <v>52</v>
      </c>
      <c r="C23" s="419">
        <v>7987</v>
      </c>
      <c r="D23" s="407"/>
      <c r="E23" s="414">
        <f>SUMIF('S&amp;B'!$B$11:$B$31,Turnover!$B23,'S&amp;B'!$M$11:$M$31)</f>
        <v>2</v>
      </c>
      <c r="F23" s="414">
        <f>SUMIF('S&amp;B'!$B$11:$B$31,Turnover!$B23,'S&amp;B'!$N$11:$N$31)</f>
        <v>2</v>
      </c>
      <c r="G23" s="414">
        <f>IF(G$9=Cover!$M$34,SUMIF('S&amp;B'!$B$11:$B$31,$B23,'S&amp;B'!$R$11:$R$31),0)</f>
        <v>0</v>
      </c>
      <c r="H23" s="414">
        <v>0</v>
      </c>
      <c r="I23" s="414">
        <v>0</v>
      </c>
      <c r="J23" s="414">
        <f>IF(J$9=Cover!$M$34,SUMIF('S&amp;B'!$B$11:$B$31,$B23,'S&amp;B'!$R$11:$R$31),0)</f>
        <v>0</v>
      </c>
      <c r="K23" s="414">
        <f>IF(K$9=Cover!$M$34,SUMIF('S&amp;B'!$B$11:$B$31,$B23,'S&amp;B'!$R$11:$R$31),0)</f>
        <v>0</v>
      </c>
      <c r="L23" s="414">
        <f>IF(L$9=Cover!$M$34,SUMIF('S&amp;B'!$B$11:$B$31,$B23,'S&amp;B'!$R$11:$R$31),0)</f>
        <v>0</v>
      </c>
      <c r="M23" s="414">
        <f>IF(M$9=Cover!$M$34,SUMIF('S&amp;B'!$B$11:$B$31,$B23,'S&amp;B'!$R$11:$R$31),0)</f>
        <v>0</v>
      </c>
      <c r="N23" s="414">
        <f>IF(N$9=Cover!$M$34,SUMIF('S&amp;B'!$B$11:$B$31,$B23,'S&amp;B'!$R$11:$R$31),0)</f>
        <v>0</v>
      </c>
      <c r="O23" s="414">
        <f>IF(O$9=Cover!$M$34,SUMIF('S&amp;B'!$B$11:$B$31,$B23,'S&amp;B'!$R$11:$R$31),0)</f>
        <v>0</v>
      </c>
      <c r="P23" s="414">
        <f>IF(P$9=Cover!$M$34,SUMIF('S&amp;B'!$B$11:$B$31,$B23,'S&amp;B'!$R$11:$R$31),0)</f>
        <v>0</v>
      </c>
      <c r="Q23" s="414">
        <f>IF(Q$9=Cover!$M$34,SUMIF('S&amp;B'!$B$11:$B$31,$B23,'S&amp;B'!$R$11:$R$31),0)</f>
        <v>0</v>
      </c>
      <c r="R23" s="414">
        <f>IF(R$9=Cover!$M$34,SUMIF('S&amp;B'!$B$11:$B$31,$B23,'S&amp;B'!$R$11:$R$31),0)</f>
        <v>0</v>
      </c>
      <c r="S23" s="414">
        <f>IF(S$9=Cover!$M$34,SUMIF('S&amp;B'!$B$11:$B$31,$B23,'S&amp;B'!$R$11:$R$31),0)</f>
        <v>0</v>
      </c>
      <c r="T23" s="414">
        <f>IF(T$9=Cover!$M$34,SUMIF('S&amp;B'!$B$11:$B$31,$B23,'S&amp;B'!$R$11:$R$31),0)</f>
        <v>0</v>
      </c>
      <c r="U23" s="414">
        <f>IF(U$9=Cover!$M$34,SUMIF('S&amp;B'!$B$11:$B$31,$B23,'S&amp;B'!$R$11:$R$31),0)</f>
        <v>0</v>
      </c>
      <c r="V23" s="468">
        <f t="shared" si="4"/>
        <v>0</v>
      </c>
      <c r="W23" s="407"/>
      <c r="X23" s="483">
        <f t="shared" si="3"/>
        <v>0</v>
      </c>
    </row>
    <row r="24" spans="1:24">
      <c r="B24" s="462" t="s">
        <v>85</v>
      </c>
      <c r="C24" s="463">
        <v>6997</v>
      </c>
      <c r="D24" s="462"/>
      <c r="E24" s="464">
        <f>SUMIF('S&amp;B'!$B$11:$B$31,Turnover!$B24,'S&amp;B'!$M$11:$M$31)</f>
        <v>0</v>
      </c>
      <c r="F24" s="464">
        <f>SUMIF('S&amp;B'!$B$11:$B$31,Turnover!$B24,'S&amp;B'!$N$11:$N$31)</f>
        <v>0</v>
      </c>
      <c r="G24" s="464">
        <f>IF(G$9=Cover!$M$34,SUMIF('S&amp;B'!$B$11:$B$31,$B24,'S&amp;B'!$R$11:$R$31),0)</f>
        <v>0</v>
      </c>
      <c r="H24" s="464">
        <v>0</v>
      </c>
      <c r="I24" s="464">
        <v>0</v>
      </c>
      <c r="J24" s="464">
        <f>IF(J$9=Cover!$M$34,SUMIF('S&amp;B'!$B$11:$B$31,$B24,'S&amp;B'!$R$11:$R$31),0)</f>
        <v>0</v>
      </c>
      <c r="K24" s="464">
        <f>IF(K$9=Cover!$M$34,SUMIF('S&amp;B'!$B$11:$B$31,$B24,'S&amp;B'!$R$11:$R$31),0)</f>
        <v>0</v>
      </c>
      <c r="L24" s="464">
        <f>IF(L$9=Cover!$M$34,SUMIF('S&amp;B'!$B$11:$B$31,$B24,'S&amp;B'!$R$11:$R$31),0)</f>
        <v>0</v>
      </c>
      <c r="M24" s="464">
        <f>IF(M$9=Cover!$M$34,SUMIF('S&amp;B'!$B$11:$B$31,$B24,'S&amp;B'!$R$11:$R$31),0)</f>
        <v>0</v>
      </c>
      <c r="N24" s="464">
        <f>IF(N$9=Cover!$M$34,SUMIF('S&amp;B'!$B$11:$B$31,$B24,'S&amp;B'!$R$11:$R$31),0)</f>
        <v>0</v>
      </c>
      <c r="O24" s="464">
        <f>IF(O$9=Cover!$M$34,SUMIF('S&amp;B'!$B$11:$B$31,$B24,'S&amp;B'!$R$11:$R$31),0)</f>
        <v>0</v>
      </c>
      <c r="P24" s="464">
        <f>IF(P$9=Cover!$M$34,SUMIF('S&amp;B'!$B$11:$B$31,$B24,'S&amp;B'!$R$11:$R$31),0)</f>
        <v>0</v>
      </c>
      <c r="Q24" s="464">
        <f>IF(Q$9=Cover!$M$34,SUMIF('S&amp;B'!$B$11:$B$31,$B24,'S&amp;B'!$R$11:$R$31),0)</f>
        <v>0</v>
      </c>
      <c r="R24" s="464">
        <f>IF(R$9=Cover!$M$34,SUMIF('S&amp;B'!$B$11:$B$31,$B24,'S&amp;B'!$R$11:$R$31),0)</f>
        <v>0</v>
      </c>
      <c r="S24" s="464">
        <f>IF(S$9=Cover!$M$34,SUMIF('S&amp;B'!$B$11:$B$31,$B24,'S&amp;B'!$R$11:$R$31),0)</f>
        <v>0</v>
      </c>
      <c r="T24" s="464">
        <f>IF(T$9=Cover!$M$34,SUMIF('S&amp;B'!$B$11:$B$31,$B24,'S&amp;B'!$R$11:$R$31),0)</f>
        <v>0</v>
      </c>
      <c r="U24" s="464">
        <f>IF(U$9=Cover!$M$34,SUMIF('S&amp;B'!$B$11:$B$31,$B24,'S&amp;B'!$R$11:$R$31),0)</f>
        <v>0</v>
      </c>
      <c r="V24" s="468">
        <f t="shared" si="4"/>
        <v>0</v>
      </c>
      <c r="W24" s="462"/>
      <c r="X24" s="485">
        <f t="shared" si="3"/>
        <v>0</v>
      </c>
    </row>
    <row r="25" spans="1:24">
      <c r="B25" s="407" t="s">
        <v>54</v>
      </c>
      <c r="C25" s="172">
        <v>17826</v>
      </c>
      <c r="E25" s="592">
        <f>SUMIF('S&amp;B'!$B$11:$B$31,Turnover!$B25,'S&amp;B'!$M$11:$M$31)</f>
        <v>0</v>
      </c>
      <c r="F25" s="592">
        <f>SUMIF('S&amp;B'!$B$11:$B$31,Turnover!$B25,'S&amp;B'!$N$11:$N$31)</f>
        <v>0</v>
      </c>
      <c r="G25" s="592"/>
      <c r="H25" s="592">
        <v>0</v>
      </c>
      <c r="I25" s="592">
        <v>0</v>
      </c>
      <c r="J25" s="592">
        <f>IF(J$9=Cover!$M$34,SUMIF('S&amp;B'!$B$11:$B$31,$B25,'S&amp;B'!$R$11:$R$31),0)</f>
        <v>0</v>
      </c>
      <c r="K25" s="592">
        <f>IF(K$9=Cover!$M$34,SUMIF('S&amp;B'!$B$11:$B$31,$B25,'S&amp;B'!$R$11:$R$31),0)</f>
        <v>0</v>
      </c>
      <c r="L25" s="592">
        <f>IF(L$9=Cover!$M$34,SUMIF('S&amp;B'!$B$11:$B$31,$B25,'S&amp;B'!$R$11:$R$31),0)</f>
        <v>0</v>
      </c>
      <c r="M25" s="592">
        <f>IF(M$9=Cover!$M$34,SUMIF('S&amp;B'!$B$11:$B$31,$B25,'S&amp;B'!$R$11:$R$31),0)</f>
        <v>0</v>
      </c>
      <c r="N25" s="592">
        <f>IF(N$9=Cover!$M$34,SUMIF('S&amp;B'!$B$11:$B$31,$B25,'S&amp;B'!$R$11:$R$31),0)</f>
        <v>0</v>
      </c>
      <c r="O25" s="592">
        <f>IF(O$9=Cover!$M$34,SUMIF('S&amp;B'!$B$11:$B$31,$B25,'S&amp;B'!$R$11:$R$31),0)</f>
        <v>0</v>
      </c>
      <c r="P25" s="592">
        <f>IF(P$9=Cover!$M$34,SUMIF('S&amp;B'!$B$11:$B$31,$B25,'S&amp;B'!$R$11:$R$31),0)</f>
        <v>0</v>
      </c>
      <c r="Q25" s="592">
        <f>IF(Q$9=Cover!$M$34,SUMIF('S&amp;B'!$B$11:$B$31,$B25,'S&amp;B'!$R$11:$R$31),0)</f>
        <v>0</v>
      </c>
      <c r="R25" s="592">
        <f>IF(R$9=Cover!$M$34,SUMIF('S&amp;B'!$B$11:$B$31,$B25,'S&amp;B'!$R$11:$R$31),0)</f>
        <v>0</v>
      </c>
      <c r="S25" s="592">
        <f>IF(S$9=Cover!$M$34,SUMIF('S&amp;B'!$B$11:$B$31,$B25,'S&amp;B'!$R$11:$R$31),0)</f>
        <v>0</v>
      </c>
      <c r="T25" s="592">
        <f>IF(T$9=Cover!$M$34,SUMIF('S&amp;B'!$B$11:$B$31,$B25,'S&amp;B'!$R$11:$R$31),0)</f>
        <v>0</v>
      </c>
      <c r="U25" s="592">
        <f>IF(U$9=Cover!$M$34,SUMIF('S&amp;B'!$B$11:$B$31,$B25,'S&amp;B'!$R$11:$R$31),0)</f>
        <v>0</v>
      </c>
      <c r="V25" s="468">
        <f t="shared" si="4"/>
        <v>0</v>
      </c>
      <c r="X25" s="593">
        <f t="shared" si="3"/>
        <v>0</v>
      </c>
    </row>
    <row r="26" spans="1:24">
      <c r="B26" s="462" t="s">
        <v>55</v>
      </c>
      <c r="C26" s="463">
        <v>5968</v>
      </c>
      <c r="D26" s="462"/>
      <c r="E26" s="464">
        <f>SUMIF('S&amp;B'!$B$11:$B$31,Turnover!$B26,'S&amp;B'!$M$11:$M$31)</f>
        <v>10</v>
      </c>
      <c r="F26" s="464">
        <f>SUMIF('S&amp;B'!$B$11:$B$31,Turnover!$B26,'S&amp;B'!$N$11:$N$31)</f>
        <v>10</v>
      </c>
      <c r="G26" s="464">
        <f>IF(G$9=Cover!$M$34,SUMIF('S&amp;B'!$B$11:$B$31,$B26,'S&amp;B'!$R$11:$R$31),0)</f>
        <v>0</v>
      </c>
      <c r="H26" s="464">
        <v>0</v>
      </c>
      <c r="I26" s="464">
        <v>0</v>
      </c>
      <c r="J26" s="464">
        <f>IF(J$9=Cover!$M$34,SUMIF('S&amp;B'!$B$11:$B$31,$B26,'S&amp;B'!$R$11:$R$31),0)</f>
        <v>0</v>
      </c>
      <c r="K26" s="464">
        <f>IF(K$9=Cover!$M$34,SUMIF('S&amp;B'!$B$11:$B$31,$B26,'S&amp;B'!$R$11:$R$31),0)</f>
        <v>0</v>
      </c>
      <c r="L26" s="464">
        <f>IF(L$9=Cover!$M$34,SUMIF('S&amp;B'!$B$11:$B$31,$B26,'S&amp;B'!$R$11:$R$31),0)</f>
        <v>0</v>
      </c>
      <c r="M26" s="464">
        <f>IF(M$9=Cover!$M$34,SUMIF('S&amp;B'!$B$11:$B$31,$B26,'S&amp;B'!$R$11:$R$31),0)</f>
        <v>0</v>
      </c>
      <c r="N26" s="464">
        <f>IF(N$9=Cover!$M$34,SUMIF('S&amp;B'!$B$11:$B$31,$B26,'S&amp;B'!$R$11:$R$31),0)</f>
        <v>0</v>
      </c>
      <c r="O26" s="464">
        <f>IF(O$9=Cover!$M$34,SUMIF('S&amp;B'!$B$11:$B$31,$B26,'S&amp;B'!$R$11:$R$31),0)</f>
        <v>0</v>
      </c>
      <c r="P26" s="464">
        <f>IF(P$9=Cover!$M$34,SUMIF('S&amp;B'!$B$11:$B$31,$B26,'S&amp;B'!$R$11:$R$31),0)</f>
        <v>0</v>
      </c>
      <c r="Q26" s="464">
        <f>IF(Q$9=Cover!$M$34,SUMIF('S&amp;B'!$B$11:$B$31,$B26,'S&amp;B'!$R$11:$R$31),0)</f>
        <v>0</v>
      </c>
      <c r="R26" s="464">
        <f>IF(R$9=Cover!$M$34,SUMIF('S&amp;B'!$B$11:$B$31,$B26,'S&amp;B'!$R$11:$R$31),0)</f>
        <v>0</v>
      </c>
      <c r="S26" s="464">
        <f>IF(S$9=Cover!$M$34,SUMIF('S&amp;B'!$B$11:$B$31,$B26,'S&amp;B'!$R$11:$R$31),0)</f>
        <v>0</v>
      </c>
      <c r="T26" s="464">
        <f>IF(T$9=Cover!$M$34,SUMIF('S&amp;B'!$B$11:$B$31,$B26,'S&amp;B'!$R$11:$R$31),0)</f>
        <v>0</v>
      </c>
      <c r="U26" s="464">
        <f>IF(U$9=Cover!$M$34,SUMIF('S&amp;B'!$B$11:$B$31,$B26,'S&amp;B'!$R$11:$R$31),0)</f>
        <v>0</v>
      </c>
      <c r="V26" s="468">
        <f t="shared" si="4"/>
        <v>0</v>
      </c>
      <c r="W26" s="462"/>
      <c r="X26" s="485">
        <f t="shared" ref="X26" si="5">IF(V26=0,0,(-V26*12/$X$6/F26))</f>
        <v>0</v>
      </c>
    </row>
    <row r="27" spans="1:24" ht="15.75" thickBot="1">
      <c r="B27" s="489" t="s">
        <v>58</v>
      </c>
      <c r="C27" s="490"/>
      <c r="D27" s="407"/>
      <c r="E27" s="491">
        <f>SUM(E19:E26)</f>
        <v>228</v>
      </c>
      <c r="F27" s="491">
        <f>SUM(F19:F26)</f>
        <v>232</v>
      </c>
      <c r="G27" s="407"/>
      <c r="H27" s="491">
        <f t="shared" ref="H27:U27" si="6">SUM(H19:H26)</f>
        <v>-6</v>
      </c>
      <c r="I27" s="491">
        <f t="shared" si="6"/>
        <v>-9</v>
      </c>
      <c r="J27" s="491">
        <f t="shared" si="6"/>
        <v>-4</v>
      </c>
      <c r="K27" s="491">
        <f t="shared" si="6"/>
        <v>0</v>
      </c>
      <c r="L27" s="491">
        <f t="shared" si="6"/>
        <v>0</v>
      </c>
      <c r="M27" s="491">
        <f t="shared" si="6"/>
        <v>0</v>
      </c>
      <c r="N27" s="491">
        <f t="shared" si="6"/>
        <v>0</v>
      </c>
      <c r="O27" s="491">
        <f t="shared" si="6"/>
        <v>0</v>
      </c>
      <c r="P27" s="491">
        <f t="shared" si="6"/>
        <v>0</v>
      </c>
      <c r="Q27" s="491">
        <f t="shared" si="6"/>
        <v>0</v>
      </c>
      <c r="R27" s="491">
        <f t="shared" si="6"/>
        <v>0</v>
      </c>
      <c r="S27" s="491">
        <f t="shared" si="6"/>
        <v>0</v>
      </c>
      <c r="T27" s="491">
        <f t="shared" si="6"/>
        <v>0</v>
      </c>
      <c r="U27" s="491">
        <f t="shared" si="6"/>
        <v>0</v>
      </c>
      <c r="V27" s="491">
        <f>SUM(V19:V26)</f>
        <v>-4</v>
      </c>
      <c r="X27" s="492">
        <f t="shared" si="3"/>
        <v>0.20689655172413793</v>
      </c>
    </row>
    <row r="28" spans="1:24" ht="15.6" customHeight="1" thickTop="1">
      <c r="B28" s="407"/>
      <c r="C28" s="407"/>
      <c r="D28" s="407"/>
      <c r="E28" s="407"/>
      <c r="F28" s="407"/>
      <c r="G28" s="407"/>
      <c r="H28" s="407"/>
      <c r="I28" s="407"/>
      <c r="J28" s="407"/>
      <c r="K28" s="407"/>
      <c r="L28" s="407"/>
      <c r="M28" s="407"/>
      <c r="N28" s="407"/>
      <c r="O28" s="407"/>
      <c r="P28" s="407"/>
      <c r="Q28" s="407"/>
      <c r="R28" s="407"/>
      <c r="S28" s="407"/>
      <c r="T28" s="407"/>
      <c r="U28" s="407"/>
      <c r="V28" s="407"/>
      <c r="W28" s="407"/>
      <c r="X28" s="407"/>
    </row>
    <row r="29" spans="1:24">
      <c r="A29" s="391"/>
      <c r="B29" s="391"/>
      <c r="C29" s="391"/>
      <c r="D29" s="391"/>
      <c r="E29" s="391"/>
      <c r="F29" s="391"/>
      <c r="G29" s="391"/>
      <c r="H29" s="391"/>
      <c r="I29" s="391"/>
      <c r="J29" s="391"/>
      <c r="K29" s="391"/>
      <c r="L29" s="391"/>
      <c r="M29" s="391"/>
      <c r="N29" s="391"/>
      <c r="O29" s="391"/>
      <c r="P29" s="391"/>
      <c r="Q29" s="391"/>
      <c r="R29" s="391"/>
      <c r="S29" s="391"/>
      <c r="T29" s="391"/>
      <c r="U29" s="391"/>
      <c r="V29" s="391"/>
      <c r="W29" s="391"/>
      <c r="X29" s="407"/>
    </row>
    <row r="30" spans="1:24">
      <c r="A30" s="391"/>
      <c r="B30" s="391"/>
      <c r="C30" s="391"/>
      <c r="D30" s="391"/>
      <c r="E30" s="391"/>
      <c r="F30" s="391"/>
      <c r="G30" s="391"/>
      <c r="H30" s="1077" t="s">
        <v>226</v>
      </c>
      <c r="I30" s="1077"/>
      <c r="J30" s="1077"/>
      <c r="K30" s="1077"/>
      <c r="L30" s="1077"/>
      <c r="M30" s="1077"/>
      <c r="N30" s="1077"/>
      <c r="O30" s="1077"/>
      <c r="P30" s="1077"/>
      <c r="Q30" s="1077"/>
      <c r="R30" s="1077"/>
      <c r="S30" s="1077"/>
      <c r="T30" s="1077"/>
      <c r="U30" s="1077"/>
      <c r="V30" s="1077"/>
      <c r="W30" s="391"/>
      <c r="X30" s="407"/>
    </row>
    <row r="31" spans="1:24">
      <c r="A31" s="391"/>
      <c r="B31" s="613" t="s">
        <v>225</v>
      </c>
      <c r="C31" s="614" t="s">
        <v>212</v>
      </c>
      <c r="D31" s="391"/>
      <c r="E31" s="620"/>
      <c r="F31" s="620"/>
      <c r="G31" s="391"/>
      <c r="H31" s="484" t="s">
        <v>35</v>
      </c>
      <c r="I31" s="418" t="s">
        <v>36</v>
      </c>
      <c r="J31" s="418" t="s">
        <v>698</v>
      </c>
      <c r="K31" s="418" t="s">
        <v>699</v>
      </c>
      <c r="L31" s="418" t="s">
        <v>700</v>
      </c>
      <c r="M31" s="418" t="s">
        <v>701</v>
      </c>
      <c r="N31" s="418" t="s">
        <v>702</v>
      </c>
      <c r="O31" s="418" t="s">
        <v>703</v>
      </c>
      <c r="P31" s="418" t="s">
        <v>704</v>
      </c>
      <c r="Q31" s="418" t="s">
        <v>705</v>
      </c>
      <c r="R31" s="418" t="s">
        <v>706</v>
      </c>
      <c r="S31" s="418" t="s">
        <v>707</v>
      </c>
      <c r="T31" s="418" t="s">
        <v>708</v>
      </c>
      <c r="U31" s="418" t="s">
        <v>709</v>
      </c>
      <c r="V31" s="418" t="s">
        <v>710</v>
      </c>
      <c r="W31" s="391"/>
      <c r="X31" s="407"/>
    </row>
    <row r="32" spans="1:24" ht="14.65" customHeight="1">
      <c r="A32" s="391"/>
      <c r="B32" s="407" t="s">
        <v>38</v>
      </c>
      <c r="C32" s="419">
        <v>7976</v>
      </c>
      <c r="D32" s="391"/>
      <c r="E32" s="391"/>
      <c r="F32" s="391"/>
      <c r="G32" s="391"/>
      <c r="H32" s="414">
        <v>0</v>
      </c>
      <c r="I32" s="414">
        <v>0</v>
      </c>
      <c r="J32" s="414">
        <f>IF(J$31=Cover!$M$34,SUMIF('S&amp;B'!$B$11:$B$31,$B10,'S&amp;B'!$Q$11:$Q$31),0)</f>
        <v>0</v>
      </c>
      <c r="K32" s="414">
        <f>IF(K$31=Cover!$M$34,SUMIF('S&amp;B'!$B$11:$B$31,$B10,'S&amp;B'!$Q$11:$Q$31),0)</f>
        <v>0</v>
      </c>
      <c r="L32" s="414">
        <f>IF(L$31=Cover!$M$34,SUMIF('S&amp;B'!$B$11:$B$31,$B10,'S&amp;B'!$Q$11:$Q$31),0)</f>
        <v>0</v>
      </c>
      <c r="M32" s="414">
        <f>IF(M$31=Cover!$M$34,SUMIF('S&amp;B'!$B$11:$B$31,$B10,'S&amp;B'!$Q$11:$Q$31),0)</f>
        <v>0</v>
      </c>
      <c r="N32" s="414">
        <f>IF(N$31=Cover!$M$34,SUMIF('S&amp;B'!$B$11:$B$31,$B10,'S&amp;B'!$Q$11:$Q$31),0)</f>
        <v>0</v>
      </c>
      <c r="O32" s="414">
        <f>IF(O$31=Cover!$M$34,SUMIF('S&amp;B'!$B$11:$B$31,$B10,'S&amp;B'!$Q$11:$Q$31),0)</f>
        <v>0</v>
      </c>
      <c r="P32" s="414">
        <f>IF(P$31=Cover!$M$34,SUMIF('S&amp;B'!$B$11:$B$31,$B10,'S&amp;B'!$Q$11:$Q$31),0)</f>
        <v>0</v>
      </c>
      <c r="Q32" s="414">
        <f>IF(Q$31=Cover!$M$34,SUMIF('S&amp;B'!$B$11:$B$31,$B10,'S&amp;B'!$Q$11:$Q$31),0)</f>
        <v>0</v>
      </c>
      <c r="R32" s="414">
        <f>IF(R$31=Cover!$M$34,SUMIF('S&amp;B'!$B$11:$B$31,$B10,'S&amp;B'!$Q$11:$Q$31),0)</f>
        <v>0</v>
      </c>
      <c r="S32" s="414">
        <f>IF(S$31=Cover!$M$34,SUMIF('S&amp;B'!$B$11:$B$31,$B10,'S&amp;B'!$Q$11:$Q$31),0)</f>
        <v>0</v>
      </c>
      <c r="T32" s="414">
        <f>IF(T$31=Cover!$M$34,SUMIF('S&amp;B'!$B$11:$B$31,$B10,'S&amp;B'!$Q$11:$Q$31),0)</f>
        <v>0</v>
      </c>
      <c r="U32" s="414">
        <f>IF(U$31=Cover!$M$34,SUMIF('S&amp;B'!$B$11:$B$31,$B10,'S&amp;B'!$Q$11:$Q$31),0)</f>
        <v>0</v>
      </c>
      <c r="V32" s="468">
        <f>SUM(J32:U32)</f>
        <v>0</v>
      </c>
      <c r="W32" s="391"/>
      <c r="X32" s="407"/>
    </row>
    <row r="33" spans="1:24" ht="14.65" customHeight="1">
      <c r="A33" s="391"/>
      <c r="B33" s="462" t="s">
        <v>42</v>
      </c>
      <c r="C33" s="463">
        <v>7974</v>
      </c>
      <c r="D33" s="486"/>
      <c r="E33" s="486"/>
      <c r="F33" s="486"/>
      <c r="G33" s="486"/>
      <c r="H33" s="464">
        <v>0</v>
      </c>
      <c r="I33" s="464">
        <v>0</v>
      </c>
      <c r="J33" s="464">
        <f>IF(J$31=Cover!$M$34,SUMIF('S&amp;B'!$B$11:$B$31,$B11,'S&amp;B'!$Q$11:$Q$31),0)</f>
        <v>0</v>
      </c>
      <c r="K33" s="464">
        <f>IF(K$31=Cover!$M$34,SUMIF('S&amp;B'!$B$11:$B$31,$B11,'S&amp;B'!$Q$11:$Q$31),0)</f>
        <v>0</v>
      </c>
      <c r="L33" s="464">
        <f>IF(L$31=Cover!$M$34,SUMIF('S&amp;B'!$B$11:$B$31,$B11,'S&amp;B'!$Q$11:$Q$31),0)</f>
        <v>0</v>
      </c>
      <c r="M33" s="464">
        <f>IF(M$31=Cover!$M$34,SUMIF('S&amp;B'!$B$11:$B$31,$B11,'S&amp;B'!$Q$11:$Q$31),0)</f>
        <v>0</v>
      </c>
      <c r="N33" s="464">
        <f>IF(N$31=Cover!$M$34,SUMIF('S&amp;B'!$B$11:$B$31,$B11,'S&amp;B'!$Q$11:$Q$31),0)</f>
        <v>0</v>
      </c>
      <c r="O33" s="464">
        <f>IF(O$31=Cover!$M$34,SUMIF('S&amp;B'!$B$11:$B$31,$B11,'S&amp;B'!$Q$11:$Q$31),0)</f>
        <v>0</v>
      </c>
      <c r="P33" s="464">
        <f>IF(P$31=Cover!$M$34,SUMIF('S&amp;B'!$B$11:$B$31,$B11,'S&amp;B'!$Q$11:$Q$31),0)</f>
        <v>0</v>
      </c>
      <c r="Q33" s="464">
        <f>IF(Q$31=Cover!$M$34,SUMIF('S&amp;B'!$B$11:$B$31,$B11,'S&amp;B'!$Q$11:$Q$31),0)</f>
        <v>0</v>
      </c>
      <c r="R33" s="464">
        <f>IF(R$31=Cover!$M$34,SUMIF('S&amp;B'!$B$11:$B$31,$B11,'S&amp;B'!$Q$11:$Q$31),0)</f>
        <v>0</v>
      </c>
      <c r="S33" s="464">
        <f>IF(S$31=Cover!$M$34,SUMIF('S&amp;B'!$B$11:$B$31,$B11,'S&amp;B'!$Q$11:$Q$31),0)</f>
        <v>0</v>
      </c>
      <c r="T33" s="464">
        <f>IF(T$31=Cover!$M$34,SUMIF('S&amp;B'!$B$11:$B$31,$B11,'S&amp;B'!$Q$11:$Q$31),0)</f>
        <v>0</v>
      </c>
      <c r="U33" s="464">
        <f>IF(U$31=Cover!$M$34,SUMIF('S&amp;B'!$B$11:$B$31,$B11,'S&amp;B'!$Q$11:$Q$31),0)</f>
        <v>0</v>
      </c>
      <c r="V33" s="468">
        <f t="shared" ref="V33:V42" si="7">SUM(J33:U33)</f>
        <v>0</v>
      </c>
      <c r="W33" s="391"/>
      <c r="X33" s="407"/>
    </row>
    <row r="34" spans="1:24" ht="14.65" customHeight="1">
      <c r="A34" s="391"/>
      <c r="B34" s="407" t="s">
        <v>43</v>
      </c>
      <c r="C34" s="419">
        <v>7972</v>
      </c>
      <c r="D34" s="391"/>
      <c r="E34" s="391"/>
      <c r="F34" s="391"/>
      <c r="G34" s="391"/>
      <c r="H34" s="414">
        <v>0</v>
      </c>
      <c r="I34" s="414">
        <v>0</v>
      </c>
      <c r="J34" s="414">
        <f>IF(J$31=Cover!$M$34,SUMIF('S&amp;B'!$B$11:$B$31,$B12,'S&amp;B'!$Q$11:$Q$31),0)</f>
        <v>-1</v>
      </c>
      <c r="K34" s="414">
        <f>IF(K$31=Cover!$M$34,SUMIF('S&amp;B'!$B$11:$B$31,$B12,'S&amp;B'!$Q$11:$Q$31),0)</f>
        <v>0</v>
      </c>
      <c r="L34" s="414">
        <f>IF(L$31=Cover!$M$34,SUMIF('S&amp;B'!$B$11:$B$31,$B12,'S&amp;B'!$Q$11:$Q$31),0)</f>
        <v>0</v>
      </c>
      <c r="M34" s="414">
        <f>IF(M$31=Cover!$M$34,SUMIF('S&amp;B'!$B$11:$B$31,$B12,'S&amp;B'!$Q$11:$Q$31),0)</f>
        <v>0</v>
      </c>
      <c r="N34" s="414">
        <f>IF(N$31=Cover!$M$34,SUMIF('S&amp;B'!$B$11:$B$31,$B12,'S&amp;B'!$Q$11:$Q$31),0)</f>
        <v>0</v>
      </c>
      <c r="O34" s="414">
        <f>IF(O$31=Cover!$M$34,SUMIF('S&amp;B'!$B$11:$B$31,$B12,'S&amp;B'!$Q$11:$Q$31),0)</f>
        <v>0</v>
      </c>
      <c r="P34" s="414">
        <f>IF(P$31=Cover!$M$34,SUMIF('S&amp;B'!$B$11:$B$31,$B12,'S&amp;B'!$Q$11:$Q$31),0)</f>
        <v>0</v>
      </c>
      <c r="Q34" s="414">
        <f>IF(Q$31=Cover!$M$34,SUMIF('S&amp;B'!$B$11:$B$31,$B12,'S&amp;B'!$Q$11:$Q$31),0)</f>
        <v>0</v>
      </c>
      <c r="R34" s="414">
        <f>IF(R$31=Cover!$M$34,SUMIF('S&amp;B'!$B$11:$B$31,$B12,'S&amp;B'!$Q$11:$Q$31),0)</f>
        <v>0</v>
      </c>
      <c r="S34" s="414">
        <f>IF(S$31=Cover!$M$34,SUMIF('S&amp;B'!$B$11:$B$31,$B12,'S&amp;B'!$Q$11:$Q$31),0)</f>
        <v>0</v>
      </c>
      <c r="T34" s="414">
        <f>IF(T$31=Cover!$M$34,SUMIF('S&amp;B'!$B$11:$B$31,$B12,'S&amp;B'!$Q$11:$Q$31),0)</f>
        <v>0</v>
      </c>
      <c r="U34" s="414">
        <f>IF(U$31=Cover!$M$34,SUMIF('S&amp;B'!$B$11:$B$31,$B12,'S&amp;B'!$Q$11:$Q$31),0)</f>
        <v>0</v>
      </c>
      <c r="V34" s="468">
        <f t="shared" si="7"/>
        <v>-1</v>
      </c>
      <c r="W34" s="391"/>
      <c r="X34" s="407"/>
    </row>
    <row r="35" spans="1:24" ht="14.65" customHeight="1">
      <c r="A35" s="391"/>
      <c r="B35" s="462" t="s">
        <v>44</v>
      </c>
      <c r="C35" s="463">
        <v>7973</v>
      </c>
      <c r="D35" s="486"/>
      <c r="E35" s="486"/>
      <c r="F35" s="486"/>
      <c r="G35" s="486"/>
      <c r="H35" s="464">
        <v>0</v>
      </c>
      <c r="I35" s="464">
        <v>0</v>
      </c>
      <c r="J35" s="464">
        <f>IF(J$31=Cover!$M$34,SUMIF('S&amp;B'!$B$11:$B$31,$B13,'S&amp;B'!$Q$11:$Q$31),0)</f>
        <v>0</v>
      </c>
      <c r="K35" s="464">
        <f>IF(K$31=Cover!$M$34,SUMIF('S&amp;B'!$B$11:$B$31,$B13,'S&amp;B'!$Q$11:$Q$31),0)</f>
        <v>0</v>
      </c>
      <c r="L35" s="464">
        <f>IF(L$31=Cover!$M$34,SUMIF('S&amp;B'!$B$11:$B$31,$B13,'S&amp;B'!$Q$11:$Q$31),0)</f>
        <v>0</v>
      </c>
      <c r="M35" s="464">
        <f>IF(M$31=Cover!$M$34,SUMIF('S&amp;B'!$B$11:$B$31,$B13,'S&amp;B'!$Q$11:$Q$31),0)</f>
        <v>0</v>
      </c>
      <c r="N35" s="464">
        <f>IF(N$31=Cover!$M$34,SUMIF('S&amp;B'!$B$11:$B$31,$B13,'S&amp;B'!$Q$11:$Q$31),0)</f>
        <v>0</v>
      </c>
      <c r="O35" s="464">
        <f>IF(O$31=Cover!$M$34,SUMIF('S&amp;B'!$B$11:$B$31,$B13,'S&amp;B'!$Q$11:$Q$31),0)</f>
        <v>0</v>
      </c>
      <c r="P35" s="464">
        <f>IF(P$31=Cover!$M$34,SUMIF('S&amp;B'!$B$11:$B$31,$B13,'S&amp;B'!$Q$11:$Q$31),0)</f>
        <v>0</v>
      </c>
      <c r="Q35" s="464">
        <f>IF(Q$31=Cover!$M$34,SUMIF('S&amp;B'!$B$11:$B$31,$B13,'S&amp;B'!$Q$11:$Q$31),0)</f>
        <v>0</v>
      </c>
      <c r="R35" s="464">
        <f>IF(R$31=Cover!$M$34,SUMIF('S&amp;B'!$B$11:$B$31,$B13,'S&amp;B'!$Q$11:$Q$31),0)</f>
        <v>0</v>
      </c>
      <c r="S35" s="464">
        <f>IF(S$31=Cover!$M$34,SUMIF('S&amp;B'!$B$11:$B$31,$B13,'S&amp;B'!$Q$11:$Q$31),0)</f>
        <v>0</v>
      </c>
      <c r="T35" s="464">
        <f>IF(T$31=Cover!$M$34,SUMIF('S&amp;B'!$B$11:$B$31,$B13,'S&amp;B'!$Q$11:$Q$31),0)</f>
        <v>0</v>
      </c>
      <c r="U35" s="464">
        <f>IF(U$31=Cover!$M$34,SUMIF('S&amp;B'!$B$11:$B$31,$B13,'S&amp;B'!$Q$11:$Q$31),0)</f>
        <v>0</v>
      </c>
      <c r="V35" s="468">
        <f t="shared" si="7"/>
        <v>0</v>
      </c>
      <c r="W35" s="391"/>
      <c r="X35" s="407"/>
    </row>
    <row r="36" spans="1:24" ht="14.65" customHeight="1">
      <c r="A36" s="391"/>
      <c r="B36" s="407" t="s">
        <v>22</v>
      </c>
      <c r="C36" s="419">
        <v>17643</v>
      </c>
      <c r="D36" s="391"/>
      <c r="E36" s="391"/>
      <c r="F36" s="391"/>
      <c r="G36" s="391"/>
      <c r="H36" s="414">
        <v>0</v>
      </c>
      <c r="I36" s="414">
        <v>0</v>
      </c>
      <c r="J36" s="414">
        <f>IF(J$31=Cover!$M$34,SUMIF('S&amp;B'!$B$11:$B$31,$B14,'S&amp;B'!$Q$11:$Q$31),0)</f>
        <v>0</v>
      </c>
      <c r="K36" s="414">
        <f>IF(K$31=Cover!$M$34,SUMIF('S&amp;B'!$B$11:$B$31,$B14,'S&amp;B'!$Q$11:$Q$31),0)</f>
        <v>0</v>
      </c>
      <c r="L36" s="414">
        <f>IF(L$31=Cover!$M$34,SUMIF('S&amp;B'!$B$11:$B$31,$B14,'S&amp;B'!$Q$11:$Q$31),0)</f>
        <v>0</v>
      </c>
      <c r="M36" s="414">
        <f>IF(M$31=Cover!$M$34,SUMIF('S&amp;B'!$B$11:$B$31,$B14,'S&amp;B'!$Q$11:$Q$31),0)</f>
        <v>0</v>
      </c>
      <c r="N36" s="414">
        <f>IF(N$31=Cover!$M$34,SUMIF('S&amp;B'!$B$11:$B$31,$B14,'S&amp;B'!$Q$11:$Q$31),0)</f>
        <v>0</v>
      </c>
      <c r="O36" s="414">
        <f>IF(O$31=Cover!$M$34,SUMIF('S&amp;B'!$B$11:$B$31,$B14,'S&amp;B'!$Q$11:$Q$31),0)</f>
        <v>0</v>
      </c>
      <c r="P36" s="414">
        <f>IF(P$31=Cover!$M$34,SUMIF('S&amp;B'!$B$11:$B$31,$B14,'S&amp;B'!$Q$11:$Q$31),0)</f>
        <v>0</v>
      </c>
      <c r="Q36" s="414">
        <f>IF(Q$31=Cover!$M$34,SUMIF('S&amp;B'!$B$11:$B$31,$B14,'S&amp;B'!$Q$11:$Q$31),0)</f>
        <v>0</v>
      </c>
      <c r="R36" s="414">
        <f>IF(R$31=Cover!$M$34,SUMIF('S&amp;B'!$B$11:$B$31,$B14,'S&amp;B'!$Q$11:$Q$31),0)</f>
        <v>0</v>
      </c>
      <c r="S36" s="414">
        <f>IF(S$31=Cover!$M$34,SUMIF('S&amp;B'!$B$11:$B$31,$B14,'S&amp;B'!$Q$11:$Q$31),0)</f>
        <v>0</v>
      </c>
      <c r="T36" s="414">
        <f>IF(T$31=Cover!$M$34,SUMIF('S&amp;B'!$B$11:$B$31,$B14,'S&amp;B'!$Q$11:$Q$31),0)</f>
        <v>0</v>
      </c>
      <c r="U36" s="414">
        <f>IF(U$31=Cover!$M$34,SUMIF('S&amp;B'!$B$11:$B$31,$B14,'S&amp;B'!$Q$11:$Q$31),0)</f>
        <v>0</v>
      </c>
      <c r="V36" s="468">
        <f t="shared" si="7"/>
        <v>0</v>
      </c>
      <c r="W36" s="391"/>
      <c r="X36" s="407"/>
    </row>
    <row r="37" spans="1:24" ht="14.65" customHeight="1">
      <c r="A37" s="391"/>
      <c r="B37" s="462" t="s">
        <v>45</v>
      </c>
      <c r="C37" s="463" t="s">
        <v>217</v>
      </c>
      <c r="D37" s="486"/>
      <c r="E37" s="486"/>
      <c r="F37" s="486"/>
      <c r="G37" s="486"/>
      <c r="H37" s="464">
        <v>0</v>
      </c>
      <c r="I37" s="464">
        <v>0</v>
      </c>
      <c r="J37" s="464">
        <f>IF(J$31=Cover!$M$34,SUMIF('S&amp;B'!$B$11:$B$31,$B15,'S&amp;B'!$Q$11:$Q$31),0)</f>
        <v>0</v>
      </c>
      <c r="K37" s="464">
        <f>IF(K$31=Cover!$M$34,SUMIF('S&amp;B'!$B$11:$B$31,$B15,'S&amp;B'!$Q$11:$Q$31),0)</f>
        <v>0</v>
      </c>
      <c r="L37" s="464">
        <f>IF(L$31=Cover!$M$34,SUMIF('S&amp;B'!$B$11:$B$31,$B15,'S&amp;B'!$Q$11:$Q$31),0)</f>
        <v>0</v>
      </c>
      <c r="M37" s="464">
        <f>IF(M$31=Cover!$M$34,SUMIF('S&amp;B'!$B$11:$B$31,$B15,'S&amp;B'!$Q$11:$Q$31),0)</f>
        <v>0</v>
      </c>
      <c r="N37" s="464">
        <f>IF(N$31=Cover!$M$34,SUMIF('S&amp;B'!$B$11:$B$31,$B15,'S&amp;B'!$Q$11:$Q$31),0)</f>
        <v>0</v>
      </c>
      <c r="O37" s="464">
        <f>IF(O$31=Cover!$M$34,SUMIF('S&amp;B'!$B$11:$B$31,$B15,'S&amp;B'!$Q$11:$Q$31),0)</f>
        <v>0</v>
      </c>
      <c r="P37" s="464">
        <f>IF(P$31=Cover!$M$34,SUMIF('S&amp;B'!$B$11:$B$31,$B15,'S&amp;B'!$Q$11:$Q$31),0)</f>
        <v>0</v>
      </c>
      <c r="Q37" s="464">
        <f>IF(Q$31=Cover!$M$34,SUMIF('S&amp;B'!$B$11:$B$31,$B15,'S&amp;B'!$Q$11:$Q$31),0)</f>
        <v>0</v>
      </c>
      <c r="R37" s="464">
        <f>IF(R$31=Cover!$M$34,SUMIF('S&amp;B'!$B$11:$B$31,$B15,'S&amp;B'!$Q$11:$Q$31),0)</f>
        <v>0</v>
      </c>
      <c r="S37" s="464">
        <f>IF(S$31=Cover!$M$34,SUMIF('S&amp;B'!$B$11:$B$31,$B15,'S&amp;B'!$Q$11:$Q$31),0)</f>
        <v>0</v>
      </c>
      <c r="T37" s="464">
        <f>IF(T$31=Cover!$M$34,SUMIF('S&amp;B'!$B$11:$B$31,$B15,'S&amp;B'!$Q$11:$Q$31),0)</f>
        <v>0</v>
      </c>
      <c r="U37" s="464">
        <f>IF(U$31=Cover!$M$34,SUMIF('S&amp;B'!$B$11:$B$31,$B15,'S&amp;B'!$Q$11:$Q$31),0)</f>
        <v>0</v>
      </c>
      <c r="V37" s="468">
        <f t="shared" si="7"/>
        <v>0</v>
      </c>
      <c r="W37" s="391"/>
      <c r="X37" s="407"/>
    </row>
    <row r="38" spans="1:24" ht="14.65" customHeight="1">
      <c r="A38" s="391"/>
      <c r="B38" s="407" t="s">
        <v>47</v>
      </c>
      <c r="C38" s="419">
        <v>7979</v>
      </c>
      <c r="D38" s="391"/>
      <c r="E38" s="391"/>
      <c r="F38" s="391"/>
      <c r="G38" s="391"/>
      <c r="H38" s="414">
        <v>0</v>
      </c>
      <c r="I38" s="414">
        <v>0</v>
      </c>
      <c r="J38" s="414">
        <f>IF(J$31=Cover!$M$34,SUMIF('S&amp;B'!$B$11:$B$31,$B16,'S&amp;B'!$Q$11:$Q$31),0)</f>
        <v>0</v>
      </c>
      <c r="K38" s="414">
        <f>IF(K$31=Cover!$M$34,SUMIF('S&amp;B'!$B$11:$B$31,$B16,'S&amp;B'!$Q$11:$Q$31),0)</f>
        <v>0</v>
      </c>
      <c r="L38" s="414">
        <f>IF(L$31=Cover!$M$34,SUMIF('S&amp;B'!$B$11:$B$31,$B16,'S&amp;B'!$Q$11:$Q$31),0)</f>
        <v>0</v>
      </c>
      <c r="M38" s="414">
        <f>IF(M$31=Cover!$M$34,SUMIF('S&amp;B'!$B$11:$B$31,$B16,'S&amp;B'!$Q$11:$Q$31),0)</f>
        <v>0</v>
      </c>
      <c r="N38" s="414">
        <f>IF(N$31=Cover!$M$34,SUMIF('S&amp;B'!$B$11:$B$31,$B16,'S&amp;B'!$Q$11:$Q$31),0)</f>
        <v>0</v>
      </c>
      <c r="O38" s="414">
        <f>IF(O$31=Cover!$M$34,SUMIF('S&amp;B'!$B$11:$B$31,$B16,'S&amp;B'!$Q$11:$Q$31),0)</f>
        <v>0</v>
      </c>
      <c r="P38" s="414">
        <f>IF(P$31=Cover!$M$34,SUMIF('S&amp;B'!$B$11:$B$31,$B16,'S&amp;B'!$Q$11:$Q$31),0)</f>
        <v>0</v>
      </c>
      <c r="Q38" s="414">
        <f>IF(Q$31=Cover!$M$34,SUMIF('S&amp;B'!$B$11:$B$31,$B16,'S&amp;B'!$Q$11:$Q$31),0)</f>
        <v>0</v>
      </c>
      <c r="R38" s="414">
        <f>IF(R$31=Cover!$M$34,SUMIF('S&amp;B'!$B$11:$B$31,$B16,'S&amp;B'!$Q$11:$Q$31),0)</f>
        <v>0</v>
      </c>
      <c r="S38" s="414">
        <f>IF(S$31=Cover!$M$34,SUMIF('S&amp;B'!$B$11:$B$31,$B16,'S&amp;B'!$Q$11:$Q$31),0)</f>
        <v>0</v>
      </c>
      <c r="T38" s="414">
        <f>IF(T$31=Cover!$M$34,SUMIF('S&amp;B'!$B$11:$B$31,$B16,'S&amp;B'!$Q$11:$Q$31),0)</f>
        <v>0</v>
      </c>
      <c r="U38" s="414">
        <f>IF(U$31=Cover!$M$34,SUMIF('S&amp;B'!$B$11:$B$31,$B16,'S&amp;B'!$Q$11:$Q$31),0)</f>
        <v>0</v>
      </c>
      <c r="V38" s="468">
        <f t="shared" si="7"/>
        <v>0</v>
      </c>
      <c r="W38" s="391"/>
      <c r="X38" s="407"/>
    </row>
    <row r="39" spans="1:24" ht="14.65" customHeight="1">
      <c r="A39" s="391"/>
      <c r="B39" s="462" t="s">
        <v>78</v>
      </c>
      <c r="C39" s="603" t="s">
        <v>79</v>
      </c>
      <c r="D39" s="486"/>
      <c r="E39" s="486"/>
      <c r="F39" s="486"/>
      <c r="G39" s="464">
        <f>IF(G$31=Cover!$M$34,SUMIF('S&amp;B'!$B$11:$B$31,#REF!,'S&amp;B'!$Q$11:$Q$31),0)</f>
        <v>0</v>
      </c>
      <c r="H39" s="464">
        <v>0</v>
      </c>
      <c r="I39" s="464">
        <v>0</v>
      </c>
      <c r="J39" s="464">
        <f>IF(J$31=Cover!$M$34,SUMIF('S&amp;B'!$B$11:$B$31,#REF!,'S&amp;B'!$Q$11:$Q$31),0)</f>
        <v>0</v>
      </c>
      <c r="K39" s="464">
        <f>IF(K$31=Cover!$M$34,SUMIF('S&amp;B'!$B$11:$B$31,#REF!,'S&amp;B'!$Q$11:$Q$31),0)</f>
        <v>0</v>
      </c>
      <c r="L39" s="464">
        <f>IF(L$31=Cover!$M$34,SUMIF('S&amp;B'!$B$11:$B$31,#REF!,'S&amp;B'!$Q$11:$Q$31),0)</f>
        <v>0</v>
      </c>
      <c r="M39" s="464">
        <f>IF(M$31=Cover!$M$34,SUMIF('S&amp;B'!$B$11:$B$31,#REF!,'S&amp;B'!$Q$11:$Q$31),0)</f>
        <v>0</v>
      </c>
      <c r="N39" s="464">
        <f>IF(N$31=Cover!$M$34,SUMIF('S&amp;B'!$B$11:$B$31,#REF!,'S&amp;B'!$Q$11:$Q$31),0)</f>
        <v>0</v>
      </c>
      <c r="O39" s="464">
        <f>IF(O$31=Cover!$M$34,SUMIF('S&amp;B'!$B$11:$B$31,#REF!,'S&amp;B'!$Q$11:$Q$31),0)</f>
        <v>0</v>
      </c>
      <c r="P39" s="464">
        <f>IF(P$31=Cover!$M$34,SUMIF('S&amp;B'!$B$11:$B$31,#REF!,'S&amp;B'!$Q$11:$Q$31),0)</f>
        <v>0</v>
      </c>
      <c r="Q39" s="464">
        <f>IF(Q$31=Cover!$M$34,SUMIF('S&amp;B'!$B$11:$B$31,#REF!,'S&amp;B'!$Q$11:$Q$31),0)</f>
        <v>0</v>
      </c>
      <c r="R39" s="464">
        <f>IF(R$31=Cover!$M$34,SUMIF('S&amp;B'!$B$11:$B$31,#REF!,'S&amp;B'!$Q$11:$Q$31),0)</f>
        <v>0</v>
      </c>
      <c r="S39" s="464">
        <f>IF(S$31=Cover!$M$34,SUMIF('S&amp;B'!$B$11:$B$31,#REF!,'S&amp;B'!$Q$11:$Q$31),0)</f>
        <v>0</v>
      </c>
      <c r="T39" s="464">
        <f>IF(T$31=Cover!$M$34,SUMIF('S&amp;B'!$B$11:$B$31,#REF!,'S&amp;B'!$Q$11:$Q$31),0)</f>
        <v>0</v>
      </c>
      <c r="U39" s="464">
        <f>IF(U$31=Cover!$M$34,SUMIF('S&amp;B'!$B$11:$B$31,#REF!,'S&amp;B'!$Q$11:$Q$31),0)</f>
        <v>0</v>
      </c>
      <c r="V39" s="468">
        <f t="shared" si="7"/>
        <v>0</v>
      </c>
      <c r="W39" s="391"/>
      <c r="X39" s="407"/>
    </row>
    <row r="40" spans="1:24" ht="14.65" customHeight="1">
      <c r="A40" s="391"/>
      <c r="B40" s="407" t="s">
        <v>227</v>
      </c>
      <c r="C40" s="419">
        <v>8546</v>
      </c>
      <c r="D40" s="391"/>
      <c r="E40" s="391"/>
      <c r="F40" s="391"/>
      <c r="G40" s="391"/>
      <c r="H40" s="414">
        <v>0</v>
      </c>
      <c r="I40" s="414">
        <v>0</v>
      </c>
      <c r="J40" s="414">
        <f>IF(J$31=Cover!$M$34,SUMIF('S&amp;B'!$B$11:$B$31,#REF!,'S&amp;B'!$Q$11:$Q$31),0)</f>
        <v>0</v>
      </c>
      <c r="K40" s="414">
        <f>IF(K$31=Cover!$M$34,SUMIF('S&amp;B'!$B$11:$B$31,#REF!,'S&amp;B'!$Q$11:$Q$31),0)</f>
        <v>0</v>
      </c>
      <c r="L40" s="414">
        <f>IF(L$31=Cover!$M$34,SUMIF('S&amp;B'!$B$11:$B$31,#REF!,'S&amp;B'!$Q$11:$Q$31),0)</f>
        <v>0</v>
      </c>
      <c r="M40" s="414">
        <f>IF(M$31=Cover!$M$34,SUMIF('S&amp;B'!$B$11:$B$31,#REF!,'S&amp;B'!$Q$11:$Q$31),0)</f>
        <v>0</v>
      </c>
      <c r="N40" s="414">
        <f>IF(N$31=Cover!$M$34,SUMIF('S&amp;B'!$B$11:$B$31,#REF!,'S&amp;B'!$Q$11:$Q$31),0)</f>
        <v>0</v>
      </c>
      <c r="O40" s="414">
        <f>IF(O$31=Cover!$M$34,SUMIF('S&amp;B'!$B$11:$B$31,#REF!,'S&amp;B'!$Q$11:$Q$31),0)</f>
        <v>0</v>
      </c>
      <c r="P40" s="414">
        <f>IF(P$31=Cover!$M$34,SUMIF('S&amp;B'!$B$11:$B$31,#REF!,'S&amp;B'!$Q$11:$Q$31),0)</f>
        <v>0</v>
      </c>
      <c r="Q40" s="414">
        <f>IF(Q$31=Cover!$M$34,SUMIF('S&amp;B'!$B$11:$B$31,#REF!,'S&amp;B'!$Q$11:$Q$31),0)</f>
        <v>0</v>
      </c>
      <c r="R40" s="414">
        <f>IF(R$31=Cover!$M$34,SUMIF('S&amp;B'!$B$11:$B$31,#REF!,'S&amp;B'!$Q$11:$Q$31),0)</f>
        <v>0</v>
      </c>
      <c r="S40" s="414">
        <f>IF(S$31=Cover!$M$34,SUMIF('S&amp;B'!$B$11:$B$31,#REF!,'S&amp;B'!$Q$11:$Q$31),0)</f>
        <v>0</v>
      </c>
      <c r="T40" s="414">
        <f>IF(T$31=Cover!$M$34,SUMIF('S&amp;B'!$B$11:$B$31,#REF!,'S&amp;B'!$Q$11:$Q$31),0)</f>
        <v>0</v>
      </c>
      <c r="U40" s="414">
        <f>IF(U$31=Cover!$M$34,SUMIF('S&amp;B'!$B$11:$B$31,#REF!,'S&amp;B'!$Q$11:$Q$31),0)</f>
        <v>0</v>
      </c>
      <c r="V40" s="468">
        <f t="shared" si="7"/>
        <v>0</v>
      </c>
      <c r="W40" s="391"/>
      <c r="X40" s="407"/>
    </row>
    <row r="41" spans="1:24">
      <c r="A41" s="391"/>
      <c r="B41" s="462" t="s">
        <v>48</v>
      </c>
      <c r="C41" s="463">
        <v>8545</v>
      </c>
      <c r="D41" s="486"/>
      <c r="E41" s="486"/>
      <c r="F41" s="486"/>
      <c r="G41" s="486"/>
      <c r="H41" s="464">
        <v>0</v>
      </c>
      <c r="I41" s="464">
        <v>0</v>
      </c>
      <c r="J41" s="464">
        <f>IF(J$31=Cover!$M$34,SUMIF('S&amp;B'!$B$11:$B$31,$B17,'S&amp;B'!$Q$11:$Q$31),0)</f>
        <v>0</v>
      </c>
      <c r="K41" s="464">
        <f>IF(K$31=Cover!$M$34,SUMIF('S&amp;B'!$B$11:$B$31,$B17,'S&amp;B'!$Q$11:$Q$31),0)</f>
        <v>0</v>
      </c>
      <c r="L41" s="464">
        <f>IF(L$31=Cover!$M$34,SUMIF('S&amp;B'!$B$11:$B$31,$B17,'S&amp;B'!$Q$11:$Q$31),0)</f>
        <v>0</v>
      </c>
      <c r="M41" s="464">
        <f>IF(M$31=Cover!$M$34,SUMIF('S&amp;B'!$B$11:$B$31,$B17,'S&amp;B'!$Q$11:$Q$31),0)</f>
        <v>0</v>
      </c>
      <c r="N41" s="464">
        <f>IF(N$31=Cover!$M$34,SUMIF('S&amp;B'!$B$11:$B$31,$B17,'S&amp;B'!$Q$11:$Q$31),0)</f>
        <v>0</v>
      </c>
      <c r="O41" s="464">
        <f>IF(O$31=Cover!$M$34,SUMIF('S&amp;B'!$B$11:$B$31,$B17,'S&amp;B'!$Q$11:$Q$31),0)</f>
        <v>0</v>
      </c>
      <c r="P41" s="464">
        <f>IF(P$31=Cover!$M$34,SUMIF('S&amp;B'!$B$11:$B$31,$B17,'S&amp;B'!$Q$11:$Q$31),0)</f>
        <v>0</v>
      </c>
      <c r="Q41" s="464">
        <f>IF(Q$31=Cover!$M$34,SUMIF('S&amp;B'!$B$11:$B$31,$B17,'S&amp;B'!$Q$11:$Q$31),0)</f>
        <v>0</v>
      </c>
      <c r="R41" s="464">
        <f>IF(R$31=Cover!$M$34,SUMIF('S&amp;B'!$B$11:$B$31,$B17,'S&amp;B'!$Q$11:$Q$31),0)</f>
        <v>0</v>
      </c>
      <c r="S41" s="464">
        <f>IF(S$31=Cover!$M$34,SUMIF('S&amp;B'!$B$11:$B$31,$B17,'S&amp;B'!$Q$11:$Q$31),0)</f>
        <v>0</v>
      </c>
      <c r="T41" s="464">
        <f>IF(T$31=Cover!$M$34,SUMIF('S&amp;B'!$B$11:$B$31,$B17,'S&amp;B'!$Q$11:$Q$31),0)</f>
        <v>0</v>
      </c>
      <c r="U41" s="464">
        <f>IF(U$31=Cover!$M$34,SUMIF('S&amp;B'!$B$11:$B$31,$B17,'S&amp;B'!$Q$11:$Q$31),0)</f>
        <v>0</v>
      </c>
      <c r="V41" s="468">
        <f t="shared" si="7"/>
        <v>0</v>
      </c>
      <c r="W41" s="391"/>
      <c r="X41" s="407"/>
    </row>
    <row r="42" spans="1:24">
      <c r="A42" s="391"/>
      <c r="B42" s="459" t="s">
        <v>49</v>
      </c>
      <c r="C42" s="460">
        <v>7850</v>
      </c>
      <c r="D42" s="391"/>
      <c r="E42" s="487"/>
      <c r="F42" s="487"/>
      <c r="G42" s="391"/>
      <c r="H42" s="414">
        <v>0</v>
      </c>
      <c r="I42" s="414">
        <v>0</v>
      </c>
      <c r="J42" s="414">
        <f>IF(J$31=Cover!$M$34,SUMIF('S&amp;B'!$B$11:$B$31,$B18,'S&amp;B'!$Q$11:$Q$31),0)</f>
        <v>0</v>
      </c>
      <c r="K42" s="414">
        <f>IF(K$31=Cover!$M$34,SUMIF('S&amp;B'!$B$11:$B$31,$B18,'S&amp;B'!$Q$11:$Q$31),0)</f>
        <v>0</v>
      </c>
      <c r="L42" s="414">
        <f>IF(L$31=Cover!$M$34,SUMIF('S&amp;B'!$B$11:$B$31,$B18,'S&amp;B'!$Q$11:$Q$31),0)</f>
        <v>0</v>
      </c>
      <c r="M42" s="414">
        <f>IF(M$31=Cover!$M$34,SUMIF('S&amp;B'!$B$11:$B$31,$B18,'S&amp;B'!$Q$11:$Q$31),0)</f>
        <v>0</v>
      </c>
      <c r="N42" s="414">
        <f>IF(N$31=Cover!$M$34,SUMIF('S&amp;B'!$B$11:$B$31,$B18,'S&amp;B'!$Q$11:$Q$31),0)</f>
        <v>0</v>
      </c>
      <c r="O42" s="414">
        <f>IF(O$31=Cover!$M$34,SUMIF('S&amp;B'!$B$11:$B$31,$B18,'S&amp;B'!$Q$11:$Q$31),0)</f>
        <v>0</v>
      </c>
      <c r="P42" s="414">
        <f>IF(P$31=Cover!$M$34,SUMIF('S&amp;B'!$B$11:$B$31,$B18,'S&amp;B'!$Q$11:$Q$31),0)</f>
        <v>0</v>
      </c>
      <c r="Q42" s="414">
        <f>IF(Q$31=Cover!$M$34,SUMIF('S&amp;B'!$B$11:$B$31,$B18,'S&amp;B'!$Q$11:$Q$31),0)</f>
        <v>0</v>
      </c>
      <c r="R42" s="414">
        <f>IF(R$31=Cover!$M$34,SUMIF('S&amp;B'!$B$11:$B$31,$B18,'S&amp;B'!$Q$11:$Q$31),0)</f>
        <v>0</v>
      </c>
      <c r="S42" s="414">
        <f>IF(S$31=Cover!$M$34,SUMIF('S&amp;B'!$B$11:$B$31,$B18,'S&amp;B'!$Q$11:$Q$31),0)</f>
        <v>0</v>
      </c>
      <c r="T42" s="414">
        <f>IF(T$31=Cover!$M$34,SUMIF('S&amp;B'!$B$11:$B$31,$B18,'S&amp;B'!$Q$11:$Q$31),0)</f>
        <v>0</v>
      </c>
      <c r="U42" s="414">
        <f>IF(U$31=Cover!$M$34,SUMIF('S&amp;B'!$B$11:$B$31,$B18,'S&amp;B'!$Q$11:$Q$31),0)</f>
        <v>0</v>
      </c>
      <c r="V42" s="468">
        <f t="shared" si="7"/>
        <v>0</v>
      </c>
      <c r="W42" s="391"/>
      <c r="X42" s="407"/>
    </row>
    <row r="43" spans="1:24">
      <c r="A43" s="391"/>
      <c r="B43" s="615" t="s">
        <v>221</v>
      </c>
      <c r="C43" s="621"/>
      <c r="D43" s="391"/>
      <c r="E43" s="622"/>
      <c r="F43" s="622"/>
      <c r="G43" s="391"/>
      <c r="H43" s="617">
        <f t="shared" ref="H43:T43" si="8">SUM(H32:H42)</f>
        <v>0</v>
      </c>
      <c r="I43" s="617">
        <f t="shared" si="8"/>
        <v>0</v>
      </c>
      <c r="J43" s="617">
        <f t="shared" si="8"/>
        <v>-1</v>
      </c>
      <c r="K43" s="617">
        <f t="shared" si="8"/>
        <v>0</v>
      </c>
      <c r="L43" s="617">
        <f t="shared" si="8"/>
        <v>0</v>
      </c>
      <c r="M43" s="617">
        <f t="shared" si="8"/>
        <v>0</v>
      </c>
      <c r="N43" s="617">
        <f t="shared" si="8"/>
        <v>0</v>
      </c>
      <c r="O43" s="617">
        <f t="shared" si="8"/>
        <v>0</v>
      </c>
      <c r="P43" s="617">
        <f t="shared" si="8"/>
        <v>0</v>
      </c>
      <c r="Q43" s="617">
        <f t="shared" si="8"/>
        <v>0</v>
      </c>
      <c r="R43" s="617">
        <f t="shared" si="8"/>
        <v>0</v>
      </c>
      <c r="S43" s="617">
        <f t="shared" si="8"/>
        <v>0</v>
      </c>
      <c r="T43" s="617">
        <f t="shared" si="8"/>
        <v>0</v>
      </c>
      <c r="U43" s="617">
        <f t="shared" ref="U43:V43" si="9">SUM(U32:U42)</f>
        <v>0</v>
      </c>
      <c r="V43" s="617">
        <f t="shared" si="9"/>
        <v>-1</v>
      </c>
      <c r="W43" s="391"/>
      <c r="X43" s="407"/>
    </row>
    <row r="44" spans="1:24">
      <c r="A44" s="391"/>
      <c r="B44" s="420"/>
      <c r="C44" s="419"/>
      <c r="D44" s="391"/>
      <c r="E44" s="391"/>
      <c r="F44" s="391"/>
      <c r="G44" s="391"/>
      <c r="H44" s="407"/>
      <c r="I44" s="407"/>
      <c r="J44" s="407"/>
      <c r="K44" s="407"/>
      <c r="L44" s="407"/>
      <c r="M44" s="407"/>
      <c r="N44" s="407"/>
      <c r="O44" s="407"/>
      <c r="P44" s="407"/>
      <c r="Q44" s="407"/>
      <c r="R44" s="407"/>
      <c r="S44" s="407"/>
      <c r="T44" s="407"/>
      <c r="U44" s="407"/>
      <c r="V44" s="421"/>
      <c r="W44" s="391"/>
      <c r="X44" s="407"/>
    </row>
    <row r="45" spans="1:24">
      <c r="A45" s="391"/>
      <c r="B45" s="407" t="s">
        <v>50</v>
      </c>
      <c r="C45" s="419">
        <v>7988</v>
      </c>
      <c r="D45" s="391"/>
      <c r="E45" s="391"/>
      <c r="F45" s="391"/>
      <c r="G45" s="391"/>
      <c r="H45" s="414">
        <v>0</v>
      </c>
      <c r="I45" s="414">
        <v>0</v>
      </c>
      <c r="J45" s="414">
        <f>IF(J$31=Cover!$M$34,SUMIF('S&amp;B'!$B$11:$B$31,$B21,'S&amp;B'!$Q$11:$Q$31),0)</f>
        <v>0</v>
      </c>
      <c r="K45" s="414">
        <f>IF(K$31=Cover!$M$34,SUMIF('S&amp;B'!$B$11:$B$31,$B21,'S&amp;B'!$Q$11:$Q$31),0)</f>
        <v>0</v>
      </c>
      <c r="L45" s="414">
        <f>IF(L$31=Cover!$M$34,SUMIF('S&amp;B'!$B$11:$B$31,$B21,'S&amp;B'!$Q$11:$Q$31),0)</f>
        <v>0</v>
      </c>
      <c r="M45" s="414">
        <f>IF(M$31=Cover!$M$34,SUMIF('S&amp;B'!$B$11:$B$31,$B21,'S&amp;B'!$Q$11:$Q$31),0)</f>
        <v>0</v>
      </c>
      <c r="N45" s="414">
        <f>IF(N$31=Cover!$M$34,SUMIF('S&amp;B'!$B$11:$B$31,$B21,'S&amp;B'!$Q$11:$Q$31),0)</f>
        <v>0</v>
      </c>
      <c r="O45" s="414">
        <f>IF(O$31=Cover!$M$34,SUMIF('S&amp;B'!$B$11:$B$31,$B21,'S&amp;B'!$Q$11:$Q$31),0)</f>
        <v>0</v>
      </c>
      <c r="P45" s="414">
        <f>IF(P$31=Cover!$M$34,SUMIF('S&amp;B'!$B$11:$B$31,$B21,'S&amp;B'!$Q$11:$Q$31),0)</f>
        <v>0</v>
      </c>
      <c r="Q45" s="414">
        <f>IF(Q$31=Cover!$M$34,SUMIF('S&amp;B'!$B$11:$B$31,$B21,'S&amp;B'!$Q$11:$Q$31),0)</f>
        <v>0</v>
      </c>
      <c r="R45" s="414">
        <f>IF(R$31=Cover!$M$34,SUMIF('S&amp;B'!$B$11:$B$31,$B21,'S&amp;B'!$Q$11:$Q$31),0)</f>
        <v>0</v>
      </c>
      <c r="S45" s="414">
        <f>IF(S$31=Cover!$M$34,SUMIF('S&amp;B'!$B$11:$B$31,$B21,'S&amp;B'!$Q$11:$Q$31),0)</f>
        <v>0</v>
      </c>
      <c r="T45" s="414">
        <f>IF(T$31=Cover!$M$34,SUMIF('S&amp;B'!$B$11:$B$31,$B21,'S&amp;B'!$Q$11:$Q$31),0)</f>
        <v>0</v>
      </c>
      <c r="U45" s="414">
        <f>IF(U$31=Cover!$M$34,SUMIF('S&amp;B'!$B$11:$B$31,$B21,'S&amp;B'!$Q$11:$Q$31),0)</f>
        <v>0</v>
      </c>
      <c r="V45" s="468">
        <f>SUM(J45:U45)</f>
        <v>0</v>
      </c>
      <c r="W45" s="391"/>
      <c r="X45" s="407"/>
    </row>
    <row r="46" spans="1:24">
      <c r="A46" s="391"/>
      <c r="B46" s="462" t="s">
        <v>51</v>
      </c>
      <c r="C46" s="463">
        <v>7971</v>
      </c>
      <c r="D46" s="486"/>
      <c r="E46" s="486"/>
      <c r="F46" s="486"/>
      <c r="G46" s="486"/>
      <c r="H46" s="464">
        <v>0</v>
      </c>
      <c r="I46" s="464">
        <v>0</v>
      </c>
      <c r="J46" s="464">
        <f>IF(J$31=Cover!$M$34,SUMIF('S&amp;B'!$B$11:$B$31,$B22,'S&amp;B'!$Q$11:$Q$31),0)</f>
        <v>0</v>
      </c>
      <c r="K46" s="464">
        <f>IF(K$31=Cover!$M$34,SUMIF('S&amp;B'!$B$11:$B$31,$B22,'S&amp;B'!$Q$11:$Q$31),0)</f>
        <v>0</v>
      </c>
      <c r="L46" s="464">
        <f>IF(L$31=Cover!$M$34,SUMIF('S&amp;B'!$B$11:$B$31,$B22,'S&amp;B'!$Q$11:$Q$31),0)</f>
        <v>0</v>
      </c>
      <c r="M46" s="464">
        <f>IF(M$31=Cover!$M$34,SUMIF('S&amp;B'!$B$11:$B$31,$B22,'S&amp;B'!$Q$11:$Q$31),0)</f>
        <v>0</v>
      </c>
      <c r="N46" s="464">
        <f>IF(N$31=Cover!$M$34,SUMIF('S&amp;B'!$B$11:$B$31,$B22,'S&amp;B'!$Q$11:$Q$31),0)</f>
        <v>0</v>
      </c>
      <c r="O46" s="464">
        <f>IF(O$31=Cover!$M$34,SUMIF('S&amp;B'!$B$11:$B$31,$B22,'S&amp;B'!$Q$11:$Q$31),0)</f>
        <v>0</v>
      </c>
      <c r="P46" s="464">
        <f>IF(P$31=Cover!$M$34,SUMIF('S&amp;B'!$B$11:$B$31,$B22,'S&amp;B'!$Q$11:$Q$31),0)</f>
        <v>0</v>
      </c>
      <c r="Q46" s="464">
        <f>IF(Q$31=Cover!$M$34,SUMIF('S&amp;B'!$B$11:$B$31,$B22,'S&amp;B'!$Q$11:$Q$31),0)</f>
        <v>0</v>
      </c>
      <c r="R46" s="464">
        <f>IF(R$31=Cover!$M$34,SUMIF('S&amp;B'!$B$11:$B$31,$B22,'S&amp;B'!$Q$11:$Q$31),0)</f>
        <v>0</v>
      </c>
      <c r="S46" s="464">
        <f>IF(S$31=Cover!$M$34,SUMIF('S&amp;B'!$B$11:$B$31,$B22,'S&amp;B'!$Q$11:$Q$31),0)</f>
        <v>0</v>
      </c>
      <c r="T46" s="464">
        <f>IF(T$31=Cover!$M$34,SUMIF('S&amp;B'!$B$11:$B$31,$B22,'S&amp;B'!$Q$11:$Q$31),0)</f>
        <v>0</v>
      </c>
      <c r="U46" s="464">
        <f>IF(U$31=Cover!$M$34,SUMIF('S&amp;B'!$B$11:$B$31,$B22,'S&amp;B'!$Q$11:$Q$31),0)</f>
        <v>0</v>
      </c>
      <c r="V46" s="468">
        <f t="shared" ref="V46:V48" si="10">SUM(J46:U46)</f>
        <v>0</v>
      </c>
      <c r="W46" s="391"/>
      <c r="X46" s="407"/>
    </row>
    <row r="47" spans="1:24">
      <c r="A47" s="391"/>
      <c r="B47" s="407" t="s">
        <v>52</v>
      </c>
      <c r="C47" s="419">
        <v>7987</v>
      </c>
      <c r="D47" s="391"/>
      <c r="E47" s="391"/>
      <c r="F47" s="391"/>
      <c r="G47" s="391"/>
      <c r="H47" s="414">
        <v>0</v>
      </c>
      <c r="I47" s="414">
        <v>0</v>
      </c>
      <c r="J47" s="414">
        <f>IF(J$31=Cover!$M$34,SUMIF('S&amp;B'!$B$11:$B$31,$B23,'S&amp;B'!$Q$11:$Q$31),0)</f>
        <v>0</v>
      </c>
      <c r="K47" s="414">
        <f>IF(K$31=Cover!$M$34,SUMIF('S&amp;B'!$B$11:$B$31,$B23,'S&amp;B'!$Q$11:$Q$31),0)</f>
        <v>0</v>
      </c>
      <c r="L47" s="414">
        <f>IF(L$31=Cover!$M$34,SUMIF('S&amp;B'!$B$11:$B$31,$B23,'S&amp;B'!$Q$11:$Q$31),0)</f>
        <v>0</v>
      </c>
      <c r="M47" s="414">
        <f>IF(M$31=Cover!$M$34,SUMIF('S&amp;B'!$B$11:$B$31,$B23,'S&amp;B'!$Q$11:$Q$31),0)</f>
        <v>0</v>
      </c>
      <c r="N47" s="414">
        <f>IF(N$31=Cover!$M$34,SUMIF('S&amp;B'!$B$11:$B$31,$B23,'S&amp;B'!$Q$11:$Q$31),0)</f>
        <v>0</v>
      </c>
      <c r="O47" s="414">
        <f>IF(O$31=Cover!$M$34,SUMIF('S&amp;B'!$B$11:$B$31,$B23,'S&amp;B'!$Q$11:$Q$31),0)</f>
        <v>0</v>
      </c>
      <c r="P47" s="414">
        <f>IF(P$31=Cover!$M$34,SUMIF('S&amp;B'!$B$11:$B$31,$B23,'S&amp;B'!$Q$11:$Q$31),0)</f>
        <v>0</v>
      </c>
      <c r="Q47" s="414">
        <f>IF(Q$31=Cover!$M$34,SUMIF('S&amp;B'!$B$11:$B$31,$B23,'S&amp;B'!$Q$11:$Q$31),0)</f>
        <v>0</v>
      </c>
      <c r="R47" s="414">
        <f>IF(R$31=Cover!$M$34,SUMIF('S&amp;B'!$B$11:$B$31,$B23,'S&amp;B'!$Q$11:$Q$31),0)</f>
        <v>0</v>
      </c>
      <c r="S47" s="414">
        <f>IF(S$31=Cover!$M$34,SUMIF('S&amp;B'!$B$11:$B$31,$B23,'S&amp;B'!$Q$11:$Q$31),0)</f>
        <v>0</v>
      </c>
      <c r="T47" s="414">
        <f>IF(T$31=Cover!$M$34,SUMIF('S&amp;B'!$B$11:$B$31,$B23,'S&amp;B'!$Q$11:$Q$31),0)</f>
        <v>0</v>
      </c>
      <c r="U47" s="414">
        <f>IF(U$31=Cover!$M$34,SUMIF('S&amp;B'!$B$11:$B$31,$B23,'S&amp;B'!$Q$11:$Q$31),0)</f>
        <v>0</v>
      </c>
      <c r="V47" s="468">
        <f t="shared" si="10"/>
        <v>0</v>
      </c>
      <c r="W47" s="391"/>
      <c r="X47" s="407"/>
    </row>
    <row r="48" spans="1:24">
      <c r="A48" s="391"/>
      <c r="B48" s="462" t="s">
        <v>85</v>
      </c>
      <c r="C48" s="463">
        <v>6997</v>
      </c>
      <c r="D48" s="486"/>
      <c r="E48" s="486"/>
      <c r="F48" s="486"/>
      <c r="G48" s="486"/>
      <c r="H48" s="464">
        <v>0</v>
      </c>
      <c r="I48" s="464">
        <v>0</v>
      </c>
      <c r="J48" s="464">
        <f>IF(J$31=Cover!$M$34,SUMIF('S&amp;B'!$B$11:$B$31,$B24,'S&amp;B'!$Q$11:$Q$31),0)</f>
        <v>0</v>
      </c>
      <c r="K48" s="464">
        <f>IF(K$31=Cover!$M$34,SUMIF('S&amp;B'!$B$11:$B$31,$B24,'S&amp;B'!$Q$11:$Q$31),0)</f>
        <v>0</v>
      </c>
      <c r="L48" s="464">
        <f>IF(L$31=Cover!$M$34,SUMIF('S&amp;B'!$B$11:$B$31,$B24,'S&amp;B'!$Q$11:$Q$31),0)</f>
        <v>0</v>
      </c>
      <c r="M48" s="464">
        <f>IF(M$31=Cover!$M$34,SUMIF('S&amp;B'!$B$11:$B$31,$B24,'S&amp;B'!$Q$11:$Q$31),0)</f>
        <v>0</v>
      </c>
      <c r="N48" s="464">
        <f>IF(N$31=Cover!$M$34,SUMIF('S&amp;B'!$B$11:$B$31,$B24,'S&amp;B'!$Q$11:$Q$31),0)</f>
        <v>0</v>
      </c>
      <c r="O48" s="464">
        <f>IF(O$31=Cover!$M$34,SUMIF('S&amp;B'!$B$11:$B$31,$B24,'S&amp;B'!$Q$11:$Q$31),0)</f>
        <v>0</v>
      </c>
      <c r="P48" s="464">
        <f>IF(P$31=Cover!$M$34,SUMIF('S&amp;B'!$B$11:$B$31,$B24,'S&amp;B'!$Q$11:$Q$31),0)</f>
        <v>0</v>
      </c>
      <c r="Q48" s="464">
        <f>IF(Q$31=Cover!$M$34,SUMIF('S&amp;B'!$B$11:$B$31,$B24,'S&amp;B'!$Q$11:$Q$31),0)</f>
        <v>0</v>
      </c>
      <c r="R48" s="464">
        <f>IF(R$31=Cover!$M$34,SUMIF('S&amp;B'!$B$11:$B$31,$B24,'S&amp;B'!$Q$11:$Q$31),0)</f>
        <v>0</v>
      </c>
      <c r="S48" s="464">
        <f>IF(S$31=Cover!$M$34,SUMIF('S&amp;B'!$B$11:$B$31,$B24,'S&amp;B'!$Q$11:$Q$31),0)</f>
        <v>0</v>
      </c>
      <c r="T48" s="464">
        <f>IF(T$31=Cover!$M$34,SUMIF('S&amp;B'!$B$11:$B$31,$B24,'S&amp;B'!$Q$11:$Q$31),0)</f>
        <v>0</v>
      </c>
      <c r="U48" s="464">
        <f>IF(U$31=Cover!$M$34,SUMIF('S&amp;B'!$B$11:$B$31,$B24,'S&amp;B'!$Q$11:$Q$31),0)</f>
        <v>0</v>
      </c>
      <c r="V48" s="468">
        <f t="shared" si="10"/>
        <v>0</v>
      </c>
      <c r="W48" s="391"/>
      <c r="X48" s="407"/>
    </row>
    <row r="49" spans="1:24">
      <c r="A49" s="391"/>
      <c r="B49" s="459" t="s">
        <v>54</v>
      </c>
      <c r="C49" s="460">
        <v>17826</v>
      </c>
      <c r="D49" s="391"/>
      <c r="E49" s="391"/>
      <c r="F49" s="391"/>
      <c r="G49" s="391"/>
      <c r="H49" s="414">
        <v>0</v>
      </c>
      <c r="I49" s="414">
        <v>0</v>
      </c>
      <c r="J49" s="414">
        <f>IF(J$31=Cover!$M$34,SUMIF('S&amp;B'!$B$11:$B$31,$B26,'S&amp;B'!$Q$11:$Q$31),0)</f>
        <v>0</v>
      </c>
      <c r="K49" s="414">
        <f>IF(K$31=Cover!$M$34,SUMIF('S&amp;B'!$B$11:$B$31,$B26,'S&amp;B'!$Q$11:$Q$31),0)</f>
        <v>0</v>
      </c>
      <c r="L49" s="414">
        <f>IF(L$31=Cover!$M$34,SUMIF('S&amp;B'!$B$11:$B$31,$B26,'S&amp;B'!$Q$11:$Q$31),0)</f>
        <v>0</v>
      </c>
      <c r="M49" s="414">
        <f>IF(M$31=Cover!$M$34,SUMIF('S&amp;B'!$B$11:$B$31,$B26,'S&amp;B'!$Q$11:$Q$31),0)</f>
        <v>0</v>
      </c>
      <c r="N49" s="414">
        <f>IF(N$31=Cover!$M$34,SUMIF('S&amp;B'!$B$11:$B$31,$B26,'S&amp;B'!$Q$11:$Q$31),0)</f>
        <v>0</v>
      </c>
      <c r="O49" s="414">
        <f>IF(O$31=Cover!$M$34,SUMIF('S&amp;B'!$B$11:$B$31,$B26,'S&amp;B'!$Q$11:$Q$31),0)</f>
        <v>0</v>
      </c>
      <c r="P49" s="414">
        <f>IF(P$31=Cover!$M$34,SUMIF('S&amp;B'!$B$11:$B$31,$B26,'S&amp;B'!$Q$11:$Q$31),0)</f>
        <v>0</v>
      </c>
      <c r="Q49" s="414">
        <f>IF(Q$31=Cover!$M$34,SUMIF('S&amp;B'!$B$11:$B$31,$B26,'S&amp;B'!$Q$11:$Q$31),0)</f>
        <v>0</v>
      </c>
      <c r="R49" s="414">
        <f>IF(R$31=Cover!$M$34,SUMIF('S&amp;B'!$B$11:$B$31,$B26,'S&amp;B'!$Q$11:$Q$31),0)</f>
        <v>0</v>
      </c>
      <c r="S49" s="414">
        <f>IF(S$31=Cover!$M$34,SUMIF('S&amp;B'!$B$11:$B$31,$B26,'S&amp;B'!$Q$11:$Q$31),0)</f>
        <v>0</v>
      </c>
      <c r="T49" s="414">
        <f>IF(T$31=Cover!$M$34,SUMIF('S&amp;B'!$B$11:$B$31,$B26,'S&amp;B'!$Q$11:$Q$31),0)</f>
        <v>0</v>
      </c>
      <c r="U49" s="414">
        <f>IF(U$31=Cover!$M$34,SUMIF('S&amp;B'!$B$11:$B$31,$B26,'S&amp;B'!$Q$11:$Q$31),0)</f>
        <v>0</v>
      </c>
      <c r="V49" s="468">
        <f t="shared" ref="V49" si="11">SUM(H49:U49)</f>
        <v>0</v>
      </c>
      <c r="W49" s="391"/>
      <c r="X49" s="407"/>
    </row>
    <row r="50" spans="1:24" ht="15.75" thickBot="1">
      <c r="A50" s="391"/>
      <c r="B50" s="493" t="s">
        <v>58</v>
      </c>
      <c r="C50" s="494"/>
      <c r="D50" s="391"/>
      <c r="E50" s="495"/>
      <c r="F50" s="495"/>
      <c r="G50" s="391"/>
      <c r="H50" s="496">
        <f>SUM(H43:H49)</f>
        <v>0</v>
      </c>
      <c r="I50" s="496">
        <f>SUM(I43:I49)</f>
        <v>0</v>
      </c>
      <c r="J50" s="496">
        <f t="shared" ref="J50:T50" si="12">SUM(J43:J49)</f>
        <v>-1</v>
      </c>
      <c r="K50" s="496">
        <f t="shared" si="12"/>
        <v>0</v>
      </c>
      <c r="L50" s="496">
        <f t="shared" si="12"/>
        <v>0</v>
      </c>
      <c r="M50" s="496">
        <f t="shared" si="12"/>
        <v>0</v>
      </c>
      <c r="N50" s="496">
        <f t="shared" si="12"/>
        <v>0</v>
      </c>
      <c r="O50" s="496">
        <f t="shared" si="12"/>
        <v>0</v>
      </c>
      <c r="P50" s="496">
        <f t="shared" si="12"/>
        <v>0</v>
      </c>
      <c r="Q50" s="496">
        <f t="shared" si="12"/>
        <v>0</v>
      </c>
      <c r="R50" s="496">
        <f t="shared" si="12"/>
        <v>0</v>
      </c>
      <c r="S50" s="496">
        <f t="shared" si="12"/>
        <v>0</v>
      </c>
      <c r="T50" s="496">
        <f t="shared" si="12"/>
        <v>0</v>
      </c>
      <c r="U50" s="496">
        <f>SUM(U43:U49)</f>
        <v>0</v>
      </c>
      <c r="V50" s="496">
        <f>SUM(V43:V49)</f>
        <v>-1</v>
      </c>
      <c r="W50" s="391"/>
      <c r="X50" s="407"/>
    </row>
    <row r="51" spans="1:24" s="407" customFormat="1" ht="15.75" thickTop="1">
      <c r="B51" s="391"/>
      <c r="C51" s="391"/>
      <c r="D51" s="391"/>
      <c r="E51" s="391"/>
      <c r="F51" s="391"/>
      <c r="G51" s="391"/>
    </row>
    <row r="52" spans="1:24" s="407" customFormat="1">
      <c r="B52" s="391"/>
      <c r="C52" s="391"/>
      <c r="D52" s="391"/>
      <c r="E52" s="391"/>
      <c r="F52" s="391"/>
      <c r="G52" s="391"/>
      <c r="H52" s="391"/>
      <c r="I52" s="391"/>
      <c r="J52" s="391"/>
      <c r="K52" s="391"/>
      <c r="L52" s="391"/>
      <c r="M52" s="391"/>
      <c r="N52" s="391"/>
      <c r="O52" s="391"/>
      <c r="P52" s="391"/>
      <c r="Q52" s="391"/>
      <c r="R52" s="391"/>
      <c r="S52" s="391"/>
      <c r="T52" s="391"/>
      <c r="U52" s="391"/>
      <c r="V52" s="391"/>
    </row>
    <row r="53" spans="1:24" s="407" customFormat="1"/>
    <row r="54" spans="1:24" s="407" customFormat="1"/>
    <row r="55" spans="1:24" s="407" customFormat="1"/>
    <row r="56" spans="1:24" s="407" customFormat="1"/>
    <row r="57" spans="1:24" s="407" customFormat="1"/>
    <row r="58" spans="1:24" s="407" customFormat="1"/>
    <row r="59" spans="1:24" s="407" customFormat="1"/>
    <row r="60" spans="1:24" s="407" customFormat="1"/>
    <row r="61" spans="1:24" s="407" customFormat="1"/>
    <row r="62" spans="1:24" s="407" customFormat="1"/>
    <row r="63" spans="1:24" s="407" customFormat="1"/>
    <row r="64" spans="1:24" s="407" customFormat="1"/>
    <row r="65" s="407" customFormat="1"/>
    <row r="66" s="407" customFormat="1"/>
    <row r="67" s="407" customFormat="1"/>
    <row r="68" s="407" customFormat="1"/>
    <row r="69" s="407" customFormat="1"/>
    <row r="70" s="407" customFormat="1"/>
    <row r="71" s="407" customFormat="1"/>
    <row r="72" s="407" customFormat="1"/>
    <row r="73" s="407" customFormat="1"/>
    <row r="74" s="407" customFormat="1"/>
    <row r="75" s="407" customFormat="1"/>
    <row r="76" s="407" customFormat="1"/>
    <row r="77" s="407" customFormat="1"/>
    <row r="78" s="407" customFormat="1"/>
    <row r="79" s="407" customFormat="1"/>
    <row r="80" s="407" customFormat="1"/>
    <row r="81" s="407" customFormat="1"/>
    <row r="82" s="407" customFormat="1"/>
    <row r="83" s="407" customFormat="1"/>
    <row r="84" s="407" customFormat="1"/>
    <row r="85" s="407" customFormat="1"/>
    <row r="86" s="407" customFormat="1"/>
    <row r="87" s="407" customFormat="1"/>
    <row r="88" s="407" customFormat="1"/>
    <row r="89" s="407" customFormat="1"/>
    <row r="90" s="407" customFormat="1"/>
    <row r="91" s="407" customFormat="1"/>
    <row r="92" s="407" customFormat="1"/>
    <row r="93" s="407" customFormat="1"/>
    <row r="94" s="407" customFormat="1"/>
    <row r="95" s="407" customFormat="1"/>
    <row r="96" s="407" customFormat="1"/>
    <row r="97" s="407" customFormat="1"/>
    <row r="98" s="407" customFormat="1"/>
    <row r="99" s="407" customFormat="1"/>
    <row r="100" s="407" customFormat="1"/>
    <row r="101" s="407" customFormat="1"/>
    <row r="102" s="407" customFormat="1"/>
    <row r="103" s="407" customFormat="1"/>
    <row r="104" s="407" customFormat="1"/>
    <row r="105" s="407" customFormat="1"/>
    <row r="106" s="407" customFormat="1"/>
    <row r="107" s="407" customFormat="1"/>
    <row r="108" s="407" customFormat="1"/>
    <row r="109" s="407" customFormat="1"/>
    <row r="110" s="407" customFormat="1"/>
    <row r="111" s="407" customFormat="1"/>
    <row r="112" s="407" customFormat="1"/>
    <row r="113" s="407" customFormat="1"/>
    <row r="114" s="407" customFormat="1"/>
    <row r="115" s="407" customFormat="1"/>
    <row r="116" s="407" customFormat="1"/>
    <row r="117" s="407" customFormat="1"/>
    <row r="118" s="407" customFormat="1"/>
    <row r="119" s="407" customFormat="1"/>
    <row r="120" s="407" customFormat="1"/>
    <row r="121" s="407" customFormat="1"/>
    <row r="122" s="407" customFormat="1"/>
    <row r="123" s="407" customFormat="1"/>
    <row r="124" s="407" customFormat="1"/>
    <row r="125" s="407" customFormat="1"/>
    <row r="126" s="407" customFormat="1"/>
    <row r="127" s="407" customFormat="1"/>
    <row r="128" s="407" customFormat="1"/>
    <row r="129" s="407" customFormat="1"/>
    <row r="130" s="407" customFormat="1"/>
    <row r="131" s="407" customFormat="1"/>
    <row r="132" s="407" customFormat="1"/>
    <row r="133" s="407" customFormat="1"/>
    <row r="134" s="407" customFormat="1"/>
    <row r="135" s="407" customFormat="1"/>
    <row r="136" s="407" customFormat="1"/>
    <row r="137" s="407" customFormat="1"/>
    <row r="138" s="407" customFormat="1"/>
    <row r="139" s="407" customFormat="1"/>
    <row r="140" s="407" customFormat="1"/>
    <row r="141" s="407" customFormat="1"/>
    <row r="142" s="407" customFormat="1"/>
    <row r="143" s="407" customFormat="1"/>
    <row r="144" s="407" customFormat="1"/>
    <row r="145" s="407" customFormat="1"/>
    <row r="146" s="407" customFormat="1"/>
    <row r="147" s="407" customFormat="1"/>
    <row r="148" s="407" customFormat="1"/>
    <row r="149" s="407" customFormat="1"/>
    <row r="150" s="407" customFormat="1"/>
    <row r="151" s="407" customFormat="1"/>
    <row r="152" s="407" customFormat="1"/>
    <row r="153" s="407" customFormat="1"/>
    <row r="154" s="407" customFormat="1"/>
    <row r="155" s="407" customFormat="1"/>
    <row r="156" s="407" customFormat="1"/>
    <row r="157" s="407" customFormat="1"/>
    <row r="158" s="407" customFormat="1"/>
    <row r="159" s="407" customFormat="1"/>
    <row r="160" s="407" customFormat="1"/>
    <row r="161" s="407" customFormat="1"/>
    <row r="162" s="407" customFormat="1"/>
    <row r="163" s="407" customFormat="1"/>
    <row r="164" s="407" customFormat="1"/>
    <row r="165" s="407" customFormat="1"/>
    <row r="166" s="407" customFormat="1"/>
    <row r="167" s="407" customFormat="1"/>
    <row r="168" s="407" customFormat="1"/>
    <row r="169" s="407" customFormat="1"/>
    <row r="170" s="407" customFormat="1"/>
    <row r="171" s="407" customFormat="1"/>
    <row r="172" s="407" customFormat="1"/>
    <row r="173" s="407" customFormat="1"/>
    <row r="174" s="407" customFormat="1"/>
    <row r="175" s="407" customFormat="1"/>
    <row r="176" s="407" customFormat="1"/>
    <row r="177" s="407" customFormat="1"/>
    <row r="178" s="407" customFormat="1"/>
    <row r="179" s="407" customFormat="1"/>
    <row r="180" s="407" customFormat="1"/>
    <row r="181" s="407" customFormat="1"/>
    <row r="182" s="407" customFormat="1"/>
    <row r="183" s="407" customFormat="1"/>
    <row r="184" s="407" customFormat="1"/>
    <row r="185" s="407" customFormat="1"/>
    <row r="186" s="407" customFormat="1"/>
    <row r="187" s="407" customFormat="1"/>
    <row r="188" s="407" customFormat="1"/>
    <row r="189" s="407" customFormat="1"/>
    <row r="190" s="407" customFormat="1"/>
    <row r="191" s="407" customFormat="1"/>
    <row r="192" s="407" customFormat="1"/>
    <row r="193" s="407" customFormat="1"/>
    <row r="194" s="407" customFormat="1"/>
    <row r="195" s="407" customFormat="1"/>
    <row r="196" s="407" customFormat="1"/>
    <row r="197" s="407" customFormat="1"/>
    <row r="198" s="407" customFormat="1"/>
    <row r="199" s="407" customFormat="1"/>
    <row r="200" s="407" customFormat="1"/>
    <row r="201" s="407" customFormat="1"/>
    <row r="202" s="407" customFormat="1"/>
    <row r="203" s="407" customFormat="1"/>
    <row r="204" s="407" customFormat="1"/>
    <row r="205" s="407" customFormat="1"/>
  </sheetData>
  <mergeCells count="5">
    <mergeCell ref="H30:V30"/>
    <mergeCell ref="X8:X9"/>
    <mergeCell ref="E8:F8"/>
    <mergeCell ref="H8:V8"/>
    <mergeCell ref="B2:P4"/>
  </mergeCells>
  <conditionalFormatting sqref="A29">
    <cfRule type="cellIs" dxfId="2352" priority="1" operator="equal">
      <formula>"XXX"</formula>
    </cfRule>
  </conditionalFormatting>
  <printOptions horizontalCentered="1"/>
  <pageMargins left="0.25" right="0.25" top="0.25" bottom="0.5" header="0.3" footer="0.3"/>
  <pageSetup scale="47" orientation="landscape" r:id="rId1"/>
  <headerFooter>
    <oddFooter>&amp;R&amp;F | &amp;A
Printed &amp;D @ &amp;T
&amp;P</oddFooter>
  </headerFooter>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dimension ref="A1:BE56"/>
  <sheetViews>
    <sheetView zoomScale="115" zoomScaleNormal="115" workbookViewId="0">
      <selection activeCell="C33" sqref="C33"/>
    </sheetView>
  </sheetViews>
  <sheetFormatPr defaultColWidth="12.7109375" defaultRowHeight="15"/>
  <cols>
    <col min="1" max="1" width="3.28515625" style="407" customWidth="1"/>
    <col min="2" max="2" width="39.5703125" style="68" customWidth="1"/>
    <col min="3" max="3" width="21.7109375" style="68" customWidth="1"/>
    <col min="4" max="4" width="2" style="68" customWidth="1"/>
    <col min="5" max="7" width="11.7109375" style="68" customWidth="1"/>
    <col min="8" max="8" width="2" style="68" customWidth="1"/>
    <col min="9" max="9" width="12.28515625" style="68" bestFit="1" customWidth="1"/>
    <col min="10" max="10" width="13.28515625" style="68" customWidth="1"/>
    <col min="11" max="11" width="12.7109375" style="68" bestFit="1" customWidth="1"/>
    <col min="12" max="12" width="2" style="68" customWidth="1"/>
    <col min="13" max="15" width="6.140625" style="68" customWidth="1"/>
    <col min="16" max="16" width="2" style="68" customWidth="1"/>
    <col min="17" max="19" width="6.140625" style="68" customWidth="1"/>
    <col min="20" max="20" width="2" style="68" customWidth="1"/>
    <col min="21" max="21" width="5.5703125" style="68" customWidth="1"/>
    <col min="22" max="22" width="2.7109375" style="68" hidden="1" customWidth="1"/>
    <col min="23" max="23" width="0" style="68" hidden="1" customWidth="1"/>
    <col min="24" max="24" width="12" style="68" hidden="1" customWidth="1"/>
    <col min="25" max="25" width="0" style="68" hidden="1" customWidth="1"/>
    <col min="26" max="26" width="8.28515625" style="68" hidden="1" customWidth="1"/>
    <col min="27" max="34" width="12.7109375" style="407"/>
    <col min="35" max="16384" width="12.7109375" style="68"/>
  </cols>
  <sheetData>
    <row r="1" spans="1:57" s="407" customFormat="1"/>
    <row r="2" spans="1:57">
      <c r="B2" s="1076" t="s">
        <v>180</v>
      </c>
      <c r="C2" s="1076"/>
      <c r="D2" s="1076"/>
      <c r="E2" s="1076"/>
      <c r="F2" s="1076"/>
      <c r="G2" s="1076"/>
      <c r="H2" s="1076"/>
      <c r="I2" s="1076"/>
      <c r="J2" s="1076"/>
      <c r="K2" s="436"/>
      <c r="L2" s="436"/>
      <c r="M2" s="436"/>
      <c r="N2" s="436"/>
      <c r="O2" s="436"/>
      <c r="P2" s="436"/>
      <c r="Q2" s="436"/>
      <c r="R2" s="436"/>
      <c r="S2" s="436"/>
      <c r="T2" s="436"/>
      <c r="U2" s="436"/>
      <c r="V2" s="407"/>
      <c r="W2" s="407"/>
      <c r="X2" s="407"/>
      <c r="Y2" s="407"/>
      <c r="Z2" s="407"/>
    </row>
    <row r="3" spans="1:57" s="37" customFormat="1" ht="14.65" customHeight="1">
      <c r="A3" s="248"/>
      <c r="B3" s="1076"/>
      <c r="C3" s="1076"/>
      <c r="D3" s="1076"/>
      <c r="E3" s="1076"/>
      <c r="F3" s="1076"/>
      <c r="G3" s="1076"/>
      <c r="H3" s="1076"/>
      <c r="I3" s="1076"/>
      <c r="J3" s="1076"/>
      <c r="K3" s="437"/>
      <c r="L3" s="437"/>
      <c r="M3" s="437"/>
      <c r="N3" s="437"/>
      <c r="O3" s="437"/>
      <c r="P3" s="437"/>
      <c r="Q3" s="437"/>
      <c r="R3" s="437"/>
      <c r="S3" s="437"/>
      <c r="T3" s="437"/>
      <c r="U3" s="437"/>
      <c r="V3" s="260"/>
      <c r="W3" s="260"/>
      <c r="X3" s="260"/>
      <c r="Y3" s="260"/>
      <c r="Z3" s="260"/>
      <c r="AA3" s="260"/>
      <c r="AB3" s="260"/>
      <c r="AC3" s="260"/>
      <c r="AD3" s="260"/>
      <c r="AE3" s="260"/>
      <c r="AF3" s="260"/>
      <c r="AG3" s="260"/>
      <c r="AH3" s="260"/>
      <c r="AI3" s="260"/>
      <c r="AJ3" s="260"/>
      <c r="AK3" s="260"/>
      <c r="AL3" s="260"/>
      <c r="AM3" s="260"/>
      <c r="AN3" s="260"/>
      <c r="AO3" s="260"/>
      <c r="AP3" s="260"/>
      <c r="AQ3" s="260"/>
      <c r="AR3" s="260"/>
      <c r="AS3" s="260"/>
      <c r="AT3" s="260"/>
      <c r="AU3" s="260"/>
      <c r="AV3" s="260"/>
      <c r="AW3" s="260"/>
      <c r="AX3" s="260"/>
      <c r="AY3" s="260"/>
      <c r="AZ3" s="260"/>
      <c r="BA3" s="260"/>
      <c r="BB3" s="260"/>
      <c r="BC3" s="260"/>
      <c r="BD3" s="260"/>
      <c r="BE3" s="260"/>
    </row>
    <row r="4" spans="1:57" s="37" customFormat="1" ht="14.65" customHeight="1">
      <c r="A4" s="248"/>
      <c r="B4" s="1076"/>
      <c r="C4" s="1076"/>
      <c r="D4" s="1076"/>
      <c r="E4" s="1076"/>
      <c r="F4" s="1076"/>
      <c r="G4" s="1076"/>
      <c r="H4" s="1076"/>
      <c r="I4" s="1076"/>
      <c r="J4" s="1076"/>
      <c r="K4" s="438"/>
      <c r="L4" s="438"/>
      <c r="M4" s="438"/>
      <c r="N4" s="438"/>
      <c r="O4" s="438"/>
      <c r="P4" s="438"/>
      <c r="Q4" s="438"/>
      <c r="R4" s="438"/>
      <c r="S4" s="438"/>
      <c r="T4" s="438"/>
      <c r="U4" s="438"/>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row>
    <row r="5" spans="1:57" s="37" customFormat="1" ht="6" customHeight="1">
      <c r="A5" s="248"/>
      <c r="B5" s="1076"/>
      <c r="C5" s="1076"/>
      <c r="D5" s="1076"/>
      <c r="E5" s="1076"/>
      <c r="F5" s="1076"/>
      <c r="G5" s="1076"/>
      <c r="H5" s="1076"/>
      <c r="I5" s="1076"/>
      <c r="J5" s="1076"/>
      <c r="K5" s="439"/>
      <c r="L5" s="439"/>
      <c r="M5" s="439"/>
      <c r="N5" s="439"/>
      <c r="O5" s="439"/>
      <c r="P5" s="439"/>
      <c r="Q5" s="439"/>
      <c r="R5" s="1091"/>
      <c r="S5" s="1091"/>
      <c r="T5" s="440"/>
      <c r="U5" s="440"/>
      <c r="V5" s="248"/>
      <c r="W5" s="248"/>
      <c r="X5" s="248"/>
      <c r="Y5" s="248"/>
      <c r="Z5" s="248"/>
      <c r="AA5" s="248"/>
      <c r="AB5" s="248"/>
      <c r="AC5" s="248"/>
      <c r="AD5" s="248"/>
      <c r="AE5" s="248"/>
      <c r="AF5" s="248"/>
      <c r="AG5" s="248"/>
      <c r="AH5" s="248"/>
    </row>
    <row r="6" spans="1:57" s="37" customFormat="1" ht="14.65" customHeight="1">
      <c r="A6" s="248"/>
      <c r="B6" s="443" t="s">
        <v>228</v>
      </c>
      <c r="C6" s="444"/>
      <c r="D6" s="444"/>
      <c r="E6" s="444"/>
      <c r="F6" s="444"/>
      <c r="G6" s="444"/>
      <c r="H6" s="444"/>
      <c r="I6" s="444"/>
      <c r="J6" s="444"/>
      <c r="K6" s="444"/>
      <c r="L6" s="444"/>
      <c r="M6" s="444"/>
      <c r="N6" s="444"/>
      <c r="O6" s="444"/>
      <c r="P6" s="444"/>
      <c r="Q6" s="444"/>
      <c r="R6" s="444"/>
      <c r="S6" s="444"/>
      <c r="T6" s="444"/>
      <c r="U6" s="445" t="str">
        <f>Cover!M34</f>
        <v>OCT FY-24</v>
      </c>
      <c r="V6" s="248"/>
      <c r="W6" s="248"/>
      <c r="X6" s="248"/>
      <c r="Y6" s="248"/>
      <c r="Z6" s="248"/>
      <c r="AA6" s="248"/>
      <c r="AB6" s="248"/>
      <c r="AC6" s="248"/>
      <c r="AD6" s="248"/>
      <c r="AE6" s="248"/>
      <c r="AF6" s="248"/>
      <c r="AG6" s="248"/>
      <c r="AH6" s="248"/>
    </row>
    <row r="7" spans="1:57" ht="6.75" customHeight="1">
      <c r="B7" s="442"/>
      <c r="C7" s="442"/>
      <c r="D7" s="442"/>
      <c r="E7" s="442"/>
      <c r="F7" s="442"/>
      <c r="G7" s="442"/>
      <c r="H7" s="442"/>
      <c r="I7" s="442"/>
      <c r="J7" s="442"/>
      <c r="K7" s="442"/>
      <c r="L7" s="442"/>
      <c r="M7" s="442"/>
      <c r="N7" s="442"/>
      <c r="O7" s="442"/>
      <c r="P7" s="442"/>
      <c r="Q7" s="442"/>
      <c r="R7" s="442"/>
      <c r="S7" s="442"/>
      <c r="T7" s="442"/>
      <c r="U7" s="442"/>
      <c r="V7" s="407"/>
      <c r="W7" s="407"/>
      <c r="X7" s="407"/>
      <c r="Y7" s="407"/>
      <c r="Z7" s="407"/>
    </row>
    <row r="8" spans="1:57">
      <c r="B8" s="407"/>
      <c r="C8" s="407"/>
      <c r="D8" s="407"/>
      <c r="E8" s="1093" t="s">
        <v>59</v>
      </c>
      <c r="F8" s="1093"/>
      <c r="G8" s="1093"/>
      <c r="H8" s="1093"/>
      <c r="I8" s="1093"/>
      <c r="J8" s="1093"/>
      <c r="K8" s="1093"/>
      <c r="L8" s="407"/>
      <c r="M8" s="1093" t="s">
        <v>14</v>
      </c>
      <c r="N8" s="1093"/>
      <c r="O8" s="1093"/>
      <c r="P8" s="1093"/>
      <c r="Q8" s="1093"/>
      <c r="R8" s="1093"/>
      <c r="S8" s="1093"/>
      <c r="T8" s="1093"/>
      <c r="U8" s="1094"/>
      <c r="W8" s="1090" t="s">
        <v>229</v>
      </c>
      <c r="X8" s="1090"/>
      <c r="Y8" s="1090"/>
      <c r="Z8" s="1090"/>
    </row>
    <row r="9" spans="1:57" ht="15.75" thickBot="1">
      <c r="B9" s="441"/>
      <c r="C9" s="407"/>
      <c r="D9" s="407"/>
      <c r="E9" s="1092" t="str">
        <f>$U$6</f>
        <v>OCT FY-24</v>
      </c>
      <c r="F9" s="1092"/>
      <c r="G9" s="1092"/>
      <c r="H9" s="407"/>
      <c r="I9" s="1092" t="str">
        <f>RIGHT($U$6,5)</f>
        <v>FY-24</v>
      </c>
      <c r="J9" s="1092"/>
      <c r="K9" s="1092"/>
      <c r="L9" s="407"/>
      <c r="M9" s="1092" t="s">
        <v>224</v>
      </c>
      <c r="N9" s="1092"/>
      <c r="O9" s="1092"/>
      <c r="P9" s="425"/>
      <c r="Q9" s="1092" t="s">
        <v>230</v>
      </c>
      <c r="R9" s="1095"/>
      <c r="S9" s="1095"/>
      <c r="T9" s="425"/>
      <c r="U9" s="190"/>
    </row>
    <row r="10" spans="1:57" ht="40.5" customHeight="1">
      <c r="B10" s="458" t="s">
        <v>225</v>
      </c>
      <c r="C10" s="411" t="s">
        <v>212</v>
      </c>
      <c r="D10" s="455"/>
      <c r="E10" s="411" t="s">
        <v>198</v>
      </c>
      <c r="F10" s="412" t="s">
        <v>231</v>
      </c>
      <c r="G10" s="412" t="s">
        <v>232</v>
      </c>
      <c r="H10" s="456"/>
      <c r="I10" s="411" t="s">
        <v>198</v>
      </c>
      <c r="J10" s="412" t="s">
        <v>231</v>
      </c>
      <c r="K10" s="412" t="s">
        <v>232</v>
      </c>
      <c r="L10" s="456"/>
      <c r="M10" s="411" t="s">
        <v>198</v>
      </c>
      <c r="N10" s="411" t="s">
        <v>67</v>
      </c>
      <c r="O10" s="411" t="s">
        <v>233</v>
      </c>
      <c r="P10" s="456"/>
      <c r="Q10" s="411" t="s">
        <v>234</v>
      </c>
      <c r="R10" s="411" t="s">
        <v>235</v>
      </c>
      <c r="S10" s="411" t="s">
        <v>65</v>
      </c>
      <c r="T10" s="457"/>
      <c r="U10" s="411" t="s">
        <v>236</v>
      </c>
      <c r="W10" s="175" t="s">
        <v>237</v>
      </c>
      <c r="X10" s="175" t="s">
        <v>211</v>
      </c>
      <c r="Y10" s="175" t="s">
        <v>238</v>
      </c>
      <c r="Z10" s="175" t="s">
        <v>239</v>
      </c>
    </row>
    <row r="11" spans="1:57">
      <c r="B11" s="407" t="s">
        <v>38</v>
      </c>
      <c r="C11" s="419">
        <v>7976</v>
      </c>
      <c r="D11" s="407"/>
      <c r="E11" s="414">
        <f t="array" ref="E11">SUM(IF(($B11=Admin3!$Q$12:$Q$627)*('S&amp;B'!$E$9=Admin3!$C$8:$O$8)*(Admin3!$R$12:$R$627="Actual-Month"),Admin3!$C$12:$O$627,0))</f>
        <v>0</v>
      </c>
      <c r="F11" s="414">
        <f t="array" ref="F11">SUM(IF(($B11=Admin3!$Q$12:$Q$627)*('S&amp;B'!$E$9=Admin3!$C$8:$O$8)*(Admin3!$R$12:$R$627="Plan-Month"),Admin3!$C$12:$O$627,0))-SUM(IF(($B11=Admin3!$Q$12:$Q$627)*('S&amp;B'!$E$9=Admin3!$C$8:$O$8)*(Admin3!$R$12:$R$627="Actual-Month"),Admin3!$C$12:$O$627,0))</f>
        <v>0</v>
      </c>
      <c r="G11" s="414">
        <f t="array" ref="G11">SUM(IF(($B11=Admin3!$Q$12:$Q$439)*('S&amp;B'!$E$9=Admin3!$C$8:$O$8)*(Admin3!$R$12:$R$439="Forecast-Month"),Admin3!$C$12:$O$439,0))-SUM(IF(($B11=Admin3!$Q$12:$Q$439)*('S&amp;B'!$E$9=Admin3!$C$8:$O$8)*(Admin3!$R$12:$R$439="Actual-Month"),Admin3!$C$12:$O$439,0))</f>
        <v>0</v>
      </c>
      <c r="H11" s="414"/>
      <c r="I11" s="414">
        <f t="array" ref="I11">SUM(IF(($B11=Admin3!$Q$12:$Q$627)*('S&amp;B'!$E$9=Admin3!$C$8:$O$8)*(Admin3!$R$12:$R$627="Actual-Year"),Admin3!$C$12:$O$627,0))</f>
        <v>0</v>
      </c>
      <c r="J11" s="414">
        <f t="array" ref="J11">SUM(IF(($B11=Admin3!$Q$12:$Q$627)*('S&amp;B'!$E$9=Admin3!$C$8:$O$8)*(Admin3!$R$12:$R$627="Plan-Year"),Admin3!$C$12:$O$627,0))-SUM(IF(($B11=Admin3!$Q$12:$Q$627)*('S&amp;B'!$E$9=Admin3!$C$8:$O$8)*(Admin3!$R$12:$R$627="Actual-Year"),Admin3!$C$12:$O$627,0))</f>
        <v>0</v>
      </c>
      <c r="K11" s="414">
        <f t="array" ref="K11">SUM(IF(($B11=Admin3!$Q$12:$Q$627)*('S&amp;B'!$E$9=Admin3!$C$8:$O$8)*(Admin3!$R$12:$R$627="Forecast-Year"),Admin3!$C$12:$O$627,0))-SUM(IF(($B11=Admin3!$Q$12:$Q$627)*('S&amp;B'!$E$9=Admin3!$C$8:$O$8)*(Admin3!$R$12:$R$627="Actual-Year"),Admin3!$C$12:$O$627,0))</f>
        <v>0</v>
      </c>
      <c r="L11" s="414"/>
      <c r="M11" s="414">
        <f>AR!$G$19</f>
        <v>17</v>
      </c>
      <c r="N11" s="414">
        <f t="array" ref="N11">SUM(IF(($B11=Admin2!$Q$9:$Q$87)*($U$6=AR!$BJ$4:$BV$4)*(Admin2!$B$9:$B$87="Annual Plan"),Admin2!$C$9:$O$87,0))</f>
        <v>18</v>
      </c>
      <c r="O11" s="414">
        <f>N11-M11</f>
        <v>1</v>
      </c>
      <c r="P11" s="449"/>
      <c r="Q11" s="414">
        <f>AR!$P$17</f>
        <v>0</v>
      </c>
      <c r="R11" s="414">
        <f>AR!$K$17</f>
        <v>0</v>
      </c>
      <c r="S11" s="414">
        <f>SUM(Q11:R11)</f>
        <v>0</v>
      </c>
      <c r="T11" s="414"/>
      <c r="U11" s="450">
        <f>AR!M20</f>
        <v>1</v>
      </c>
      <c r="W11" s="204">
        <f t="array" ref="W11">SUM(IF(($B11=Admin2!$Q$9:$Q$83)*($U$6=Admin2!$C$6:$O$6)*(Admin2!$B$9:$B$83="Ending EEs"),Admin2!$C$9:$O$83,0))</f>
        <v>17</v>
      </c>
      <c r="X11" s="268">
        <f t="shared" ref="X11:X19" si="0">M11-W11</f>
        <v>0</v>
      </c>
      <c r="Y11" s="243">
        <f>AR!G18</f>
        <v>0</v>
      </c>
      <c r="Z11" s="268">
        <f>X11-Y11</f>
        <v>0</v>
      </c>
    </row>
    <row r="12" spans="1:57">
      <c r="B12" s="462" t="s">
        <v>42</v>
      </c>
      <c r="C12" s="463">
        <v>7974</v>
      </c>
      <c r="D12" s="462"/>
      <c r="E12" s="464">
        <f t="array" ref="E12">SUM(IF(($B12=Admin3!$Q$12:$Q$627)*('S&amp;B'!$E$9=Admin3!$C$8:$O$8)*(Admin3!$R$12:$R$627="Actual-Month"),Admin3!$C$12:$O$627,0))</f>
        <v>0</v>
      </c>
      <c r="F12" s="464">
        <f t="array" ref="F12">SUM(IF(($B12=Admin3!$Q$12:$Q$627)*('S&amp;B'!$E$9=Admin3!$C$8:$O$8)*(Admin3!$R$12:$R$627="Plan-Month"),Admin3!$C$12:$O$627,0))-SUM(IF(($B12=Admin3!$Q$12:$Q$627)*('S&amp;B'!$E$9=Admin3!$C$8:$O$8)*(Admin3!$R$12:$R$627="Actual-Month"),Admin3!$C$12:$O$627,0))</f>
        <v>0</v>
      </c>
      <c r="G12" s="464">
        <f t="array" ref="G12">SUM(IF(($B12=Admin3!$Q$12:$Q$439)*('S&amp;B'!$E$9=Admin3!$C$8:$O$8)*(Admin3!$R$12:$R$439="Forecast-Month"),Admin3!$C$12:$O$439,0))-SUM(IF(($B12=Admin3!$Q$12:$Q$439)*('S&amp;B'!$E$9=Admin3!$C$8:$O$8)*(Admin3!$R$12:$R$439="Actual-Month"),Admin3!$C$12:$O$439,0))</f>
        <v>0</v>
      </c>
      <c r="H12" s="464"/>
      <c r="I12" s="464">
        <f t="array" ref="I12">SUM(IF(($B12=Admin3!$Q$12:$Q$627)*('S&amp;B'!$E$9=Admin3!$C$8:$O$8)*(Admin3!$R$12:$R$627="Actual-Year"),Admin3!$C$12:$O$627,0))</f>
        <v>0</v>
      </c>
      <c r="J12" s="464">
        <f t="array" ref="J12">SUM(IF(($B12=Admin3!$Q$12:$Q$627)*('S&amp;B'!$E$9=Admin3!$C$8:$O$8)*(Admin3!$R$12:$R$627="Plan-Year"),Admin3!$C$12:$O$627,0))-SUM(IF(($B12=Admin3!$Q$12:$Q$627)*('S&amp;B'!$E$9=Admin3!$C$8:$O$8)*(Admin3!$R$12:$R$627="Actual-Year"),Admin3!$C$12:$O$627,0))</f>
        <v>0</v>
      </c>
      <c r="K12" s="464">
        <f t="array" ref="K12">SUM(IF(($B12=Admin3!$Q$12:$Q$627)*('S&amp;B'!$E$9=Admin3!$C$8:$O$8)*(Admin3!$R$12:$R$627="Forecast-Year"),Admin3!$C$12:$O$627,0))-SUM(IF(($B12=Admin3!$Q$12:$Q$627)*('S&amp;B'!$E$9=Admin3!$C$8:$O$8)*(Admin3!$R$12:$R$627="Actual-Year"),Admin3!$C$12:$O$627,0))</f>
        <v>0</v>
      </c>
      <c r="L12" s="464"/>
      <c r="M12" s="464">
        <f>CB!$G$19</f>
        <v>27</v>
      </c>
      <c r="N12" s="464">
        <f t="array" ref="N12">SUM(IF(($B12=Admin2!$Q$9:$Q$87)*($U$6=AR!$BJ$4:$BV$4)*(Admin2!$B$9:$B$87="Annual Plan"),Admin2!$C$9:$O$87,0))</f>
        <v>28</v>
      </c>
      <c r="O12" s="464">
        <f>N12-M12</f>
        <v>1</v>
      </c>
      <c r="P12" s="465"/>
      <c r="Q12" s="464">
        <f>CB!$P$17</f>
        <v>0</v>
      </c>
      <c r="R12" s="464">
        <f>CB!$K$17</f>
        <v>0</v>
      </c>
      <c r="S12" s="464">
        <f t="shared" ref="S12:S19" si="1">SUM(Q12:R12)</f>
        <v>0</v>
      </c>
      <c r="T12" s="464"/>
      <c r="U12" s="466">
        <f>CB!M20</f>
        <v>1</v>
      </c>
      <c r="W12" s="204">
        <f t="array" ref="W12">SUM(IF(($B12=Admin2!$Q$9:$Q$83)*($U$6=Admin2!$C$6:$O$6)*(Admin2!$B$9:$B$83="Ending EEs"),Admin2!$C$9:$O$83,0))</f>
        <v>27</v>
      </c>
      <c r="X12" s="268">
        <f>M12-W12</f>
        <v>0</v>
      </c>
      <c r="Y12" s="243">
        <f>CB!G18</f>
        <v>0</v>
      </c>
      <c r="Z12" s="268">
        <f>X12-Y12</f>
        <v>0</v>
      </c>
    </row>
    <row r="13" spans="1:57">
      <c r="B13" s="407" t="s">
        <v>43</v>
      </c>
      <c r="C13" s="419">
        <v>7972</v>
      </c>
      <c r="D13" s="407"/>
      <c r="E13" s="414">
        <f t="array" ref="E13">SUM(IF(($B13=Admin3!$Q$12:$Q$627)*('S&amp;B'!$E$9=Admin3!$C$8:$O$8)*(Admin3!$R$12:$R$627="Actual-Month"),Admin3!$C$12:$O$627,0))</f>
        <v>0</v>
      </c>
      <c r="F13" s="414">
        <f t="array" ref="F13">SUM(IF(($B13=Admin3!$Q$12:$Q$627)*('S&amp;B'!$E$9=Admin3!$C$8:$O$8)*(Admin3!$R$12:$R$627="Plan-Month"),Admin3!$C$12:$O$627,0))-SUM(IF(($B13=Admin3!$Q$12:$Q$627)*('S&amp;B'!$E$9=Admin3!$C$8:$O$8)*(Admin3!$R$12:$R$627="Actual-Month"),Admin3!$C$12:$O$627,0))</f>
        <v>0</v>
      </c>
      <c r="G13" s="414">
        <f t="array" ref="G13">SUM(IF(($B13=Admin3!$Q$12:$Q$439)*('S&amp;B'!$E$9=Admin3!$C$8:$O$8)*(Admin3!$R$12:$R$439="Forecast-Month"),Admin3!$C$12:$O$439,0))-SUM(IF(($B13=Admin3!$Q$12:$Q$439)*('S&amp;B'!$E$9=Admin3!$C$8:$O$8)*(Admin3!$R$12:$R$439="Actual-Month"),Admin3!$C$12:$O$439,0))</f>
        <v>0</v>
      </c>
      <c r="H13" s="414"/>
      <c r="I13" s="414">
        <f t="array" ref="I13">SUM(IF(($B13=Admin3!$Q$12:$Q$627)*('S&amp;B'!$E$9=Admin3!$C$8:$O$8)*(Admin3!$R$12:$R$627="Actual-Year"),Admin3!$C$12:$O$627,0))</f>
        <v>0</v>
      </c>
      <c r="J13" s="414">
        <f t="array" ref="J13">SUM(IF(($B13=Admin3!$Q$12:$Q$627)*('S&amp;B'!$E$9=Admin3!$C$8:$O$8)*(Admin3!$R$12:$R$627="Plan-Year"),Admin3!$C$12:$O$627,0))-SUM(IF(($B13=Admin3!$Q$12:$Q$627)*('S&amp;B'!$E$9=Admin3!$C$8:$O$8)*(Admin3!$R$12:$R$627="Actual-Year"),Admin3!$C$12:$O$627,0))</f>
        <v>0</v>
      </c>
      <c r="K13" s="414">
        <f t="array" ref="K13">SUM(IF(($B13=Admin3!$Q$12:$Q$627)*('S&amp;B'!$E$9=Admin3!$C$8:$O$8)*(Admin3!$R$12:$R$627="Forecast-Year"),Admin3!$C$12:$O$627,0))-SUM(IF(($B13=Admin3!$Q$12:$Q$627)*('S&amp;B'!$E$9=Admin3!$C$8:$O$8)*(Admin3!$R$12:$R$627="Actual-Year"),Admin3!$C$12:$O$627,0))</f>
        <v>0</v>
      </c>
      <c r="L13" s="414"/>
      <c r="M13" s="414">
        <f>FA!$G$19</f>
        <v>15</v>
      </c>
      <c r="N13" s="414">
        <f t="array" ref="N13">SUM(IF(($B13=Admin2!$Q$9:$Q$87)*($U$6=AR!$BJ$4:$BV$4)*(Admin2!$B$9:$B$87="Annual Plan"),Admin2!$C$9:$O$87,0))</f>
        <v>16</v>
      </c>
      <c r="O13" s="414">
        <f t="shared" ref="O13:O19" si="2">N13-M13</f>
        <v>1</v>
      </c>
      <c r="P13" s="449"/>
      <c r="Q13" s="414">
        <f>FA!$P$17</f>
        <v>-1</v>
      </c>
      <c r="R13" s="414">
        <f>FA!$K$17</f>
        <v>0</v>
      </c>
      <c r="S13" s="414">
        <f t="shared" si="1"/>
        <v>-1</v>
      </c>
      <c r="T13" s="414"/>
      <c r="U13" s="450">
        <f>FA!M20</f>
        <v>1</v>
      </c>
      <c r="W13" s="204">
        <f t="array" ref="W13">SUM(IF(($B13=Admin2!$Q$9:$Q$83)*($U$6=Admin2!$C$6:$O$6)*(Admin2!$B$9:$B$83="Ending EEs"),Admin2!$C$9:$O$83,0))</f>
        <v>15</v>
      </c>
      <c r="X13" s="268">
        <f t="shared" si="0"/>
        <v>0</v>
      </c>
      <c r="Y13" s="243">
        <f>FA!G18</f>
        <v>0</v>
      </c>
      <c r="Z13" s="268">
        <f t="shared" ref="Z13:Z19" si="3">X13-Y13</f>
        <v>0</v>
      </c>
    </row>
    <row r="14" spans="1:57">
      <c r="B14" s="462" t="s">
        <v>44</v>
      </c>
      <c r="C14" s="463">
        <v>7973</v>
      </c>
      <c r="D14" s="462"/>
      <c r="E14" s="464">
        <f t="array" ref="E14">SUM(IF(($B14=Admin3!$Q$12:$Q$627)*('S&amp;B'!$E$9=Admin3!$C$8:$O$8)*(Admin3!$R$12:$R$627="Actual-Month"),Admin3!$C$12:$O$627,0))</f>
        <v>0</v>
      </c>
      <c r="F14" s="464">
        <f t="array" ref="F14">SUM(IF(($B14=Admin3!$Q$12:$Q$627)*('S&amp;B'!$E$9=Admin3!$C$8:$O$8)*(Admin3!$R$12:$R$627="Plan-Month"),Admin3!$C$12:$O$627,0))-SUM(IF(($B14=Admin3!$Q$12:$Q$627)*('S&amp;B'!$E$9=Admin3!$C$8:$O$8)*(Admin3!$R$12:$R$627="Actual-Month"),Admin3!$C$12:$O$627,0))</f>
        <v>0</v>
      </c>
      <c r="G14" s="464">
        <f t="array" ref="G14">SUM(IF(($B14=Admin3!$Q$12:$Q$439)*('S&amp;B'!$E$9=Admin3!$C$8:$O$8)*(Admin3!$R$12:$R$439="Forecast-Month"),Admin3!$C$12:$O$439,0))-SUM(IF(($B14=Admin3!$Q$12:$Q$439)*('S&amp;B'!$E$9=Admin3!$C$8:$O$8)*(Admin3!$R$12:$R$439="Actual-Month"),Admin3!$C$12:$O$439,0))</f>
        <v>0</v>
      </c>
      <c r="H14" s="464"/>
      <c r="I14" s="464">
        <f t="array" ref="I14">SUM(IF(($B14=Admin3!$Q$12:$Q$627)*('S&amp;B'!$E$9=Admin3!$C$8:$O$8)*(Admin3!$R$12:$R$627="Actual-Year"),Admin3!$C$12:$O$627,0))</f>
        <v>0</v>
      </c>
      <c r="J14" s="464">
        <f t="array" ref="J14">SUM(IF(($B14=Admin3!$Q$12:$Q$627)*('S&amp;B'!$E$9=Admin3!$C$8:$O$8)*(Admin3!$R$12:$R$627="Plan-Year"),Admin3!$C$12:$O$627,0))-SUM(IF(($B14=Admin3!$Q$12:$Q$627)*('S&amp;B'!$E$9=Admin3!$C$8:$O$8)*(Admin3!$R$12:$R$627="Actual-Year"),Admin3!$C$12:$O$627,0))</f>
        <v>0</v>
      </c>
      <c r="K14" s="464">
        <f t="array" ref="K14">SUM(IF(($B14=Admin3!$Q$12:$Q$627)*('S&amp;B'!$E$9=Admin3!$C$8:$O$8)*(Admin3!$R$12:$R$627="Forecast-Year"),Admin3!$C$12:$O$627,0))-SUM(IF(($B14=Admin3!$Q$12:$Q$627)*('S&amp;B'!$E$9=Admin3!$C$8:$O$8)*(Admin3!$R$12:$R$627="Actual-Year"),Admin3!$C$12:$O$627,0))</f>
        <v>0</v>
      </c>
      <c r="L14" s="464"/>
      <c r="M14" s="464">
        <f>GL!$G$19</f>
        <v>7</v>
      </c>
      <c r="N14" s="464">
        <f t="array" ref="N14">SUM(IF(($B14=Admin2!$Q$9:$Q$87)*($U$6=AR!$BJ$4:$BV$4)*(Admin2!$B$9:$B$87="Annual Plan"),Admin2!$C$9:$O$87,0))</f>
        <v>7</v>
      </c>
      <c r="O14" s="464">
        <f t="shared" si="2"/>
        <v>0</v>
      </c>
      <c r="P14" s="465"/>
      <c r="Q14" s="464">
        <f>GL!$P$17</f>
        <v>0</v>
      </c>
      <c r="R14" s="464">
        <f>GL!$K$17</f>
        <v>0</v>
      </c>
      <c r="S14" s="464">
        <f t="shared" si="1"/>
        <v>0</v>
      </c>
      <c r="T14" s="464"/>
      <c r="U14" s="466">
        <f>GL!M20</f>
        <v>1</v>
      </c>
      <c r="W14" s="204">
        <f t="array" ref="W14">SUM(IF(($B14=Admin2!$Q$9:$Q$83)*($U$6=Admin2!$C$6:$O$6)*(Admin2!$B$9:$B$83="Ending EEs"),Admin2!$C$9:$O$83,0))</f>
        <v>7</v>
      </c>
      <c r="X14" s="268">
        <f t="shared" si="0"/>
        <v>0</v>
      </c>
      <c r="Y14" s="243">
        <f>GL!G18</f>
        <v>0</v>
      </c>
      <c r="Z14" s="268">
        <f t="shared" si="3"/>
        <v>0</v>
      </c>
    </row>
    <row r="15" spans="1:57">
      <c r="B15" s="407" t="s">
        <v>53</v>
      </c>
      <c r="C15" s="419">
        <v>17643</v>
      </c>
      <c r="D15" s="407"/>
      <c r="E15" s="414">
        <f t="array" ref="E15">SUM(IF(($B15=Admin3!$Q$12:$Q$627)*('S&amp;B'!$E$9=Admin3!$C$8:$O$8)*(Admin3!$R$12:$R$627="Actual-Month"),Admin3!$C$12:$O$627,0))</f>
        <v>0</v>
      </c>
      <c r="F15" s="414">
        <f t="array" ref="F15">SUM(IF(($B15=Admin3!$Q$12:$Q$627)*('S&amp;B'!$E$9=Admin3!$C$8:$O$8)*(Admin3!$R$12:$R$627="Plan-Month"),Admin3!$C$12:$O$627,0))-SUM(IF(($B15=Admin3!$Q$12:$Q$627)*('S&amp;B'!$E$9=Admin3!$C$8:$O$8)*(Admin3!$R$12:$R$627="Actual-Month"),Admin3!$C$12:$O$627,0))</f>
        <v>0</v>
      </c>
      <c r="G15" s="414">
        <f t="array" ref="G15">SUM(IF(($B15=Admin3!$Q$12:$Q$439)*('S&amp;B'!$E$9=Admin3!$C$8:$O$8)*(Admin3!$R$12:$R$439="Forecast-Month"),Admin3!$C$12:$O$439,0))-SUM(IF(($B15=Admin3!$Q$12:$Q$439)*('S&amp;B'!$E$9=Admin3!$C$8:$O$8)*(Admin3!$R$12:$R$439="Actual-Month"),Admin3!$C$12:$O$439,0))</f>
        <v>0</v>
      </c>
      <c r="H15" s="407"/>
      <c r="I15" s="414">
        <f t="array" ref="I15">SUM(IF(($B15=Admin3!$Q$12:$Q$627)*('S&amp;B'!$E$9=Admin3!$C$8:$O$8)*(Admin3!$R$12:$R$627="Actual-Year"),Admin3!$C$12:$O$627,0))</f>
        <v>0</v>
      </c>
      <c r="J15" s="414">
        <f t="array" ref="J15">SUM(IF(($B15=Admin3!$Q$12:$Q$627)*('S&amp;B'!$E$9=Admin3!$C$8:$O$8)*(Admin3!$R$12:$R$627="Plan-Year"),Admin3!$C$12:$O$627,0))-SUM(IF(($B15=Admin3!$Q$12:$Q$627)*('S&amp;B'!$E$9=Admin3!$C$8:$O$8)*(Admin3!$R$12:$R$627="Actual-Year"),Admin3!$C$12:$O$627,0))</f>
        <v>0</v>
      </c>
      <c r="K15" s="414">
        <f t="array" ref="K15">SUM(IF(($B15=Admin3!$Q$12:$Q$627)*('S&amp;B'!$E$9=Admin3!$C$8:$O$8)*(Admin3!$R$12:$R$627="Forecast-Year"),Admin3!$C$12:$O$627,0))-SUM(IF(($B15=Admin3!$Q$12:$Q$627)*('S&amp;B'!$E$9=Admin3!$C$8:$O$8)*(Admin3!$R$12:$R$627="Actual-Year"),Admin3!$C$12:$O$627,0))</f>
        <v>0</v>
      </c>
      <c r="L15" s="407"/>
      <c r="M15" s="414">
        <f t="array" ref="M15">SUM(IF(($B15=Admin2!$Q$9:$Q$87)*($U$6=Admin2!$C$6:$O$6)*(Admin2!$B$9:$B$87="Ending EEs"),Admin2!$C$9:$O$87,0))</f>
        <v>4</v>
      </c>
      <c r="N15" s="414">
        <f t="array" ref="N15">SUM(IF(($B15=Admin2!$Q$9:$Q$87)*($U$6=AR!$BJ$4:$BV$4)*(Admin2!$B$9:$B$87="Annual Plan"),Admin2!$C$9:$O$87,0))</f>
        <v>5</v>
      </c>
      <c r="O15" s="414">
        <f>N15-M15</f>
        <v>1</v>
      </c>
      <c r="P15" s="449"/>
      <c r="Q15" s="414">
        <v>0</v>
      </c>
      <c r="R15" s="414">
        <v>0</v>
      </c>
      <c r="S15" s="414">
        <f t="shared" si="1"/>
        <v>0</v>
      </c>
      <c r="T15" s="414"/>
      <c r="U15" s="450">
        <v>0</v>
      </c>
      <c r="W15" s="204">
        <f t="array" ref="W15">SUM(IF(($B15=Admin2!$Q$9:$Q$83)*($U$6=Admin2!$C$6:$O$6)*(Admin2!$B$9:$B$83="Ending EEs"),Admin2!$C$9:$O$83,0))</f>
        <v>4</v>
      </c>
      <c r="X15" s="268">
        <f t="shared" si="0"/>
        <v>0</v>
      </c>
      <c r="Y15" s="243">
        <v>0</v>
      </c>
      <c r="Z15" s="268">
        <f t="shared" si="3"/>
        <v>0</v>
      </c>
    </row>
    <row r="16" spans="1:57">
      <c r="B16" s="462" t="s">
        <v>45</v>
      </c>
      <c r="C16" s="463" t="s">
        <v>46</v>
      </c>
      <c r="D16" s="462"/>
      <c r="E16" s="464">
        <f t="array" ref="E16">SUM(IF(($B16=Admin3!$Q$12:$Q$627)*('S&amp;B'!$E$9=Admin3!$C$8:$O$8)*(Admin3!$R$12:$R$627="Actual-Month"),Admin3!$C$12:$O$627,0))</f>
        <v>0</v>
      </c>
      <c r="F16" s="464">
        <f t="array" ref="F16">SUM(IF(($B16=Admin3!$Q$12:$Q$627)*('S&amp;B'!$E$9=Admin3!$C$8:$O$8)*(Admin3!$R$12:$R$627="Plan-Month"),Admin3!$C$12:$O$627,0))-SUM(IF(($B16=Admin3!$Q$12:$Q$627)*('S&amp;B'!$E$9=Admin3!$C$8:$O$8)*(Admin3!$R$12:$R$627="Actual-Month"),Admin3!$C$12:$O$627,0))</f>
        <v>0</v>
      </c>
      <c r="G16" s="464">
        <f t="array" ref="G16">SUM(IF(($B16=Admin3!$Q$12:$Q$439)*('S&amp;B'!$E$9=Admin3!$C$8:$O$8)*(Admin3!$R$12:$R$439="Forecast-Month"),Admin3!$C$12:$O$439,0))-SUM(IF(($B16=Admin3!$Q$12:$Q$439)*('S&amp;B'!$E$9=Admin3!$C$8:$O$8)*(Admin3!$R$12:$R$439="Actual-Month"),Admin3!$C$12:$O$439,0))</f>
        <v>0</v>
      </c>
      <c r="H16" s="464"/>
      <c r="I16" s="464">
        <f t="array" ref="I16">SUM(IF(($B16=Admin3!$Q$12:$Q$627)*('S&amp;B'!$E$9=Admin3!$C$8:$O$8)*(Admin3!$R$12:$R$627="Actual-Year"),Admin3!$C$12:$O$627,0))</f>
        <v>0</v>
      </c>
      <c r="J16" s="464">
        <f t="array" ref="J16">SUM(IF(($B16=Admin3!$Q$12:$Q$627)*('S&amp;B'!$E$9=Admin3!$C$8:$O$8)*(Admin3!$R$12:$R$627="Plan-Year"),Admin3!$C$12:$O$627,0))-SUM(IF(($B16=Admin3!$Q$12:$Q$627)*('S&amp;B'!$E$9=Admin3!$C$8:$O$8)*(Admin3!$R$12:$R$627="Actual-Year"),Admin3!$C$12:$O$627,0))</f>
        <v>0</v>
      </c>
      <c r="K16" s="464">
        <f t="array" ref="K16">SUM(IF(($B16=Admin3!$Q$12:$Q$627)*('S&amp;B'!$E$9=Admin3!$C$8:$O$8)*(Admin3!$R$12:$R$627="Forecast-Year"),Admin3!$C$12:$O$627,0))-SUM(IF(($B16=Admin3!$Q$12:$Q$627)*('S&amp;B'!$E$9=Admin3!$C$8:$O$8)*(Admin3!$R$12:$R$627="Actual-Year"),Admin3!$C$12:$O$627,0))</f>
        <v>0</v>
      </c>
      <c r="L16" s="464"/>
      <c r="M16" s="464">
        <f>AP!$G$19</f>
        <v>34</v>
      </c>
      <c r="N16" s="464">
        <f t="array" ref="N16">SUM(IF(($B16=Admin2!$Q$9:$Q$87)*($U$6=AR!$BJ$4:$BV$4)*(Admin2!$B$9:$B$87="Annual Plan"),Admin2!$C$9:$O$87,0))</f>
        <v>34</v>
      </c>
      <c r="O16" s="464">
        <f t="shared" si="2"/>
        <v>0</v>
      </c>
      <c r="P16" s="465"/>
      <c r="Q16" s="464">
        <f>AP!$P$17</f>
        <v>0</v>
      </c>
      <c r="R16" s="464">
        <f>AP!$K$17</f>
        <v>0</v>
      </c>
      <c r="S16" s="464">
        <f t="shared" si="1"/>
        <v>0</v>
      </c>
      <c r="T16" s="464"/>
      <c r="U16" s="466">
        <f>AP!M20</f>
        <v>1</v>
      </c>
      <c r="W16" s="204">
        <f t="array" ref="W16">SUM(IF(($B16=Admin2!$Q$9:$Q$83)*($U$6=Admin2!$C$6:$O$6)*(Admin2!$B$9:$B$83="Ending EEs"),Admin2!$C$9:$O$83,0))</f>
        <v>34</v>
      </c>
      <c r="X16" s="268">
        <f t="shared" si="0"/>
        <v>0</v>
      </c>
      <c r="Y16" s="243">
        <f>AP!G18</f>
        <v>0</v>
      </c>
      <c r="Z16" s="268">
        <f t="shared" si="3"/>
        <v>0</v>
      </c>
    </row>
    <row r="17" spans="2:26">
      <c r="B17" s="407" t="s">
        <v>47</v>
      </c>
      <c r="C17" s="419">
        <v>7979</v>
      </c>
      <c r="D17" s="407"/>
      <c r="E17" s="414">
        <f t="array" ref="E17">SUM(IF(($B17=Admin3!$Q$12:$Q$627)*('S&amp;B'!$E$9=Admin3!$C$8:$O$8)*(Admin3!$R$12:$R$627="Actual-Month"),Admin3!$C$12:$O$627,0))</f>
        <v>0</v>
      </c>
      <c r="F17" s="414">
        <f t="array" ref="F17">SUM(IF(($B17=Admin3!$Q$12:$Q$627)*('S&amp;B'!$E$9=Admin3!$C$8:$O$8)*(Admin3!$R$12:$R$627="Plan-Month"),Admin3!$C$12:$O$627,0))-SUM(IF(($B17=Admin3!$Q$12:$Q$627)*('S&amp;B'!$E$9=Admin3!$C$8:$O$8)*(Admin3!$R$12:$R$627="Actual-Month"),Admin3!$C$12:$O$627,0))</f>
        <v>0</v>
      </c>
      <c r="G17" s="414">
        <f t="array" ref="G17">SUM(IF(($B17=Admin3!$Q$12:$Q$439)*('S&amp;B'!$E$9=Admin3!$C$8:$O$8)*(Admin3!$R$12:$R$439="Forecast-Month"),Admin3!$C$12:$O$439,0))-SUM(IF(($B17=Admin3!$Q$12:$Q$439)*('S&amp;B'!$E$9=Admin3!$C$8:$O$8)*(Admin3!$R$12:$R$439="Actual-Month"),Admin3!$C$12:$O$439,0))</f>
        <v>0</v>
      </c>
      <c r="H17" s="414"/>
      <c r="I17" s="414">
        <f t="array" ref="I17">SUM(IF(($B17=Admin3!$Q$12:$Q$627)*('S&amp;B'!$E$9=Admin3!$C$8:$O$8)*(Admin3!$R$12:$R$627="Actual-Year"),Admin3!$C$12:$O$627,0))</f>
        <v>0</v>
      </c>
      <c r="J17" s="414">
        <f t="array" ref="J17">SUM(IF(($B17=Admin3!$Q$12:$Q$627)*('S&amp;B'!$E$9=Admin3!$C$8:$O$8)*(Admin3!$R$12:$R$627="Plan-Year"),Admin3!$C$12:$O$627,0))-SUM(IF(($B17=Admin3!$Q$12:$Q$627)*('S&amp;B'!$E$9=Admin3!$C$8:$O$8)*(Admin3!$R$12:$R$627="Actual-Year"),Admin3!$C$12:$O$627,0))</f>
        <v>0</v>
      </c>
      <c r="K17" s="414">
        <f t="array" ref="K17">SUM(IF(($B17=Admin3!$Q$12:$Q$627)*('S&amp;B'!$E$9=Admin3!$C$8:$O$8)*(Admin3!$R$12:$R$627="Forecast-Year"),Admin3!$C$12:$O$627,0))-SUM(IF(($B17=Admin3!$Q$12:$Q$627)*('S&amp;B'!$E$9=Admin3!$C$8:$O$8)*(Admin3!$R$12:$R$627="Actual-Year"),Admin3!$C$12:$O$627,0))</f>
        <v>0</v>
      </c>
      <c r="L17" s="414"/>
      <c r="M17" s="414">
        <f>PR!$G$19</f>
        <v>37</v>
      </c>
      <c r="N17" s="414">
        <f t="array" ref="N17">SUM(IF(($B17=Admin2!$Q$9:$Q$87)*($U$6=AR!$BJ$4:$BV$4)*(Admin2!$B$9:$B$87="Annual Plan"),Admin2!$C$9:$O$87,0))</f>
        <v>39</v>
      </c>
      <c r="O17" s="414">
        <f t="shared" si="2"/>
        <v>2</v>
      </c>
      <c r="P17" s="449"/>
      <c r="Q17" s="414">
        <f>PR!$P$17</f>
        <v>0</v>
      </c>
      <c r="R17" s="414">
        <f>PR!$K$17</f>
        <v>-1</v>
      </c>
      <c r="S17" s="414">
        <f t="shared" si="1"/>
        <v>-1</v>
      </c>
      <c r="T17" s="414"/>
      <c r="U17" s="450">
        <f>PR!M20</f>
        <v>0</v>
      </c>
      <c r="W17" s="204">
        <f t="array" ref="W17">SUM(IF(($B17=Admin2!$Q$9:$Q$83)*($U$6=Admin2!$C$6:$O$6)*(Admin2!$B$9:$B$83="Ending EEs"),Admin2!$C$9:$O$83,0))</f>
        <v>37</v>
      </c>
      <c r="X17" s="268">
        <f t="shared" si="0"/>
        <v>0</v>
      </c>
      <c r="Y17" s="243">
        <f>PR!G18</f>
        <v>0</v>
      </c>
      <c r="Z17" s="268">
        <f t="shared" si="3"/>
        <v>0</v>
      </c>
    </row>
    <row r="18" spans="2:26">
      <c r="B18" s="462" t="s">
        <v>48</v>
      </c>
      <c r="C18" s="463">
        <v>8545</v>
      </c>
      <c r="D18" s="462"/>
      <c r="E18" s="464">
        <f t="array" ref="E18">SUM(IF(($B18=Admin3!$Q$12:$Q$627)*('S&amp;B'!$E$9=Admin3!$C$8:$O$8)*(Admin3!$R$12:$R$627="Actual-Month"),Admin3!$C$12:$O$627,0))</f>
        <v>0</v>
      </c>
      <c r="F18" s="464">
        <f t="array" ref="F18">SUM(IF(($B18=Admin3!$Q$12:$Q$627)*('S&amp;B'!$E$9=Admin3!$C$8:$O$8)*(Admin3!$R$12:$R$627="Plan-Month"),Admin3!$C$12:$O$627,0))-SUM(IF(($B18=Admin3!$Q$12:$Q$627)*('S&amp;B'!$E$9=Admin3!$C$8:$O$8)*(Admin3!$R$12:$R$627="Actual-Month"),Admin3!$C$12:$O$627,0))</f>
        <v>0</v>
      </c>
      <c r="G18" s="464">
        <f t="array" ref="G18">SUM(IF(($B18=Admin3!$Q$12:$Q$627)*('S&amp;B'!$E$9=Admin3!$C$8:$O$8)*(Admin3!$R$12:$R$627="Forecast-Month"),Admin3!$C$12:$O$627,0))-SUM(IF(($B18=Admin3!$Q$12:$Q$627)*('S&amp;B'!$E$9=Admin3!$C$8:$O$8)*(Admin3!$R$12:$R$627="Actual-Month"),Admin3!$C$12:$O$627,0))</f>
        <v>0</v>
      </c>
      <c r="H18" s="464"/>
      <c r="I18" s="464">
        <f t="array" ref="I18">SUM(IF(($B18=Admin3!$Q$12:$Q$627)*('S&amp;B'!$E$9=Admin3!$C$8:$O$8)*(Admin3!$R$12:$R$627="Actual-Year"),Admin3!$C$12:$O$627,0))</f>
        <v>0</v>
      </c>
      <c r="J18" s="464">
        <f t="array" ref="J18">SUM(IF(($B18=Admin3!$Q$12:$Q$627)*('S&amp;B'!$E$9=Admin3!$C$8:$O$8)*(Admin3!$R$12:$R$627="Plan-Year"),Admin3!$C$12:$O$627,0))-SUM(IF(($B18=Admin3!$Q$12:$Q$627)*('S&amp;B'!$E$9=Admin3!$C$8:$O$8)*(Admin3!$R$12:$R$627="Actual-Year"),Admin3!$C$12:$O$627,0))</f>
        <v>0</v>
      </c>
      <c r="K18" s="464">
        <f t="array" ref="K18">SUM(IF(($B18=Admin3!$Q$12:$Q$627)*('S&amp;B'!$E$9=Admin3!$C$8:$O$8)*(Admin3!$R$12:$R$627="Forecast-Year"),Admin3!$C$12:$O$627,0))-SUM(IF(($B18=Admin3!$Q$12:$Q$627)*('S&amp;B'!$E$9=Admin3!$C$8:$O$8)*(Admin3!$R$12:$R$627="Actual-Year"),Admin3!$C$12:$O$627,0))</f>
        <v>0</v>
      </c>
      <c r="L18" s="464"/>
      <c r="M18" s="464">
        <f>BSS!$G$19</f>
        <v>63</v>
      </c>
      <c r="N18" s="464">
        <f t="array" ref="N18">SUM(IF(($B18=Admin2!$Q$9:$Q$87)*($U$6=AR!$BJ$4:$BV$4)*(Admin2!$B$9:$B$87="Annual Plan"),Admin2!$C$9:$O$87,0))</f>
        <v>61</v>
      </c>
      <c r="O18" s="464">
        <f t="shared" si="2"/>
        <v>-2</v>
      </c>
      <c r="P18" s="465"/>
      <c r="Q18" s="464">
        <f>BSS!$P$17</f>
        <v>0</v>
      </c>
      <c r="R18" s="464">
        <f>BSS!$K$17</f>
        <v>-3</v>
      </c>
      <c r="S18" s="464">
        <f t="shared" si="1"/>
        <v>-3</v>
      </c>
      <c r="T18" s="464"/>
      <c r="U18" s="466">
        <f>BSS!M20</f>
        <v>2</v>
      </c>
      <c r="W18" s="204">
        <f t="array" ref="W18">SUM(IF(($B18=Admin2!$Q$9:$Q$83)*($U$6=Admin2!$C$6:$O$6)*(Admin2!$B$9:$B$83="Ending EEs"),Admin2!$C$9:$O$83,0))</f>
        <v>63</v>
      </c>
      <c r="X18" s="268">
        <f t="shared" si="0"/>
        <v>0</v>
      </c>
      <c r="Y18" s="243">
        <f>BSS!G18</f>
        <v>1</v>
      </c>
      <c r="Z18" s="268">
        <f t="shared" si="3"/>
        <v>-1</v>
      </c>
    </row>
    <row r="19" spans="2:26">
      <c r="B19" s="459" t="s">
        <v>49</v>
      </c>
      <c r="C19" s="460">
        <v>7850</v>
      </c>
      <c r="D19" s="407"/>
      <c r="E19" s="414">
        <f t="array" ref="E19">SUM(IF(($B19=Admin3!$Q$12:$Q$627)*('S&amp;B'!$E$9=Admin3!$C$8:$O$8)*(Admin3!$R$12:$R$627="Actual-Month"),Admin3!$C$12:$O$627,0))</f>
        <v>0</v>
      </c>
      <c r="F19" s="414">
        <f t="array" ref="F19">SUM(IF(($B19=Admin3!$Q$12:$Q$627)*('S&amp;B'!$E$9=Admin3!$C$8:$O$8)*(Admin3!$R$12:$R$627="Plan-Month"),Admin3!$C$12:$O$627,0))-SUM(IF(($B19=Admin3!$Q$12:$Q$627)*('S&amp;B'!$E$9=Admin3!$C$8:$O$8)*(Admin3!$R$12:$R$627="Actual-Month"),Admin3!$C$12:$O$627,0))</f>
        <v>0</v>
      </c>
      <c r="G19" s="414">
        <f t="array" ref="G19">SUM(IF(($B19=Admin3!$Q$12:$Q$627)*('S&amp;B'!$E$9=Admin3!$C$8:$O$8)*(Admin3!$R$12:$R$627="Forecast-Month"),Admin3!$C$12:$O$627,0))-SUM(IF(($B19=Admin3!$Q$12:$Q$627)*('S&amp;B'!$E$9=Admin3!$C$8:$O$8)*(Admin3!$R$12:$R$627="Actual-Month"),Admin3!$C$12:$O$627,0))</f>
        <v>0</v>
      </c>
      <c r="H19" s="414"/>
      <c r="I19" s="414">
        <f t="array" ref="I19">SUM(IF(($B19=Admin3!$Q$12:$Q$627)*('S&amp;B'!$E$9=Admin3!$C$8:$O$8)*(Admin3!$R$12:$R$627="Actual-Year"),Admin3!$C$12:$O$627,0))</f>
        <v>0</v>
      </c>
      <c r="J19" s="414">
        <f t="array" ref="J19">SUM(IF(($B19=Admin3!$Q$12:$Q$627)*('S&amp;B'!$E$9=Admin3!$C$8:$O$8)*(Admin3!$R$12:$R$627="Plan-Year"),Admin3!$C$12:$O$627,0))-SUM(IF(($B19=Admin3!$Q$12:$Q$627)*('S&amp;B'!$E$9=Admin3!$C$8:$O$8)*(Admin3!$R$12:$R$627="Actual-Year"),Admin3!$C$12:$O$627,0))</f>
        <v>0</v>
      </c>
      <c r="K19" s="414">
        <f t="array" ref="K19">SUM(IF(($B19=Admin3!$Q$12:$Q$627)*('S&amp;B'!$E$9=Admin3!$C$8:$O$8)*(Admin3!$R$12:$R$627="Forecast-Year"),Admin3!$C$12:$O$627,0))-SUM(IF(($B19=Admin3!$Q$12:$Q$627)*('S&amp;B'!$E$9=Admin3!$C$8:$O$8)*(Admin3!$R$12:$R$627="Actual-Year"),Admin3!$C$12:$O$627,0))</f>
        <v>0</v>
      </c>
      <c r="L19" s="414"/>
      <c r="M19" s="414">
        <f>PMO!$G$19</f>
        <v>7</v>
      </c>
      <c r="N19" s="414">
        <f t="array" ref="N19">SUM(IF(($B19=Admin2!$Q$9:$Q$87)*($U$6=AR!$BJ$4:$BV$4)*(Admin2!$B$9:$B$87="Annual Plan"),Admin2!$C$9:$O$87,0))</f>
        <v>7</v>
      </c>
      <c r="O19" s="414">
        <f t="shared" si="2"/>
        <v>0</v>
      </c>
      <c r="P19" s="449"/>
      <c r="Q19" s="414">
        <f>PMO!$P$17</f>
        <v>0</v>
      </c>
      <c r="R19" s="414">
        <f>PMO!$K$17</f>
        <v>0</v>
      </c>
      <c r="S19" s="414">
        <f t="shared" si="1"/>
        <v>0</v>
      </c>
      <c r="T19" s="414"/>
      <c r="U19" s="450">
        <f>PMO!M20</f>
        <v>0</v>
      </c>
      <c r="W19" s="204">
        <f t="array" ref="W19">SUM(IF(($B19=Admin2!$Q$9:$Q$83)*($U$6=Admin2!$C$6:$O$6)*(Admin2!$B$9:$B$83="Ending EEs"),Admin2!$C$9:$O$83,0))</f>
        <v>7</v>
      </c>
      <c r="X19" s="268">
        <f t="shared" si="0"/>
        <v>0</v>
      </c>
      <c r="Y19" s="243">
        <f>PMO!G18</f>
        <v>0</v>
      </c>
      <c r="Z19" s="268">
        <f t="shared" si="3"/>
        <v>0</v>
      </c>
    </row>
    <row r="20" spans="2:26">
      <c r="B20" s="420" t="s">
        <v>221</v>
      </c>
      <c r="C20" s="419"/>
      <c r="D20" s="407"/>
      <c r="E20" s="623">
        <f>SUM(E11:E19)</f>
        <v>0</v>
      </c>
      <c r="F20" s="623">
        <f t="shared" ref="F20:K20" si="4">SUM(F11:F19)</f>
        <v>0</v>
      </c>
      <c r="G20" s="623">
        <f t="shared" si="4"/>
        <v>0</v>
      </c>
      <c r="H20" s="623">
        <f t="shared" si="4"/>
        <v>0</v>
      </c>
      <c r="I20" s="623">
        <f t="shared" si="4"/>
        <v>0</v>
      </c>
      <c r="J20" s="623">
        <f t="shared" si="4"/>
        <v>0</v>
      </c>
      <c r="K20" s="623">
        <f t="shared" si="4"/>
        <v>0</v>
      </c>
      <c r="L20" s="407"/>
      <c r="M20" s="624">
        <f>SUM(M11:M19)</f>
        <v>211</v>
      </c>
      <c r="N20" s="624">
        <f>SUM(N11:N19)</f>
        <v>215</v>
      </c>
      <c r="O20" s="624">
        <f>SUM(O11:O19)</f>
        <v>4</v>
      </c>
      <c r="P20" s="416"/>
      <c r="Q20" s="623">
        <f>SUM(Q11:Q19)</f>
        <v>-1</v>
      </c>
      <c r="R20" s="623">
        <f>SUM(R11:R19)</f>
        <v>-4</v>
      </c>
      <c r="S20" s="623">
        <f>SUM(S11:S19)</f>
        <v>-5</v>
      </c>
      <c r="T20" s="414"/>
      <c r="U20" s="623">
        <f>SUM(U11:U19)</f>
        <v>7</v>
      </c>
      <c r="W20" s="172"/>
      <c r="X20" s="172"/>
      <c r="Y20" s="625">
        <f>SUM(Y11:Y19)</f>
        <v>1</v>
      </c>
      <c r="Z20" s="172"/>
    </row>
    <row r="21" spans="2:26">
      <c r="B21" s="420"/>
      <c r="C21" s="419"/>
      <c r="D21" s="407"/>
      <c r="E21" s="416"/>
      <c r="F21" s="416"/>
      <c r="G21" s="416"/>
      <c r="H21" s="407"/>
      <c r="I21" s="416"/>
      <c r="J21" s="416"/>
      <c r="K21" s="416"/>
      <c r="L21" s="407"/>
      <c r="M21" s="416"/>
      <c r="N21" s="416"/>
      <c r="O21" s="416"/>
      <c r="P21" s="416"/>
      <c r="Q21" s="416"/>
      <c r="R21" s="416"/>
      <c r="S21" s="416"/>
      <c r="T21" s="416"/>
      <c r="U21" s="424"/>
    </row>
    <row r="22" spans="2:26">
      <c r="B22" s="407" t="s">
        <v>50</v>
      </c>
      <c r="C22" s="419">
        <v>7988</v>
      </c>
      <c r="D22" s="407"/>
      <c r="E22" s="414">
        <f t="array" ref="E22">SUM(IF(($B22=Admin3!$Q$12:$Q$627)*('S&amp;B'!$E$9=Admin3!$C$8:$O$8)*(Admin3!$R$12:$R$627="Actual-Month"),Admin3!$C$12:$O$627,0))</f>
        <v>0</v>
      </c>
      <c r="F22" s="414">
        <f t="array" ref="F22">SUM(IF(($B22=Admin3!$Q$12:$Q$627)*('S&amp;B'!$E$9=Admin3!$C$8:$O$8)*(Admin3!$R$12:$R$627="Plan-Month"),Admin3!$C$12:$O$627,0))-SUM(IF(($B22=Admin3!$Q$12:$Q$627)*('S&amp;B'!$E$9=Admin3!$C$8:$O$8)*(Admin3!$R$12:$R$627="Actual-Month"),Admin3!$C$12:$O$627,0))</f>
        <v>0</v>
      </c>
      <c r="G22" s="414">
        <f t="array" ref="G22">SUM(IF(($B22=Admin3!$Q$12:$Q$627)*('S&amp;B'!$E$9=Admin3!$C$8:$O$8)*(Admin3!$R$12:$R$627="Forecast-Month"),Admin3!$C$12:$O$627,0))-SUM(IF(($B22=Admin3!$Q$12:$Q$627)*('S&amp;B'!$E$9=Admin3!$C$8:$O$8)*(Admin3!$R$12:$R$627="Actual-Month"),Admin3!$C$12:$O$627,0))</f>
        <v>0</v>
      </c>
      <c r="H22" s="407"/>
      <c r="I22" s="414">
        <f t="array" ref="I22">SUM(IF(($B22=Admin3!$Q$12:$Q$627)*('S&amp;B'!$E$9=Admin3!$C$8:$O$8)*(Admin3!$R$12:$R$627="Actual-Year"),Admin3!$C$12:$O$627,0))</f>
        <v>0</v>
      </c>
      <c r="J22" s="414">
        <f t="array" ref="J22">SUM(IF(($B22=Admin3!$Q$12:$Q$627)*('S&amp;B'!$E$9=Admin3!$C$8:$O$8)*(Admin3!$R$12:$R$627="Plan-Year"),Admin3!$C$12:$O$627,0))-SUM(IF(($B22=Admin3!$Q$12:$Q$627)*('S&amp;B'!$E$9=Admin3!$C$8:$O$8)*(Admin3!$R$12:$R$627="Actual-Year"),Admin3!$C$12:$O$627,0))</f>
        <v>0</v>
      </c>
      <c r="K22" s="414">
        <f t="array" ref="K22">SUM(IF(($B22=Admin3!$Q$12:$Q$627)*('S&amp;B'!$E$9=Admin3!$C$8:$O$8)*(Admin3!$R$12:$R$627="Forecast-Year"),Admin3!$C$12:$O$627,0))-SUM(IF(($B22=Admin3!$Q$12:$Q$627)*('S&amp;B'!$E$9=Admin3!$C$8:$O$8)*(Admin3!$R$12:$R$627="Actual-Year"),Admin3!$C$12:$O$627,0))</f>
        <v>0</v>
      </c>
      <c r="L22" s="407"/>
      <c r="M22" s="414" cm="1">
        <f t="array" ref="M22">SUM(IF(($B22=Admin2!$Q$9:$Q$91)*($U$6=Admin2!$C$6:$O$6)*(Admin2!$B$9:$B$91="Ending EEs"),Admin2!$C$9:$O$91,0))</f>
        <v>0</v>
      </c>
      <c r="N22" s="414" cm="1">
        <f t="array" ref="N22">SUM(IF(($B22=Admin2!$Q$9:$Q$91)*($U$6=AR!$BJ$4:$BV$4)*(Admin2!$B$9:$B$91="Annual Plan"),Admin2!$C$9:$O$91,0))</f>
        <v>0</v>
      </c>
      <c r="O22" s="414">
        <f t="shared" ref="O22:O30" si="5">N22-M22</f>
        <v>0</v>
      </c>
      <c r="P22" s="449"/>
      <c r="Q22" s="414">
        <v>0</v>
      </c>
      <c r="R22" s="414">
        <v>0</v>
      </c>
      <c r="S22" s="414">
        <f t="shared" ref="S22:S30" si="6">SUM(Q22:R22)</f>
        <v>0</v>
      </c>
      <c r="T22" s="414"/>
      <c r="U22" s="424"/>
    </row>
    <row r="23" spans="2:26">
      <c r="B23" s="462" t="s">
        <v>51</v>
      </c>
      <c r="C23" s="463">
        <v>7971</v>
      </c>
      <c r="D23" s="462"/>
      <c r="E23" s="464">
        <f t="array" ref="E23">SUM(IF(($B23=Admin3!$Q$12:$Q$627)*('S&amp;B'!$E$9=Admin3!$C$8:$O$8)*(Admin3!$R$12:$R$627="Actual-Month"),Admin3!$C$12:$O$627,0))</f>
        <v>0</v>
      </c>
      <c r="F23" s="464">
        <f t="array" ref="F23">SUM(IF(($B23=Admin3!$Q$12:$Q$627)*('S&amp;B'!$E$9=Admin3!$C$8:$O$8)*(Admin3!$R$12:$R$627="Plan-Month"),Admin3!$C$12:$O$627,0))-SUM(IF(($B23=Admin3!$Q$12:$Q$627)*('S&amp;B'!$E$9=Admin3!$C$8:$O$8)*(Admin3!$R$12:$R$627="Actual-Month"),Admin3!$C$12:$O$627,0))</f>
        <v>0</v>
      </c>
      <c r="G23" s="464">
        <f t="array" ref="G23">SUM(IF(($B23=Admin3!$Q$12:$Q$627)*('S&amp;B'!$E$9=Admin3!$C$8:$O$8)*(Admin3!$R$12:$R$627="Forecast-Month"),Admin3!$C$12:$O$627,0))-SUM(IF(($B23=Admin3!$Q$12:$Q$627)*('S&amp;B'!$E$9=Admin3!$C$8:$O$8)*(Admin3!$R$12:$R$627="Actual-Month"),Admin3!$C$12:$O$627,0))</f>
        <v>0</v>
      </c>
      <c r="H23" s="462"/>
      <c r="I23" s="464">
        <f t="array" ref="I23">SUM(IF(($B23=Admin3!$Q$12:$Q$627)*('S&amp;B'!$E$9=Admin3!$C$8:$O$8)*(Admin3!$R$12:$R$627="Actual-Year"),Admin3!$C$12:$O$627,0))</f>
        <v>0</v>
      </c>
      <c r="J23" s="464">
        <f t="array" ref="J23">SUM(IF(($B23=Admin3!$Q$12:$Q$627)*('S&amp;B'!$E$9=Admin3!$C$8:$O$8)*(Admin3!$R$12:$R$627="Plan-Year"),Admin3!$C$12:$O$627,0))-SUM(IF(($B23=Admin3!$Q$12:$Q$627)*('S&amp;B'!$E$9=Admin3!$C$8:$O$8)*(Admin3!$R$12:$R$627="Actual-Year"),Admin3!$C$12:$O$627,0))</f>
        <v>0</v>
      </c>
      <c r="K23" s="464">
        <f t="array" ref="K23">SUM(IF(($B23=Admin3!$Q$12:$Q$627)*('S&amp;B'!$E$9=Admin3!$C$8:$O$8)*(Admin3!$R$12:$R$627="Forecast-Year"),Admin3!$C$12:$O$627,0))-SUM(IF(($B23=Admin3!$Q$12:$Q$627)*('S&amp;B'!$E$9=Admin3!$C$8:$O$8)*(Admin3!$R$12:$R$627="Actual-Year"),Admin3!$C$12:$O$627,0))</f>
        <v>0</v>
      </c>
      <c r="L23" s="462"/>
      <c r="M23" s="464" cm="1">
        <f t="array" ref="M23">SUM(IF(($B23=Admin2!$Q$9:$Q$91)*($U$6=Admin2!$C$6:$O$6)*(Admin2!$B$9:$B$91="Ending EEs"),Admin2!$C$9:$O$91,0))</f>
        <v>5</v>
      </c>
      <c r="N23" s="464" cm="1">
        <f t="array" ref="N23">SUM(IF(($B23=Admin2!$Q$9:$Q$91)*($U$6=AR!$BJ$4:$BV$4)*(Admin2!$B$9:$B$91="Annual Plan"),Admin2!$C$9:$O$91,0))</f>
        <v>5</v>
      </c>
      <c r="O23" s="464">
        <f t="shared" si="5"/>
        <v>0</v>
      </c>
      <c r="P23" s="465"/>
      <c r="Q23" s="464">
        <v>0</v>
      </c>
      <c r="R23" s="464">
        <v>0</v>
      </c>
      <c r="S23" s="464">
        <f t="shared" si="6"/>
        <v>0</v>
      </c>
      <c r="T23" s="464"/>
      <c r="U23" s="467"/>
    </row>
    <row r="24" spans="2:26">
      <c r="B24" s="407" t="s">
        <v>52</v>
      </c>
      <c r="C24" s="419">
        <v>7987</v>
      </c>
      <c r="D24" s="407"/>
      <c r="E24" s="414">
        <f t="array" ref="E24">SUM(IF(($B24=Admin3!$Q$12:$Q$627)*('S&amp;B'!$E$9=Admin3!$C$8:$O$8)*(Admin3!$R$12:$R$627="Actual-Month"),Admin3!$C$12:$O$627,0))</f>
        <v>0</v>
      </c>
      <c r="F24" s="414">
        <f t="array" ref="F24">SUM(IF(($B24=Admin3!$Q$12:$Q$627)*('S&amp;B'!$E$9=Admin3!$C$8:$O$8)*(Admin3!$R$12:$R$627="Plan-Month"),Admin3!$C$12:$O$627,0))-SUM(IF(($B24=Admin3!$Q$12:$Q$627)*('S&amp;B'!$E$9=Admin3!$C$8:$O$8)*(Admin3!$R$12:$R$627="Actual-Month"),Admin3!$C$12:$O$627,0))</f>
        <v>0</v>
      </c>
      <c r="G24" s="414">
        <f t="array" ref="G24">SUM(IF(($B24=Admin3!$Q$12:$Q$627)*('S&amp;B'!$E$9=Admin3!$C$8:$O$8)*(Admin3!$R$12:$R$627="Forecast-Month"),Admin3!$C$12:$O$627,0))-SUM(IF(($B24=Admin3!$Q$12:$Q$627)*('S&amp;B'!$E$9=Admin3!$C$8:$O$8)*(Admin3!$R$12:$R$627="Actual-Month"),Admin3!$C$12:$O$627,0))</f>
        <v>0</v>
      </c>
      <c r="H24" s="407"/>
      <c r="I24" s="414">
        <f t="array" ref="I24">SUM(IF(($B24=Admin3!$Q$12:$Q$627)*('S&amp;B'!$E$9=Admin3!$C$8:$O$8)*(Admin3!$R$12:$R$627="Actual-Year"),Admin3!$C$12:$O$627,0))</f>
        <v>0</v>
      </c>
      <c r="J24" s="414">
        <f t="array" ref="J24">SUM(IF(($B24=Admin3!$Q$12:$Q$627)*('S&amp;B'!$E$9=Admin3!$C$8:$O$8)*(Admin3!$R$12:$R$627="Plan-Year"),Admin3!$C$12:$O$627,0))-SUM(IF(($B24=Admin3!$Q$12:$Q$627)*('S&amp;B'!$E$9=Admin3!$C$8:$O$8)*(Admin3!$R$12:$R$627="Actual-Year"),Admin3!$C$12:$O$627,0))</f>
        <v>0</v>
      </c>
      <c r="K24" s="414">
        <f t="array" ref="K24">SUM(IF(($B24=Admin3!$Q$12:$Q$627)*('S&amp;B'!$E$9=Admin3!$C$8:$O$8)*(Admin3!$R$12:$R$627="Forecast-Year"),Admin3!$C$12:$O$627,0))-SUM(IF(($B24=Admin3!$Q$12:$Q$627)*('S&amp;B'!$E$9=Admin3!$C$8:$O$8)*(Admin3!$R$12:$R$627="Actual-Year"),Admin3!$C$12:$O$627,0))</f>
        <v>0</v>
      </c>
      <c r="L24" s="407"/>
      <c r="M24" s="414" cm="1">
        <f t="array" ref="M24">SUM(IF(($B24=Admin2!$Q$9:$Q$91)*($U$6=Admin2!$C$6:$O$6)*(Admin2!$B$9:$B$91="Ending EEs"),Admin2!$C$9:$O$91,0))</f>
        <v>2</v>
      </c>
      <c r="N24" s="414" cm="1">
        <f t="array" ref="N24">SUM(IF(($B24=Admin2!$Q$9:$Q$91)*($U$6=AR!$BJ$4:$BV$4)*(Admin2!$B$9:$B$91="Annual Plan"),Admin2!$C$9:$O$91,0))</f>
        <v>2</v>
      </c>
      <c r="O24" s="414">
        <f t="shared" si="5"/>
        <v>0</v>
      </c>
      <c r="P24" s="449"/>
      <c r="Q24" s="414">
        <v>0</v>
      </c>
      <c r="R24" s="414">
        <v>0</v>
      </c>
      <c r="S24" s="414">
        <f t="shared" si="6"/>
        <v>0</v>
      </c>
      <c r="T24" s="414"/>
      <c r="U24" s="424"/>
    </row>
    <row r="25" spans="2:26">
      <c r="B25" s="595" t="s">
        <v>91</v>
      </c>
      <c r="C25" s="596">
        <v>16963</v>
      </c>
      <c r="D25" s="595"/>
      <c r="E25" s="597">
        <f t="array" ref="E25">SUM(IF(($B25=Admin3!$Q$12:$Q$627)*('S&amp;B'!$E$9=Admin3!$C$8:$O$8)*(Admin3!$R$12:$R$627="Actual-Month"),Admin3!$C$12:$O$627,0))</f>
        <v>0</v>
      </c>
      <c r="F25" s="597">
        <f t="array" ref="F25">SUM(IF(($B25=Admin3!$Q$12:$Q$627)*('S&amp;B'!$E$9=Admin3!$C$8:$O$8)*(Admin3!$R$12:$R$627="Plan-Month"),Admin3!$C$12:$O$627,0))-SUM(IF(($B25=Admin3!$Q$12:$Q$627)*('S&amp;B'!$E$9=Admin3!$C$8:$O$8)*(Admin3!$R$12:$R$627="Actual-Month"),Admin3!$C$12:$O$627,0))</f>
        <v>0</v>
      </c>
      <c r="G25" s="597">
        <f t="array" ref="G25">SUM(IF(($B25=Admin3!$Q$12:$Q$627)*('S&amp;B'!$E$9=Admin3!$C$8:$O$8)*(Admin3!$R$12:$R$627="Forecast-Month"),Admin3!$C$12:$O$627,0))-SUM(IF(($B25=Admin3!$Q$12:$Q$627)*('S&amp;B'!$E$9=Admin3!$C$8:$O$8)*(Admin3!$R$12:$R$627="Actual-Month"),Admin3!$C$12:$O$627,0))</f>
        <v>0</v>
      </c>
      <c r="H25" s="597">
        <f t="array" ref="H25">SUM(IF(($B25=Admin3!$Q$12:$Q$627)*('S&amp;B'!$E$9=Admin3!$C$8:$O$8)*(Admin3!$R$12:$R$627="Actual-Month"),Admin3!$C$12:$O$627,0))</f>
        <v>0</v>
      </c>
      <c r="I25" s="597">
        <f t="array" ref="I25">SUM(IF(($B25=Admin3!$Q$12:$Q$627)*('S&amp;B'!$E$9=Admin3!$C$8:$O$8)*(Admin3!$R$12:$R$627="Actual-Year"),Admin3!$C$12:$O$627,0))</f>
        <v>0</v>
      </c>
      <c r="J25" s="597">
        <f t="array" ref="J25">SUM(IF(($B25=Admin3!$Q$12:$Q$627)*('S&amp;B'!$E$9=Admin3!$C$8:$O$8)*(Admin3!$R$12:$R$627="Plan-Year"),Admin3!$C$12:$O$627,0))-SUM(IF(($B25=Admin3!$Q$12:$Q$627)*('S&amp;B'!$E$9=Admin3!$C$8:$O$8)*(Admin3!$R$12:$R$627="Actual-Year"),Admin3!$C$12:$O$627,0))</f>
        <v>0</v>
      </c>
      <c r="K25" s="464">
        <f t="array" ref="K25">SUM(IF(($B25=Admin3!$Q$12:$Q$627)*('S&amp;B'!$E$9=Admin3!$C$8:$O$8)*(Admin3!$R$12:$R$627="Forecast-Year"),Admin3!$C$12:$O$627,0))-SUM(IF(($B25=Admin3!$Q$12:$Q$627)*('S&amp;B'!$E$9=Admin3!$C$8:$O$8)*(Admin3!$R$12:$R$627="Actual-Year"),Admin3!$C$12:$O$627,0))</f>
        <v>0</v>
      </c>
      <c r="L25" s="462"/>
      <c r="M25" s="464" cm="1">
        <f t="array" ref="M25">SUM(IF(($B25=Admin2!$Q$9:$Q$91)*($U$6=Admin2!$C$6:$O$6)*(Admin2!$B$9:$B$91="Ending EEs"),Admin2!$C$9:$O$91,0))</f>
        <v>0</v>
      </c>
      <c r="N25" s="464" cm="1">
        <f t="array" ref="N25">SUM(IF(($B25=Admin2!$Q$9:$Q$91)*($U$6=AR!$BJ$4:$BV$4)*(Admin2!$B$9:$B$91="Annual Plan"),Admin2!$C$9:$O$91,0))</f>
        <v>0</v>
      </c>
      <c r="O25" s="464">
        <f t="shared" si="5"/>
        <v>0</v>
      </c>
      <c r="P25" s="465"/>
      <c r="Q25" s="464">
        <v>0</v>
      </c>
      <c r="R25" s="464">
        <v>0</v>
      </c>
      <c r="S25" s="464">
        <f t="shared" si="6"/>
        <v>0</v>
      </c>
      <c r="T25" s="464"/>
      <c r="U25" s="467"/>
    </row>
    <row r="26" spans="2:26">
      <c r="B26" s="407" t="s">
        <v>56</v>
      </c>
      <c r="C26" s="602" t="s">
        <v>94</v>
      </c>
      <c r="D26" s="407"/>
      <c r="E26" s="414">
        <f t="array" ref="E26">SUM(IF(($B26=Admin3!$Q$12:$Q$627)*('S&amp;B'!$E$9=Admin3!$C$8:$O$8)*(Admin3!$R$12:$R$627="Actual-Month"),Admin3!$C$12:$O$627,0))</f>
        <v>0</v>
      </c>
      <c r="F26" s="414">
        <f t="array" ref="F26">SUM(IF(($B26=Admin3!$Q$12:$Q$627)*('S&amp;B'!$E$9=Admin3!$C$8:$O$8)*(Admin3!$R$12:$R$627="Plan-Month"),Admin3!$C$12:$O$627,0))-SUM(IF(($B26=Admin3!$Q$12:$Q$627)*('S&amp;B'!$E$9=Admin3!$C$8:$O$8)*(Admin3!$R$12:$R$627="Actual-Month"),Admin3!$C$12:$O$627,0))</f>
        <v>0</v>
      </c>
      <c r="G26" s="414">
        <f t="array" ref="G26">SUM(IF(($B26=Admin3!$Q$12:$Q$627)*('S&amp;B'!$E$9=Admin3!$C$8:$O$8)*(Admin3!$R$12:$R$627="Forecast-Month"),Admin3!$C$12:$O$627,0))-SUM(IF(($B26=Admin3!$Q$12:$Q$627)*('S&amp;B'!$E$9=Admin3!$C$8:$O$8)*(Admin3!$R$12:$R$627="Actual-Month"),Admin3!$C$12:$O$627,0))</f>
        <v>0</v>
      </c>
      <c r="H26" s="414">
        <f t="array" ref="H26">SUM(IF(($B26=Admin3!$Q$12:$Q$627)*('S&amp;B'!$E$9=Admin3!$C$8:$O$8)*(Admin3!$R$12:$R$627="Actual-Month"),Admin3!$C$12:$O$627,0))</f>
        <v>0</v>
      </c>
      <c r="I26" s="414">
        <f t="array" ref="I26">SUM(IF(($B26=Admin3!$Q$12:$Q$627)*('S&amp;B'!$E$9=Admin3!$C$8:$O$8)*(Admin3!$R$12:$R$627="Actual-Year"),Admin3!$C$12:$O$627,0))</f>
        <v>0</v>
      </c>
      <c r="J26" s="414">
        <f t="array" ref="J26">SUM(IF(($B26=Admin3!$Q$12:$Q$627)*('S&amp;B'!$E$9=Admin3!$C$8:$O$8)*(Admin3!$R$12:$R$627="Plan-Year"),Admin3!$C$12:$O$627,0))-SUM(IF(($B26=Admin3!$Q$12:$Q$627)*('S&amp;B'!$E$9=Admin3!$C$8:$O$8)*(Admin3!$R$12:$R$627="Actual-Year"),Admin3!$C$12:$O$627,0))</f>
        <v>0</v>
      </c>
      <c r="K26" s="414">
        <f t="array" ref="K26">SUM(IF(($B26=Admin3!$Q$12:$Q$627)*('S&amp;B'!$E$9=Admin3!$C$8:$O$8)*(Admin3!$R$12:$R$627="Forecast-Year"),Admin3!$C$12:$O$627,0))-SUM(IF(($B26=Admin3!$Q$12:$Q$627)*('S&amp;B'!$E$9=Admin3!$C$8:$O$8)*(Admin3!$R$12:$R$627="Actual-Year"),Admin3!$C$12:$O$627,0))</f>
        <v>0</v>
      </c>
      <c r="L26" s="407"/>
      <c r="M26" s="414" cm="1">
        <f t="array" ref="M26">SUM(IF(($B26=Admin2!$Q$9:$Q$91)*($U$6=Admin2!$C$6:$O$6)*(Admin2!$B$9:$B$91="Ending EEs"),Admin2!$C$9:$O$91,0))</f>
        <v>7</v>
      </c>
      <c r="N26" s="414" cm="1">
        <f t="array" ref="N26">SUM(IF(($B26=Admin2!$Q$9:$Q$91)*($U$6=AR!$BJ$4:$BV$4)*(Admin2!$B$9:$B$91="Annual Plan"),Admin2!$C$9:$O$91,0))</f>
        <v>7</v>
      </c>
      <c r="O26" s="414">
        <f t="shared" si="5"/>
        <v>0</v>
      </c>
      <c r="P26" s="449"/>
      <c r="Q26" s="414">
        <v>0</v>
      </c>
      <c r="R26" s="414">
        <v>0</v>
      </c>
      <c r="S26" s="414">
        <f t="shared" si="6"/>
        <v>0</v>
      </c>
      <c r="T26" s="414"/>
      <c r="U26" s="424"/>
    </row>
    <row r="27" spans="2:26">
      <c r="B27" s="462" t="s">
        <v>85</v>
      </c>
      <c r="C27" s="463">
        <v>6997</v>
      </c>
      <c r="D27" s="462"/>
      <c r="E27" s="464" cm="1">
        <f t="array" ref="E27">SUM(IF(($B27=Admin3!$Q$12:$Q$627)*('S&amp;B'!$E$9=Admin3!$C$8:$O$8)*(Admin3!$R$12:$R$627="Actual-Month"),Admin3!$C$12:$O$627,0))</f>
        <v>0</v>
      </c>
      <c r="F27" s="464">
        <f t="array" ref="F27">SUM(IF(($B27=Admin3!$Q$12:$Q$627)*('S&amp;B'!$E$9=Admin3!$C$8:$O$8)*(Admin3!$R$12:$R$627="Plan-Month"),Admin3!$C$12:$O$627,0))-SUM(IF(($B27=Admin3!$Q$12:$Q$627)*('S&amp;B'!$E$9=Admin3!$C$8:$O$8)*(Admin3!$R$12:$R$627="Actual-Month"),Admin3!$C$12:$O$627,0))</f>
        <v>0</v>
      </c>
      <c r="G27" s="464">
        <f t="array" ref="G27">SUM(IF(($B27=Admin3!$Q$12:$Q$627)*('S&amp;B'!$E$9=Admin3!$C$8:$O$8)*(Admin3!$R$12:$R$627="Forecast-Month"),Admin3!$C$12:$O$627,0))-SUM(IF(($B27=Admin3!$Q$12:$Q$627)*('S&amp;B'!$E$9=Admin3!$C$8:$O$8)*(Admin3!$R$12:$R$627="Actual-Month"),Admin3!$C$12:$O$627,0))</f>
        <v>0</v>
      </c>
      <c r="H27" s="462"/>
      <c r="I27" s="464">
        <f t="array" ref="I27">SUM(IF(($B27=Admin3!$Q$12:$Q$627)*('S&amp;B'!$E$9=Admin3!$C$8:$O$8)*(Admin3!$R$12:$R$627="Actual-Year"),Admin3!$C$12:$O$627,0))</f>
        <v>0</v>
      </c>
      <c r="J27" s="464">
        <f t="array" ref="J27">SUM(IF(($B27=Admin3!$Q$12:$Q$627)*('S&amp;B'!$E$9=Admin3!$C$8:$O$8)*(Admin3!$R$12:$R$627="Plan-Year"),Admin3!$C$12:$O$627,0))-SUM(IF(($B27=Admin3!$Q$12:$Q$627)*('S&amp;B'!$E$9=Admin3!$C$8:$O$8)*(Admin3!$R$12:$R$627="Actual-Year"),Admin3!$C$12:$O$627,0))</f>
        <v>0</v>
      </c>
      <c r="K27" s="464">
        <f t="array" ref="K27">SUM(IF(($B27=Admin3!$Q$12:$Q$627)*('S&amp;B'!$E$9=Admin3!$C$8:$O$8)*(Admin3!$R$12:$R$627="Forecast-Year"),Admin3!$C$12:$O$627,0))-SUM(IF(($B27=Admin3!$Q$12:$Q$627)*('S&amp;B'!$E$9=Admin3!$C$8:$O$8)*(Admin3!$R$12:$R$627="Actual-Year"),Admin3!$C$12:$O$627,0))</f>
        <v>0</v>
      </c>
      <c r="L27" s="462"/>
      <c r="M27" s="464" cm="1">
        <f t="array" ref="M27">SUM(IF(($B27=Admin2!$Q$9:$Q$91)*($U$6=Admin2!$C$6:$O$6)*(Admin2!$B$9:$B$91="Ending EEs"),Admin2!$C$9:$O$91,0))</f>
        <v>0</v>
      </c>
      <c r="N27" s="464" cm="1">
        <f t="array" ref="N27">SUM(IF(($B27=Admin2!$Q$9:$Q$91)*($U$6=AR!$BJ$4:$BV$4)*(Admin2!$B$9:$B$91="Annual Plan"),Admin2!$C$9:$O$91,0))</f>
        <v>0</v>
      </c>
      <c r="O27" s="464">
        <f t="shared" si="5"/>
        <v>0</v>
      </c>
      <c r="P27" s="465"/>
      <c r="Q27" s="464">
        <v>0</v>
      </c>
      <c r="R27" s="464">
        <v>0</v>
      </c>
      <c r="S27" s="464">
        <f t="shared" si="6"/>
        <v>0</v>
      </c>
      <c r="T27" s="464"/>
      <c r="U27" s="467"/>
    </row>
    <row r="28" spans="2:26">
      <c r="B28" s="407" t="s">
        <v>78</v>
      </c>
      <c r="C28" s="602" t="s">
        <v>79</v>
      </c>
      <c r="D28" s="407"/>
      <c r="E28" s="414" cm="1">
        <f t="array" ref="E28">SUM(IF(($B28=Admin3!$Q$12:$Q$627)*('S&amp;B'!$E$9=Admin3!$C$8:$O$8)*(Admin3!$R$12:$R$627="Actual-Month"),Admin3!$C$12:$O$627,0))</f>
        <v>0</v>
      </c>
      <c r="F28" s="414">
        <f t="array" ref="F28">SUM(IF(($B28=Admin3!$Q$12:$Q$627)*('S&amp;B'!$E$9=Admin3!$C$8:$O$8)*(Admin3!$R$12:$R$627="Plan-Month"),Admin3!$C$12:$O$627,0))-SUM(IF(($B28=Admin3!$Q$12:$Q$627)*('S&amp;B'!$E$9=Admin3!$C$8:$O$8)*(Admin3!$R$12:$R$627="Actual-Month"),Admin3!$C$12:$O$627,0))</f>
        <v>0</v>
      </c>
      <c r="G28" s="414">
        <f t="array" ref="G28">SUM(IF(($B28=Admin3!$Q$12:$Q$627)*('S&amp;B'!$E$9=Admin3!$C$8:$O$8)*(Admin3!$R$12:$R$627="Forecast-Month"),Admin3!$C$12:$O$627,0))-SUM(IF(($B28=Admin3!$Q$12:$Q$627)*('S&amp;B'!$E$9=Admin3!$C$8:$O$8)*(Admin3!$R$12:$R$627="Actual-Month"),Admin3!$C$12:$O$627,0))</f>
        <v>0</v>
      </c>
      <c r="H28" s="407"/>
      <c r="I28" s="414">
        <f t="array" ref="I28">SUM(IF(($B28=Admin3!$Q$12:$Q$627)*('S&amp;B'!$E$9=Admin3!$C$8:$O$8)*(Admin3!$R$12:$R$627="Actual-Year"),Admin3!$C$12:$O$627,0))</f>
        <v>0</v>
      </c>
      <c r="J28" s="414">
        <f t="array" ref="J28">SUM(IF(($B28=Admin3!$Q$12:$Q$627)*('S&amp;B'!$E$9=Admin3!$C$8:$O$8)*(Admin3!$R$12:$R$627="Plan-Year"),Admin3!$C$12:$O$627,0))-SUM(IF(($B28=Admin3!$Q$12:$Q$627)*('S&amp;B'!$E$9=Admin3!$C$8:$O$8)*(Admin3!$R$12:$R$627="Actual-Year"),Admin3!$C$12:$O$627,0))</f>
        <v>0</v>
      </c>
      <c r="K28" s="414">
        <f t="array" ref="K28">SUM(IF(($B28=Admin3!$Q$12:$Q$627)*('S&amp;B'!$E$9=Admin3!$C$8:$O$8)*(Admin3!$R$12:$R$627="Forecast-Year"),Admin3!$C$12:$O$627,0))-SUM(IF(($B28=Admin3!$Q$12:$Q$627)*('S&amp;B'!$E$9=Admin3!$C$8:$O$8)*(Admin3!$R$12:$R$627="Actual-Year"),Admin3!$C$12:$O$627,0))</f>
        <v>0</v>
      </c>
      <c r="L28" s="407"/>
      <c r="M28" s="414" cm="1">
        <f t="array" ref="M28">SUM(IF(($B28=Admin2!$Q$9:$Q$91)*($U$6=Admin2!$C$6:$O$6)*(Admin2!$B$9:$B$91="Ending EEs"),Admin2!$C$9:$O$91,0))</f>
        <v>0</v>
      </c>
      <c r="N28" s="414" cm="1">
        <f t="array" ref="N28">SUM(IF(($B28=Admin2!$Q$9:$Q$91)*($U$6=AR!$BJ$4:$BV$4)*(Admin2!$B$9:$B$91="Annual Plan"),Admin2!$C$9:$O$91,0))</f>
        <v>0</v>
      </c>
      <c r="O28" s="414">
        <f t="shared" si="5"/>
        <v>0</v>
      </c>
      <c r="P28" s="449"/>
      <c r="Q28" s="414">
        <v>0</v>
      </c>
      <c r="R28" s="414">
        <v>0</v>
      </c>
      <c r="S28" s="414">
        <f t="shared" si="6"/>
        <v>0</v>
      </c>
      <c r="T28" s="414"/>
      <c r="U28" s="424"/>
    </row>
    <row r="29" spans="2:26">
      <c r="B29" s="462" t="s">
        <v>54</v>
      </c>
      <c r="C29" s="463">
        <v>17826</v>
      </c>
      <c r="D29" s="462"/>
      <c r="E29" s="464" cm="1">
        <f t="array" ref="E29">SUM(IF(($B29=Admin3!$Q$12:$Q$627)*('S&amp;B'!$E$9=Admin3!$C$8:$O$8)*(Admin3!$R$12:$R$627="Actual-Month"),Admin3!$C$12:$O$627,0))</f>
        <v>0</v>
      </c>
      <c r="F29" s="464">
        <f t="array" ref="F29">SUM(IF(($B29=Admin3!$Q$12:$Q$627)*('S&amp;B'!$E$9=Admin3!$C$8:$O$8)*(Admin3!$R$12:$R$627="Plan-Month"),Admin3!$C$12:$O$627,0))-SUM(IF(($B29=Admin3!$Q$12:$Q$627)*('S&amp;B'!$E$9=Admin3!$C$8:$O$8)*(Admin3!$R$12:$R$627="Actual-Month"),Admin3!$C$12:$O$627,0))</f>
        <v>0</v>
      </c>
      <c r="G29" s="464">
        <f t="array" ref="G29">SUM(IF(($B29=Admin3!$Q$12:$Q$627)*('S&amp;B'!$E$9=Admin3!$C$8:$O$8)*(Admin3!$R$12:$R$627="Forecast-Month"),Admin3!$C$12:$O$627,0))-SUM(IF(($B29=Admin3!$Q$12:$Q$627)*('S&amp;B'!$E$9=Admin3!$C$8:$O$8)*(Admin3!$R$12:$R$627="Actual-Month"),Admin3!$C$12:$O$627,0))</f>
        <v>0</v>
      </c>
      <c r="H29" s="462"/>
      <c r="I29" s="464">
        <f t="array" ref="I29">SUM(IF(($B29=Admin3!$Q$12:$Q$627)*('S&amp;B'!$E$9=Admin3!$C$8:$O$8)*(Admin3!$R$12:$R$627="Actual-Year"),Admin3!$C$12:$O$627,0))</f>
        <v>0</v>
      </c>
      <c r="J29" s="464">
        <f t="array" ref="J29">SUM(IF(($B29=Admin3!$Q$12:$Q$627)*('S&amp;B'!$E$9=Admin3!$C$8:$O$8)*(Admin3!$R$12:$R$627="Plan-Year"),Admin3!$C$12:$O$627,0))-SUM(IF(($B29=Admin3!$Q$12:$Q$627)*('S&amp;B'!$E$9=Admin3!$C$8:$O$8)*(Admin3!$R$12:$R$627="Actual-Year"),Admin3!$C$12:$O$627,0))</f>
        <v>0</v>
      </c>
      <c r="K29" s="464">
        <f t="array" ref="K29">SUM(IF(($B29=Admin3!$Q$12:$Q$627)*('S&amp;B'!$E$9=Admin3!$C$8:$O$8)*(Admin3!$R$12:$R$627="Forecast-Year"),Admin3!$C$12:$O$627,0))-SUM(IF(($B29=Admin3!$Q$12:$Q$627)*('S&amp;B'!$E$9=Admin3!$C$8:$O$8)*(Admin3!$R$12:$R$627="Actual-Year"),Admin3!$C$12:$O$627,0))</f>
        <v>0</v>
      </c>
      <c r="L29" s="462"/>
      <c r="M29" s="464" cm="1">
        <f t="array" ref="M29">SUM(IF(($B29=Admin2!$Q$9:$Q$91)*($U$6=Admin2!$C$6:$O$6)*(Admin2!$B$9:$B$91="Ending EEs"),Admin2!$C$9:$O$91,0))</f>
        <v>0</v>
      </c>
      <c r="N29" s="464" cm="1">
        <f t="array" ref="N29">SUM(IF(($B29=Admin2!$Q$9:$Q$91)*($U$6=AR!$BJ$4:$BV$4)*(Admin2!$B$9:$B$91="Annual Plan"),Admin2!$C$9:$O$91,0))</f>
        <v>0</v>
      </c>
      <c r="O29" s="464">
        <f t="shared" ref="O29" si="7">N29-M29</f>
        <v>0</v>
      </c>
      <c r="P29" s="465"/>
      <c r="Q29" s="464">
        <v>0</v>
      </c>
      <c r="R29" s="464">
        <v>0</v>
      </c>
      <c r="S29" s="464">
        <f t="shared" si="6"/>
        <v>0</v>
      </c>
      <c r="T29" s="464"/>
      <c r="U29" s="467"/>
      <c r="W29" s="204"/>
      <c r="X29" s="268"/>
      <c r="Y29" s="205"/>
      <c r="Z29" s="268"/>
    </row>
    <row r="30" spans="2:26">
      <c r="B30" s="459" t="s">
        <v>55</v>
      </c>
      <c r="C30" s="460">
        <v>5968</v>
      </c>
      <c r="D30" s="407"/>
      <c r="E30" s="414" cm="1">
        <f t="array" ref="E30">SUM(IF(($B30=Admin3!$Q$12:$Q$627)*('S&amp;B'!$E$9=Admin3!$C$8:$O$8)*(Admin3!$R$12:$R$627="Actual-Month"),Admin3!$C$12:$O$627,0))</f>
        <v>0</v>
      </c>
      <c r="F30" s="414">
        <f t="array" ref="F30">SUM(IF(($B30=Admin3!$Q$12:$Q$627)*('S&amp;B'!$E$9=Admin3!$C$8:$O$8)*(Admin3!$R$12:$R$627="Plan-Month"),Admin3!$C$12:$O$627,0))-SUM(IF(($B30=Admin3!$Q$12:$Q$627)*('S&amp;B'!$E$9=Admin3!$C$8:$O$8)*(Admin3!$R$12:$R$627="Actual-Month"),Admin3!$C$12:$O$627,0))</f>
        <v>0</v>
      </c>
      <c r="G30" s="414">
        <f t="array" ref="G30">SUM(IF(($B30=Admin3!$Q$12:$Q$627)*('S&amp;B'!$E$9=Admin3!$C$8:$O$8)*(Admin3!$R$12:$R$627="Forecast-Month"),Admin3!$C$12:$O$627,0))-SUM(IF(($B30=Admin3!$Q$12:$Q$627)*('S&amp;B'!$E$9=Admin3!$C$8:$O$8)*(Admin3!$R$12:$R$627="Actual-Month"),Admin3!$C$12:$O$627,0))</f>
        <v>0</v>
      </c>
      <c r="H30" s="407"/>
      <c r="I30" s="414">
        <f t="array" ref="I30">SUM(IF(($B30=Admin3!$Q$12:$Q$627)*('S&amp;B'!$E$9=Admin3!$C$8:$O$8)*(Admin3!$R$12:$R$627="Actual-Year"),Admin3!$C$12:$O$627,0))</f>
        <v>0</v>
      </c>
      <c r="J30" s="414">
        <f t="array" ref="J30">SUM(IF(($B30=Admin3!$Q$12:$Q$627)*('S&amp;B'!$E$9=Admin3!$C$8:$O$8)*(Admin3!$R$12:$R$627="Plan-Year"),Admin3!$C$12:$O$627,0))-SUM(IF(($B30=Admin3!$Q$12:$Q$627)*('S&amp;B'!$E$9=Admin3!$C$8:$O$8)*(Admin3!$R$12:$R$627="Actual-Year"),Admin3!$C$12:$O$627,0))</f>
        <v>0</v>
      </c>
      <c r="K30" s="414">
        <f t="array" ref="K30">SUM(IF(($B30=Admin3!$Q$12:$Q$627)*('S&amp;B'!$E$9=Admin3!$C$8:$O$8)*(Admin3!$R$12:$R$627="Forecast-Year"),Admin3!$C$12:$O$627,0))-SUM(IF(($B30=Admin3!$Q$12:$Q$627)*('S&amp;B'!$E$9=Admin3!$C$8:$O$8)*(Admin3!$R$12:$R$627="Actual-Year"),Admin3!$C$12:$O$627,0))</f>
        <v>0</v>
      </c>
      <c r="L30" s="407"/>
      <c r="M30" s="414" cm="1">
        <f t="array" ref="M30">SUM(IF(($B30=Admin2!$Q$9:$Q$91)*($U$6=Admin2!$C$6:$O$6)*(Admin2!$B$9:$B$91="Ending EEs"),Admin2!$C$9:$O$91,0))</f>
        <v>10</v>
      </c>
      <c r="N30" s="414" cm="1">
        <f t="array" ref="N30">SUM(IF(($B30=Admin2!$Q$9:$Q$91)*($U$6=AR!$BJ$4:$BV$4)*(Admin2!$B$9:$B$91="Annual Plan"),Admin2!$C$9:$O$91,0))</f>
        <v>10</v>
      </c>
      <c r="O30" s="414">
        <f t="shared" si="5"/>
        <v>0</v>
      </c>
      <c r="P30" s="449"/>
      <c r="Q30" s="414">
        <v>0</v>
      </c>
      <c r="R30" s="414">
        <v>0</v>
      </c>
      <c r="S30" s="414">
        <f t="shared" si="6"/>
        <v>0</v>
      </c>
      <c r="T30" s="414"/>
      <c r="U30" s="424"/>
      <c r="W30" s="204"/>
      <c r="X30" s="268"/>
      <c r="Y30" s="205"/>
      <c r="Z30" s="268"/>
    </row>
    <row r="31" spans="2:26" ht="15.75" thickBot="1">
      <c r="B31" s="420" t="s">
        <v>58</v>
      </c>
      <c r="C31" s="407"/>
      <c r="D31" s="407"/>
      <c r="E31" s="451">
        <f>SUM(E20:E30)</f>
        <v>0</v>
      </c>
      <c r="F31" s="451">
        <f>SUM(F20:F30)</f>
        <v>0</v>
      </c>
      <c r="G31" s="451">
        <f>SUM(G20:G30)</f>
        <v>0</v>
      </c>
      <c r="H31" s="407"/>
      <c r="I31" s="451">
        <f>SUM(I20:I30)</f>
        <v>0</v>
      </c>
      <c r="J31" s="451">
        <f>SUM(J20:J30)</f>
        <v>0</v>
      </c>
      <c r="K31" s="451">
        <f>SUM(K20:K30)</f>
        <v>0</v>
      </c>
      <c r="L31" s="407"/>
      <c r="M31" s="422">
        <f>SUM(M20:M30)</f>
        <v>235</v>
      </c>
      <c r="N31" s="422">
        <f>SUM(N20:N30)</f>
        <v>239</v>
      </c>
      <c r="O31" s="422">
        <f>SUM(O20:O30)</f>
        <v>4</v>
      </c>
      <c r="P31" s="416"/>
      <c r="Q31" s="451">
        <f>SUM(Q20:Q30)</f>
        <v>-1</v>
      </c>
      <c r="R31" s="451">
        <f>SUM(R20:R30)</f>
        <v>-4</v>
      </c>
      <c r="S31" s="451">
        <f>SUM(S20:S30)</f>
        <v>-5</v>
      </c>
      <c r="T31" s="414"/>
      <c r="U31" s="623">
        <f>SUM(U20:U30)</f>
        <v>7</v>
      </c>
    </row>
    <row r="32" spans="2:26" ht="15" customHeight="1" thickTop="1">
      <c r="B32" s="407"/>
      <c r="C32" s="407"/>
      <c r="D32" s="407"/>
      <c r="E32" s="416"/>
      <c r="F32" s="407"/>
      <c r="G32" s="407"/>
      <c r="H32" s="407"/>
      <c r="I32" s="452"/>
      <c r="J32" s="407"/>
      <c r="K32" s="407"/>
      <c r="L32" s="407"/>
      <c r="M32" s="407"/>
      <c r="N32" s="407"/>
      <c r="O32" s="407"/>
      <c r="P32" s="407"/>
      <c r="Q32" s="407"/>
      <c r="R32" s="407"/>
      <c r="S32" s="407"/>
      <c r="T32" s="414"/>
      <c r="U32" s="407"/>
    </row>
    <row r="33" spans="2:21">
      <c r="B33" s="407"/>
      <c r="C33" s="407"/>
      <c r="D33" s="407"/>
      <c r="E33" s="416"/>
      <c r="F33" s="407"/>
      <c r="G33" s="407"/>
      <c r="H33" s="407"/>
      <c r="I33" s="452"/>
      <c r="J33" s="407"/>
      <c r="K33" s="407"/>
      <c r="L33" s="407"/>
      <c r="M33" s="468">
        <f>Y20</f>
        <v>1</v>
      </c>
      <c r="N33" s="407" t="s">
        <v>240</v>
      </c>
      <c r="O33" s="407"/>
      <c r="P33" s="407"/>
      <c r="Q33" s="407"/>
      <c r="R33" s="407"/>
      <c r="S33" s="407"/>
      <c r="T33" s="414"/>
      <c r="U33" s="407"/>
    </row>
    <row r="34" spans="2:21">
      <c r="B34" s="407"/>
      <c r="C34" s="407"/>
      <c r="D34" s="407"/>
      <c r="E34" s="416"/>
      <c r="F34" s="407"/>
      <c r="G34" s="407"/>
      <c r="H34" s="407"/>
      <c r="I34" s="452"/>
      <c r="J34" s="407"/>
      <c r="K34" s="407"/>
      <c r="L34" s="407"/>
      <c r="M34" s="415">
        <f t="array" ref="M34">SUM(IF(("Totals"=Admin2!$Q$9:$Q$87)*($U$6=Admin2!$C$6:$O$6)*(Admin2!$B$9:$B$87="Ending EEs"),Admin2!$C$9:$O$87,0))</f>
        <v>235</v>
      </c>
      <c r="N34" s="407" t="s">
        <v>241</v>
      </c>
      <c r="O34" s="407"/>
      <c r="P34" s="407"/>
      <c r="Q34" s="407"/>
      <c r="R34" s="407"/>
      <c r="S34" s="407"/>
      <c r="T34" s="414"/>
      <c r="U34" s="407"/>
    </row>
    <row r="35" spans="2:21" ht="18" customHeight="1" thickBot="1">
      <c r="B35" s="407"/>
      <c r="C35" s="407"/>
      <c r="D35" s="407"/>
      <c r="E35" s="416"/>
      <c r="F35" s="407"/>
      <c r="G35" s="407"/>
      <c r="H35" s="407"/>
      <c r="I35" s="452"/>
      <c r="J35" s="407"/>
      <c r="K35" s="407"/>
      <c r="L35" s="407"/>
      <c r="M35" s="422">
        <f>M31-M33-M34</f>
        <v>-1</v>
      </c>
      <c r="N35" s="453"/>
      <c r="O35" s="453"/>
      <c r="P35" s="453"/>
      <c r="Q35" s="453"/>
      <c r="R35" s="453"/>
      <c r="S35" s="453"/>
      <c r="T35" s="453"/>
      <c r="U35" s="453"/>
    </row>
    <row r="36" spans="2:21" ht="18" customHeight="1" thickTop="1">
      <c r="B36" s="407"/>
      <c r="C36" s="407"/>
      <c r="D36" s="407"/>
      <c r="E36" s="416"/>
      <c r="F36" s="407"/>
      <c r="G36" s="407"/>
      <c r="H36" s="407"/>
      <c r="I36" s="452"/>
      <c r="J36" s="407"/>
      <c r="K36" s="407"/>
      <c r="L36" s="407"/>
      <c r="M36" s="416"/>
      <c r="N36" s="453"/>
      <c r="O36" s="453"/>
      <c r="P36" s="453"/>
      <c r="Q36" s="453"/>
      <c r="R36" s="453"/>
      <c r="S36" s="453"/>
      <c r="T36" s="453"/>
      <c r="U36" s="453"/>
    </row>
    <row r="37" spans="2:21" ht="15.75" customHeight="1">
      <c r="B37" s="461" t="s">
        <v>242</v>
      </c>
      <c r="C37" s="407"/>
      <c r="D37" s="407"/>
      <c r="E37" s="407"/>
      <c r="F37" s="407"/>
      <c r="G37" s="407"/>
      <c r="H37" s="407"/>
      <c r="I37" s="454"/>
      <c r="J37" s="454"/>
      <c r="K37" s="454"/>
      <c r="L37" s="407"/>
      <c r="M37" s="407"/>
      <c r="N37" s="453"/>
      <c r="O37" s="453"/>
      <c r="P37" s="453"/>
      <c r="Q37" s="453"/>
      <c r="R37" s="453"/>
      <c r="S37" s="453"/>
      <c r="T37" s="453"/>
      <c r="U37" s="453"/>
    </row>
    <row r="38" spans="2:21" ht="15" customHeight="1">
      <c r="B38" s="1081"/>
      <c r="C38" s="1082"/>
      <c r="D38" s="1082"/>
      <c r="E38" s="1082"/>
      <c r="F38" s="1082"/>
      <c r="G38" s="1082"/>
      <c r="H38" s="1082"/>
      <c r="I38" s="1082"/>
      <c r="J38" s="1082"/>
      <c r="K38" s="1082"/>
      <c r="L38" s="1082"/>
      <c r="M38" s="1082"/>
      <c r="N38" s="1082"/>
      <c r="O38" s="1082"/>
      <c r="P38" s="1082"/>
      <c r="Q38" s="1082"/>
      <c r="R38" s="1082"/>
      <c r="S38" s="1082"/>
      <c r="T38" s="1082"/>
      <c r="U38" s="1083"/>
    </row>
    <row r="39" spans="2:21" ht="15" customHeight="1">
      <c r="B39" s="1084"/>
      <c r="C39" s="1085"/>
      <c r="D39" s="1085"/>
      <c r="E39" s="1085"/>
      <c r="F39" s="1085"/>
      <c r="G39" s="1085"/>
      <c r="H39" s="1085"/>
      <c r="I39" s="1085"/>
      <c r="J39" s="1085"/>
      <c r="K39" s="1085"/>
      <c r="L39" s="1085"/>
      <c r="M39" s="1085"/>
      <c r="N39" s="1085"/>
      <c r="O39" s="1085"/>
      <c r="P39" s="1085"/>
      <c r="Q39" s="1085"/>
      <c r="R39" s="1085"/>
      <c r="S39" s="1085"/>
      <c r="T39" s="1085"/>
      <c r="U39" s="1086"/>
    </row>
    <row r="40" spans="2:21">
      <c r="B40" s="1087"/>
      <c r="C40" s="1088"/>
      <c r="D40" s="1088"/>
      <c r="E40" s="1088"/>
      <c r="F40" s="1088"/>
      <c r="G40" s="1088"/>
      <c r="H40" s="1088"/>
      <c r="I40" s="1088"/>
      <c r="J40" s="1088"/>
      <c r="K40" s="1088"/>
      <c r="L40" s="1088"/>
      <c r="M40" s="1088"/>
      <c r="N40" s="1088"/>
      <c r="O40" s="1088"/>
      <c r="P40" s="1088"/>
      <c r="Q40" s="1088"/>
      <c r="R40" s="1088"/>
      <c r="S40" s="1088"/>
      <c r="T40" s="1088"/>
      <c r="U40" s="1089"/>
    </row>
    <row r="41" spans="2:21">
      <c r="B41" s="407"/>
      <c r="C41" s="407"/>
      <c r="D41" s="407"/>
      <c r="E41" s="407"/>
      <c r="F41" s="407"/>
      <c r="G41" s="407"/>
      <c r="H41" s="407"/>
      <c r="I41" s="407"/>
      <c r="J41" s="407"/>
      <c r="K41" s="407"/>
      <c r="L41" s="407"/>
      <c r="M41" s="407"/>
      <c r="N41" s="407"/>
      <c r="O41" s="407"/>
      <c r="P41" s="407"/>
      <c r="Q41" s="407"/>
      <c r="R41" s="407"/>
      <c r="S41" s="407"/>
      <c r="T41" s="407"/>
      <c r="U41" s="407"/>
    </row>
    <row r="42" spans="2:21">
      <c r="B42" s="407"/>
      <c r="C42" s="407"/>
      <c r="D42" s="407"/>
      <c r="E42" s="407"/>
      <c r="F42" s="407"/>
      <c r="G42" s="407"/>
      <c r="H42" s="407"/>
      <c r="I42" s="407"/>
      <c r="J42" s="407"/>
      <c r="K42" s="407"/>
      <c r="L42" s="407"/>
      <c r="M42" s="407"/>
      <c r="N42" s="407"/>
      <c r="O42" s="407"/>
      <c r="P42" s="407"/>
      <c r="Q42" s="407"/>
      <c r="R42" s="407"/>
      <c r="S42" s="407"/>
      <c r="T42" s="407"/>
      <c r="U42" s="407"/>
    </row>
    <row r="43" spans="2:21">
      <c r="B43" s="407"/>
      <c r="C43" s="407"/>
      <c r="D43" s="407"/>
      <c r="E43" s="407"/>
      <c r="F43" s="407"/>
      <c r="G43" s="407"/>
      <c r="H43" s="407"/>
      <c r="I43" s="407"/>
      <c r="J43" s="407"/>
      <c r="K43" s="407"/>
      <c r="L43" s="407"/>
      <c r="M43" s="407"/>
      <c r="N43" s="407"/>
      <c r="O43" s="407"/>
      <c r="P43" s="407"/>
      <c r="Q43" s="407"/>
      <c r="R43" s="407"/>
      <c r="S43" s="407"/>
      <c r="T43" s="407"/>
      <c r="U43" s="407"/>
    </row>
    <row r="44" spans="2:21">
      <c r="B44" s="407"/>
      <c r="C44" s="407"/>
      <c r="D44" s="407"/>
      <c r="E44" s="407"/>
      <c r="F44" s="407"/>
      <c r="G44" s="407"/>
      <c r="H44" s="407"/>
      <c r="I44" s="407"/>
      <c r="J44" s="407"/>
      <c r="K44" s="407"/>
      <c r="L44" s="407"/>
      <c r="M44" s="407"/>
      <c r="N44" s="407"/>
      <c r="O44" s="407"/>
      <c r="P44" s="407"/>
      <c r="Q44" s="407"/>
      <c r="R44" s="407"/>
      <c r="S44" s="407"/>
      <c r="T44" s="407"/>
      <c r="U44" s="407"/>
    </row>
    <row r="45" spans="2:21">
      <c r="B45" s="407"/>
      <c r="C45" s="407"/>
      <c r="D45" s="407"/>
      <c r="E45" s="407"/>
      <c r="F45" s="407"/>
      <c r="G45" s="407"/>
      <c r="H45" s="407"/>
      <c r="I45" s="407"/>
      <c r="J45" s="407"/>
      <c r="K45" s="407"/>
      <c r="L45" s="407"/>
      <c r="M45" s="407"/>
      <c r="N45" s="407"/>
      <c r="O45" s="407"/>
      <c r="P45" s="407"/>
      <c r="Q45" s="407"/>
      <c r="R45" s="407"/>
      <c r="S45" s="407"/>
      <c r="T45" s="407"/>
      <c r="U45" s="407"/>
    </row>
    <row r="46" spans="2:21">
      <c r="B46" s="407"/>
      <c r="C46" s="407"/>
      <c r="D46" s="407"/>
      <c r="E46" s="407"/>
      <c r="F46" s="407"/>
      <c r="G46" s="407"/>
      <c r="H46" s="407"/>
      <c r="I46" s="407"/>
      <c r="J46" s="407"/>
      <c r="K46" s="407"/>
      <c r="L46" s="407"/>
      <c r="M46" s="407"/>
      <c r="N46" s="407"/>
      <c r="O46" s="407"/>
      <c r="P46" s="407"/>
      <c r="Q46" s="407"/>
      <c r="R46" s="407"/>
      <c r="S46" s="407"/>
      <c r="T46" s="407"/>
      <c r="U46" s="407"/>
    </row>
    <row r="47" spans="2:21">
      <c r="B47" s="407"/>
      <c r="C47" s="407"/>
      <c r="D47" s="407"/>
      <c r="E47" s="407"/>
      <c r="F47" s="407"/>
      <c r="G47" s="407"/>
      <c r="H47" s="407"/>
      <c r="I47" s="407"/>
      <c r="J47" s="407"/>
      <c r="K47" s="407"/>
      <c r="L47" s="407"/>
      <c r="M47" s="407"/>
      <c r="N47" s="407"/>
      <c r="O47" s="407"/>
      <c r="P47" s="407"/>
      <c r="Q47" s="407"/>
      <c r="R47" s="407"/>
      <c r="S47" s="407"/>
      <c r="T47" s="407"/>
      <c r="U47" s="407"/>
    </row>
    <row r="48" spans="2:21">
      <c r="B48" s="407"/>
      <c r="C48" s="407"/>
      <c r="D48" s="407"/>
      <c r="E48" s="407"/>
      <c r="F48" s="407"/>
      <c r="G48" s="407"/>
      <c r="H48" s="407"/>
      <c r="I48" s="407"/>
      <c r="J48" s="407"/>
      <c r="K48" s="407"/>
      <c r="L48" s="407"/>
      <c r="M48" s="407"/>
      <c r="N48" s="407"/>
      <c r="O48" s="407"/>
      <c r="P48" s="407"/>
      <c r="Q48" s="407"/>
      <c r="R48" s="407"/>
      <c r="S48" s="407"/>
      <c r="T48" s="407"/>
      <c r="U48" s="407"/>
    </row>
    <row r="49" spans="2:21">
      <c r="B49" s="407"/>
      <c r="C49" s="407"/>
      <c r="D49" s="407"/>
      <c r="E49" s="407"/>
      <c r="F49" s="407"/>
      <c r="G49" s="407"/>
      <c r="H49" s="407"/>
      <c r="I49" s="407"/>
      <c r="J49" s="407"/>
      <c r="K49" s="407"/>
      <c r="L49" s="407"/>
      <c r="M49" s="407"/>
      <c r="N49" s="407"/>
      <c r="O49" s="407"/>
      <c r="P49" s="407"/>
      <c r="Q49" s="407"/>
      <c r="R49" s="407"/>
      <c r="S49" s="407"/>
      <c r="T49" s="407"/>
      <c r="U49" s="407"/>
    </row>
    <row r="50" spans="2:21">
      <c r="B50" s="407"/>
      <c r="C50" s="407"/>
      <c r="D50" s="407"/>
      <c r="E50" s="407"/>
      <c r="F50" s="407"/>
      <c r="G50" s="407"/>
      <c r="H50" s="407"/>
      <c r="I50" s="407"/>
      <c r="J50" s="407"/>
      <c r="K50" s="407"/>
      <c r="L50" s="407"/>
      <c r="M50" s="407"/>
      <c r="N50" s="407"/>
      <c r="O50" s="407"/>
      <c r="P50" s="407"/>
      <c r="Q50" s="407"/>
      <c r="R50" s="407"/>
      <c r="S50" s="407"/>
      <c r="T50" s="407"/>
      <c r="U50" s="407"/>
    </row>
    <row r="51" spans="2:21">
      <c r="B51" s="407"/>
      <c r="C51" s="407"/>
      <c r="D51" s="407"/>
      <c r="E51" s="407"/>
      <c r="F51" s="407"/>
      <c r="G51" s="407"/>
      <c r="H51" s="407"/>
      <c r="I51" s="407"/>
      <c r="J51" s="407"/>
      <c r="K51" s="407"/>
      <c r="L51" s="407"/>
      <c r="M51" s="407"/>
      <c r="N51" s="407"/>
      <c r="O51" s="407"/>
      <c r="P51" s="407"/>
      <c r="Q51" s="407"/>
      <c r="R51" s="407"/>
      <c r="S51" s="407"/>
      <c r="T51" s="407"/>
      <c r="U51" s="407"/>
    </row>
    <row r="52" spans="2:21">
      <c r="B52" s="407"/>
      <c r="C52" s="407"/>
      <c r="D52" s="407"/>
      <c r="E52" s="407"/>
      <c r="F52" s="407"/>
      <c r="G52" s="407"/>
      <c r="H52" s="407"/>
      <c r="I52" s="407"/>
      <c r="J52" s="407"/>
      <c r="K52" s="407"/>
      <c r="L52" s="407"/>
      <c r="M52" s="407"/>
      <c r="N52" s="407"/>
      <c r="O52" s="407"/>
      <c r="P52" s="407"/>
      <c r="Q52" s="407"/>
      <c r="R52" s="407"/>
      <c r="S52" s="407"/>
      <c r="T52" s="407"/>
      <c r="U52" s="407"/>
    </row>
    <row r="53" spans="2:21">
      <c r="B53" s="407"/>
      <c r="C53" s="407"/>
      <c r="D53" s="407"/>
      <c r="E53" s="407"/>
      <c r="F53" s="407"/>
      <c r="G53" s="407"/>
      <c r="H53" s="407"/>
      <c r="I53" s="407"/>
      <c r="J53" s="407"/>
      <c r="K53" s="407"/>
      <c r="L53" s="407"/>
      <c r="M53" s="407"/>
      <c r="N53" s="407"/>
      <c r="O53" s="407"/>
      <c r="P53" s="407"/>
      <c r="Q53" s="407"/>
      <c r="R53" s="407"/>
      <c r="S53" s="407"/>
      <c r="T53" s="407"/>
      <c r="U53" s="407"/>
    </row>
    <row r="54" spans="2:21">
      <c r="B54" s="407"/>
      <c r="C54" s="407"/>
      <c r="D54" s="407"/>
      <c r="E54" s="407"/>
      <c r="F54" s="407"/>
      <c r="G54" s="407"/>
      <c r="H54" s="407"/>
      <c r="I54" s="407"/>
      <c r="J54" s="407"/>
      <c r="K54" s="407"/>
      <c r="L54" s="407"/>
      <c r="M54" s="407"/>
      <c r="N54" s="407"/>
      <c r="O54" s="407"/>
      <c r="P54" s="407"/>
      <c r="Q54" s="407"/>
      <c r="R54" s="407"/>
      <c r="S54" s="407"/>
      <c r="T54" s="407"/>
      <c r="U54" s="407"/>
    </row>
    <row r="55" spans="2:21">
      <c r="B55" s="407"/>
      <c r="C55" s="407"/>
      <c r="D55" s="407"/>
      <c r="E55" s="407"/>
      <c r="F55" s="407"/>
      <c r="G55" s="407"/>
      <c r="H55" s="407"/>
      <c r="I55" s="407"/>
      <c r="J55" s="407"/>
      <c r="K55" s="407"/>
      <c r="L55" s="407"/>
      <c r="M55" s="407"/>
      <c r="N55" s="407"/>
      <c r="O55" s="407"/>
      <c r="P55" s="407"/>
      <c r="Q55" s="407"/>
      <c r="R55" s="407"/>
      <c r="S55" s="407"/>
      <c r="T55" s="407"/>
      <c r="U55" s="407"/>
    </row>
    <row r="56" spans="2:21">
      <c r="B56" s="407"/>
      <c r="C56" s="407"/>
      <c r="D56" s="407"/>
      <c r="E56" s="407"/>
      <c r="F56" s="407"/>
      <c r="G56" s="407"/>
      <c r="H56" s="407"/>
      <c r="I56" s="407"/>
      <c r="J56" s="407"/>
      <c r="K56" s="407"/>
      <c r="L56" s="407"/>
      <c r="M56" s="407"/>
      <c r="N56" s="407"/>
      <c r="O56" s="407"/>
      <c r="P56" s="407"/>
      <c r="Q56" s="407"/>
      <c r="R56" s="407"/>
      <c r="S56" s="407"/>
      <c r="T56" s="407"/>
      <c r="U56" s="407"/>
    </row>
  </sheetData>
  <mergeCells count="10">
    <mergeCell ref="B38:U40"/>
    <mergeCell ref="W8:Z8"/>
    <mergeCell ref="R5:S5"/>
    <mergeCell ref="E9:G9"/>
    <mergeCell ref="I9:K9"/>
    <mergeCell ref="E8:K8"/>
    <mergeCell ref="M9:O9"/>
    <mergeCell ref="M8:U8"/>
    <mergeCell ref="Q9:S9"/>
    <mergeCell ref="B2:J5"/>
  </mergeCells>
  <conditionalFormatting sqref="B2 K3:BE4">
    <cfRule type="cellIs" dxfId="2351" priority="3" operator="equal">
      <formula>"XXX"</formula>
    </cfRule>
  </conditionalFormatting>
  <conditionalFormatting sqref="B37:B38">
    <cfRule type="cellIs" dxfId="2350" priority="2" operator="equal">
      <formula>"XXX"</formula>
    </cfRule>
  </conditionalFormatting>
  <printOptions horizontalCentered="1"/>
  <pageMargins left="0.25" right="0.25" top="0.25" bottom="0.5" header="0.3" footer="0.3"/>
  <pageSetup scale="72" orientation="landscape" r:id="rId1"/>
  <headerFooter>
    <oddFooter>&amp;R&amp;F | &amp;A
Printed &amp;D @ &amp;T
&amp;P</oddFooter>
  </headerFooter>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0">
    <tabColor rgb="FF002060"/>
  </sheetPr>
  <dimension ref="B2:M39"/>
  <sheetViews>
    <sheetView showGridLines="0" topLeftCell="A7" zoomScale="140" zoomScaleNormal="140" workbookViewId="0">
      <selection activeCell="G31" sqref="G31"/>
    </sheetView>
  </sheetViews>
  <sheetFormatPr defaultColWidth="12.7109375" defaultRowHeight="15"/>
  <cols>
    <col min="1" max="1" width="3.28515625" customWidth="1"/>
  </cols>
  <sheetData>
    <row r="2" spans="2:13">
      <c r="B2" s="1068" t="s">
        <v>180</v>
      </c>
      <c r="C2" s="1068"/>
      <c r="D2" s="1068"/>
      <c r="E2" s="1068"/>
      <c r="F2" s="1068"/>
      <c r="G2" s="1068"/>
      <c r="H2" s="1068"/>
      <c r="I2" s="1068"/>
      <c r="J2" s="1068"/>
      <c r="K2" s="1068"/>
      <c r="L2" s="1068"/>
      <c r="M2" s="1068"/>
    </row>
    <row r="3" spans="2:13">
      <c r="B3" s="1068"/>
      <c r="C3" s="1068"/>
      <c r="D3" s="1068"/>
      <c r="E3" s="1068"/>
      <c r="F3" s="1068"/>
      <c r="G3" s="1068"/>
      <c r="H3" s="1068"/>
      <c r="I3" s="1068"/>
      <c r="J3" s="1068"/>
      <c r="K3" s="1068"/>
      <c r="L3" s="1068"/>
      <c r="M3" s="1068"/>
    </row>
    <row r="4" spans="2:13">
      <c r="B4" s="1068"/>
      <c r="C4" s="1068"/>
      <c r="D4" s="1068"/>
      <c r="E4" s="1068"/>
      <c r="F4" s="1068"/>
      <c r="G4" s="1068"/>
      <c r="H4" s="1068"/>
      <c r="I4" s="1068"/>
      <c r="J4" s="1068"/>
      <c r="K4" s="1068"/>
      <c r="L4" s="1068"/>
      <c r="M4" s="1068"/>
    </row>
    <row r="5" spans="2:13">
      <c r="B5" s="1068"/>
      <c r="C5" s="1068"/>
      <c r="D5" s="1068"/>
      <c r="E5" s="1068"/>
      <c r="F5" s="1068"/>
      <c r="G5" s="1068"/>
      <c r="H5" s="1068"/>
      <c r="I5" s="1068"/>
      <c r="J5" s="1068"/>
      <c r="K5" s="1068"/>
      <c r="L5" s="1068"/>
      <c r="M5" s="1068"/>
    </row>
    <row r="6" spans="2:13">
      <c r="B6" s="446"/>
      <c r="C6" s="446"/>
      <c r="D6" s="446"/>
      <c r="E6" s="446"/>
      <c r="F6" s="446"/>
      <c r="G6" s="446"/>
      <c r="H6" s="446"/>
      <c r="I6" s="446"/>
      <c r="J6" s="446"/>
      <c r="K6" s="446"/>
      <c r="L6" s="446"/>
      <c r="M6" s="446"/>
    </row>
    <row r="7" spans="2:13" ht="14.65" customHeight="1">
      <c r="B7" s="1096"/>
      <c r="C7" s="1096"/>
      <c r="D7" s="1096"/>
      <c r="E7" s="1096"/>
      <c r="F7" s="1096"/>
      <c r="G7" s="1096"/>
      <c r="H7" s="1096"/>
      <c r="I7" s="1096"/>
      <c r="J7" s="1096"/>
      <c r="K7" s="1096"/>
      <c r="L7" s="1096"/>
      <c r="M7" s="1096"/>
    </row>
    <row r="8" spans="2:13" ht="14.65" customHeight="1">
      <c r="B8" s="1096"/>
      <c r="C8" s="1096"/>
      <c r="D8" s="1096"/>
      <c r="E8" s="1096"/>
      <c r="F8" s="1096"/>
      <c r="G8" s="1096"/>
      <c r="H8" s="1096"/>
      <c r="I8" s="1096"/>
      <c r="J8" s="1096"/>
      <c r="K8" s="1096"/>
      <c r="L8" s="1096"/>
      <c r="M8" s="1096"/>
    </row>
    <row r="9" spans="2:13" ht="14.65" customHeight="1">
      <c r="B9" s="1096"/>
      <c r="C9" s="1096"/>
      <c r="D9" s="1096"/>
      <c r="E9" s="1096"/>
      <c r="F9" s="1096"/>
      <c r="G9" s="1096"/>
      <c r="H9" s="1096"/>
      <c r="I9" s="1096"/>
      <c r="J9" s="1096"/>
      <c r="K9" s="1096"/>
      <c r="L9" s="1096"/>
      <c r="M9" s="1096"/>
    </row>
    <row r="10" spans="2:13" ht="14.65" customHeight="1">
      <c r="B10" s="1096"/>
      <c r="C10" s="1096"/>
      <c r="D10" s="1096"/>
      <c r="E10" s="1096"/>
      <c r="F10" s="1096"/>
      <c r="G10" s="1096"/>
      <c r="H10" s="1096"/>
      <c r="I10" s="1096"/>
      <c r="J10" s="1096"/>
      <c r="K10" s="1096"/>
      <c r="L10" s="1096"/>
      <c r="M10" s="1096"/>
    </row>
    <row r="11" spans="2:13" ht="14.65" customHeight="1">
      <c r="B11" s="1096"/>
      <c r="C11" s="1096"/>
      <c r="D11" s="1096"/>
      <c r="E11" s="1096"/>
      <c r="F11" s="1096"/>
      <c r="G11" s="1096"/>
      <c r="H11" s="1096"/>
      <c r="I11" s="1096"/>
      <c r="J11" s="1096"/>
      <c r="K11" s="1096"/>
      <c r="L11" s="1096"/>
      <c r="M11" s="1096"/>
    </row>
    <row r="12" spans="2:13" ht="14.65" customHeight="1">
      <c r="B12" s="1096" t="s">
        <v>243</v>
      </c>
      <c r="C12" s="1096"/>
      <c r="D12" s="1096"/>
      <c r="E12" s="1096"/>
      <c r="F12" s="1096"/>
      <c r="G12" s="1096"/>
      <c r="H12" s="1096"/>
      <c r="I12" s="1096"/>
      <c r="J12" s="1096"/>
      <c r="K12" s="1096"/>
      <c r="L12" s="1096"/>
      <c r="M12" s="1096"/>
    </row>
    <row r="13" spans="2:13" ht="14.65" customHeight="1">
      <c r="B13" s="1096"/>
      <c r="C13" s="1096"/>
      <c r="D13" s="1096"/>
      <c r="E13" s="1096"/>
      <c r="F13" s="1096"/>
      <c r="G13" s="1096"/>
      <c r="H13" s="1096"/>
      <c r="I13" s="1096"/>
      <c r="J13" s="1096"/>
      <c r="K13" s="1096"/>
      <c r="L13" s="1096"/>
      <c r="M13" s="1096"/>
    </row>
    <row r="14" spans="2:13" ht="14.65" customHeight="1">
      <c r="B14" s="1096"/>
      <c r="C14" s="1096"/>
      <c r="D14" s="1096"/>
      <c r="E14" s="1096"/>
      <c r="F14" s="1096"/>
      <c r="G14" s="1096"/>
      <c r="H14" s="1096"/>
      <c r="I14" s="1096"/>
      <c r="J14" s="1096"/>
      <c r="K14" s="1096"/>
      <c r="L14" s="1096"/>
      <c r="M14" s="1096"/>
    </row>
    <row r="15" spans="2:13" ht="14.65" customHeight="1">
      <c r="B15" s="1096"/>
      <c r="C15" s="1096"/>
      <c r="D15" s="1096"/>
      <c r="E15" s="1096"/>
      <c r="F15" s="1096"/>
      <c r="G15" s="1096"/>
      <c r="H15" s="1096"/>
      <c r="I15" s="1096"/>
      <c r="J15" s="1096"/>
      <c r="K15" s="1096"/>
      <c r="L15" s="1096"/>
      <c r="M15" s="1096"/>
    </row>
    <row r="16" spans="2:13" ht="14.65" customHeight="1">
      <c r="B16" s="1096"/>
      <c r="C16" s="1096"/>
      <c r="D16" s="1096"/>
      <c r="E16" s="1096"/>
      <c r="F16" s="1096"/>
      <c r="G16" s="1096"/>
      <c r="H16" s="1096"/>
      <c r="I16" s="1096"/>
      <c r="J16" s="1096"/>
      <c r="K16" s="1096"/>
      <c r="L16" s="1096"/>
      <c r="M16" s="1096"/>
    </row>
    <row r="17" spans="2:13" ht="14.65" customHeight="1">
      <c r="B17" s="1097" t="s">
        <v>183</v>
      </c>
      <c r="C17" s="1097"/>
      <c r="D17" s="1097"/>
      <c r="E17" s="1097"/>
      <c r="F17" s="1097"/>
      <c r="G17" s="1097"/>
      <c r="H17" s="1097"/>
      <c r="I17" s="1097"/>
      <c r="J17" s="1097"/>
      <c r="K17" s="1097"/>
      <c r="L17" s="1097"/>
      <c r="M17" s="1097"/>
    </row>
    <row r="18" spans="2:13" ht="14.65" customHeight="1">
      <c r="B18" s="1097"/>
      <c r="C18" s="1097"/>
      <c r="D18" s="1097"/>
      <c r="E18" s="1097"/>
      <c r="F18" s="1097"/>
      <c r="G18" s="1097"/>
      <c r="H18" s="1097"/>
      <c r="I18" s="1097"/>
      <c r="J18" s="1097"/>
      <c r="K18" s="1097"/>
      <c r="L18" s="1097"/>
      <c r="M18" s="1097"/>
    </row>
    <row r="19" spans="2:13" ht="14.65" customHeight="1">
      <c r="B19" s="1097"/>
      <c r="C19" s="1097"/>
      <c r="D19" s="1097"/>
      <c r="E19" s="1097"/>
      <c r="F19" s="1097"/>
      <c r="G19" s="1097"/>
      <c r="H19" s="1097"/>
      <c r="I19" s="1097"/>
      <c r="J19" s="1097"/>
      <c r="K19" s="1097"/>
      <c r="L19" s="1097"/>
      <c r="M19" s="1097"/>
    </row>
    <row r="20" spans="2:13" ht="14.65" customHeight="1">
      <c r="B20" s="1097"/>
      <c r="C20" s="1097"/>
      <c r="D20" s="1097"/>
      <c r="E20" s="1097"/>
      <c r="F20" s="1097"/>
      <c r="G20" s="1097"/>
      <c r="H20" s="1097"/>
      <c r="I20" s="1097"/>
      <c r="J20" s="1097"/>
      <c r="K20" s="1097"/>
      <c r="L20" s="1097"/>
      <c r="M20" s="1097"/>
    </row>
    <row r="21" spans="2:13" ht="14.65" customHeight="1">
      <c r="B21" s="1097"/>
      <c r="C21" s="1097"/>
      <c r="D21" s="1097"/>
      <c r="E21" s="1097"/>
      <c r="F21" s="1097"/>
      <c r="G21" s="1097"/>
      <c r="H21" s="1097"/>
      <c r="I21" s="1097"/>
      <c r="J21" s="1097"/>
      <c r="K21" s="1097"/>
      <c r="L21" s="1097"/>
      <c r="M21" s="1097"/>
    </row>
    <row r="22" spans="2:13">
      <c r="B22" s="1097" t="str">
        <f>Cover!C11</f>
        <v>Period 1 FY 2024</v>
      </c>
      <c r="C22" s="1097"/>
      <c r="D22" s="1097"/>
      <c r="E22" s="1097"/>
      <c r="F22" s="1097"/>
      <c r="G22" s="1097"/>
      <c r="H22" s="1097"/>
      <c r="I22" s="1097"/>
      <c r="J22" s="1097"/>
      <c r="K22" s="1097"/>
      <c r="L22" s="1097"/>
      <c r="M22" s="1097"/>
    </row>
    <row r="23" spans="2:13">
      <c r="B23" s="1097"/>
      <c r="C23" s="1097"/>
      <c r="D23" s="1097"/>
      <c r="E23" s="1097"/>
      <c r="F23" s="1097"/>
      <c r="G23" s="1097"/>
      <c r="H23" s="1097"/>
      <c r="I23" s="1097"/>
      <c r="J23" s="1097"/>
      <c r="K23" s="1097"/>
      <c r="L23" s="1097"/>
      <c r="M23" s="1097"/>
    </row>
    <row r="24" spans="2:13">
      <c r="B24" s="1097"/>
      <c r="C24" s="1097"/>
      <c r="D24" s="1097"/>
      <c r="E24" s="1097"/>
      <c r="F24" s="1097"/>
      <c r="G24" s="1097"/>
      <c r="H24" s="1097"/>
      <c r="I24" s="1097"/>
      <c r="J24" s="1097"/>
      <c r="K24" s="1097"/>
      <c r="L24" s="1097"/>
      <c r="M24" s="1097"/>
    </row>
    <row r="25" spans="2:13">
      <c r="B25" s="1097"/>
      <c r="C25" s="1097"/>
      <c r="D25" s="1097"/>
      <c r="E25" s="1097"/>
      <c r="F25" s="1097"/>
      <c r="G25" s="1097"/>
      <c r="H25" s="1097"/>
      <c r="I25" s="1097"/>
      <c r="J25" s="1097"/>
      <c r="K25" s="1097"/>
      <c r="L25" s="1097"/>
      <c r="M25" s="1097"/>
    </row>
    <row r="26" spans="2:13">
      <c r="B26" s="1097"/>
      <c r="C26" s="1097"/>
      <c r="D26" s="1097"/>
      <c r="E26" s="1097"/>
      <c r="F26" s="1097"/>
      <c r="G26" s="1097"/>
      <c r="H26" s="1097"/>
      <c r="I26" s="1097"/>
      <c r="J26" s="1097"/>
      <c r="K26" s="1097"/>
      <c r="L26" s="1097"/>
      <c r="M26" s="1097"/>
    </row>
    <row r="38" spans="2:13">
      <c r="B38" s="446"/>
      <c r="C38" s="446"/>
      <c r="D38" s="446"/>
      <c r="E38" s="446"/>
      <c r="F38" s="446"/>
      <c r="G38" s="446"/>
      <c r="H38" s="446"/>
      <c r="I38" s="446"/>
      <c r="J38" s="446"/>
      <c r="K38" s="446"/>
      <c r="L38" s="446"/>
      <c r="M38" s="446"/>
    </row>
    <row r="39" spans="2:13">
      <c r="B39" s="446"/>
      <c r="C39" s="446"/>
      <c r="D39" s="446"/>
      <c r="E39" s="446"/>
      <c r="F39" s="446"/>
      <c r="G39" s="446"/>
      <c r="H39" s="446"/>
      <c r="I39" s="446"/>
      <c r="J39" s="446"/>
      <c r="K39" s="446"/>
      <c r="L39" s="446"/>
      <c r="M39" s="446"/>
    </row>
  </sheetData>
  <mergeCells count="5">
    <mergeCell ref="B7:M11"/>
    <mergeCell ref="B12:M16"/>
    <mergeCell ref="B17:M21"/>
    <mergeCell ref="B22:M26"/>
    <mergeCell ref="B2:M5"/>
  </mergeCells>
  <printOptions horizontalCentered="1"/>
  <pageMargins left="0.7" right="0.7" top="0.25" bottom="0.75" header="0.3" footer="0.3"/>
  <pageSetup scale="77" orientation="landscape" r:id="rId1"/>
  <headerFooter>
    <oddFooter>&amp;R&amp;F | &amp;A
Printed &amp;D @ &amp;T
&amp;P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dimension ref="A1:BE165"/>
  <sheetViews>
    <sheetView zoomScaleNormal="100" workbookViewId="0">
      <selection activeCell="O16" sqref="O16"/>
    </sheetView>
  </sheetViews>
  <sheetFormatPr defaultColWidth="12.7109375" defaultRowHeight="15"/>
  <cols>
    <col min="1" max="1" width="3.28515625" style="407" customWidth="1"/>
    <col min="2" max="9" width="12.7109375" style="68"/>
    <col min="10" max="10" width="12.85546875" style="68" customWidth="1"/>
    <col min="11" max="11" width="3.28515625" style="407" customWidth="1"/>
    <col min="12" max="13" width="12.7109375" style="407"/>
    <col min="14" max="14" width="19.85546875" customWidth="1"/>
    <col min="15" max="17" width="12.7109375" customWidth="1"/>
    <col min="18" max="18" width="17.42578125" bestFit="1" customWidth="1"/>
    <col min="19" max="20" width="12.7109375" customWidth="1"/>
    <col min="21" max="21" width="21" customWidth="1"/>
    <col min="22" max="23" width="12.7109375" customWidth="1"/>
    <col min="24" max="16384" width="12.7109375" style="68"/>
  </cols>
  <sheetData>
    <row r="1" spans="1:57">
      <c r="B1" s="407"/>
      <c r="C1" s="407"/>
      <c r="D1" s="407"/>
      <c r="E1" s="407"/>
      <c r="F1" s="407"/>
      <c r="G1" s="407"/>
      <c r="H1" s="407"/>
      <c r="I1" s="407"/>
      <c r="J1" s="407"/>
      <c r="N1" s="187"/>
      <c r="O1" s="187"/>
      <c r="P1" s="187"/>
      <c r="Q1" s="187"/>
      <c r="R1" s="187"/>
      <c r="S1" s="187"/>
      <c r="T1" s="187"/>
      <c r="U1" s="187"/>
      <c r="V1" s="187"/>
      <c r="W1" s="187"/>
      <c r="X1" s="407"/>
      <c r="Y1" s="407"/>
      <c r="Z1" s="407"/>
      <c r="AA1" s="407"/>
      <c r="AB1" s="407"/>
      <c r="AC1" s="407"/>
      <c r="AD1" s="407"/>
    </row>
    <row r="2" spans="1:57" s="37" customFormat="1" ht="14.65" customHeight="1">
      <c r="A2" s="248"/>
      <c r="B2" s="1076" t="s">
        <v>180</v>
      </c>
      <c r="C2" s="1076"/>
      <c r="D2" s="1076"/>
      <c r="E2" s="1076"/>
      <c r="F2" s="1076"/>
      <c r="G2" s="1076"/>
      <c r="H2" s="1076"/>
      <c r="I2" s="1076"/>
      <c r="J2" s="1076"/>
      <c r="K2" s="260"/>
      <c r="L2" s="260"/>
      <c r="M2" s="260"/>
      <c r="N2" s="260"/>
      <c r="O2" s="260"/>
      <c r="P2" s="260"/>
      <c r="Q2" s="260"/>
      <c r="R2" s="260"/>
      <c r="S2" s="260"/>
      <c r="T2" s="260"/>
      <c r="U2" s="260"/>
      <c r="V2" s="260"/>
      <c r="W2" s="260"/>
      <c r="X2" s="260"/>
      <c r="Y2" s="260"/>
      <c r="Z2" s="260"/>
      <c r="AA2" s="260"/>
      <c r="AB2" s="260"/>
      <c r="AC2" s="260"/>
      <c r="AD2" s="260"/>
      <c r="AE2" s="260"/>
      <c r="AF2" s="260"/>
      <c r="AG2" s="260"/>
      <c r="AH2" s="260"/>
      <c r="AI2" s="260"/>
      <c r="AJ2" s="260"/>
      <c r="AK2" s="260"/>
      <c r="AL2" s="260"/>
      <c r="AM2" s="260"/>
      <c r="AN2" s="260"/>
      <c r="AO2" s="260"/>
      <c r="AP2" s="260"/>
      <c r="AQ2" s="260"/>
      <c r="AR2" s="260"/>
      <c r="AS2" s="260"/>
      <c r="AT2" s="260"/>
      <c r="AU2" s="260"/>
      <c r="AV2" s="260"/>
      <c r="AW2" s="260"/>
      <c r="AX2" s="260"/>
      <c r="AY2" s="260"/>
      <c r="AZ2" s="260"/>
      <c r="BA2" s="260"/>
      <c r="BB2" s="260"/>
      <c r="BC2" s="260"/>
      <c r="BD2" s="260"/>
      <c r="BE2" s="260"/>
    </row>
    <row r="3" spans="1:57" s="37" customFormat="1" ht="14.65" customHeight="1">
      <c r="A3" s="248"/>
      <c r="B3" s="1076"/>
      <c r="C3" s="1076"/>
      <c r="D3" s="1076"/>
      <c r="E3" s="1076"/>
      <c r="F3" s="1076"/>
      <c r="G3" s="1076"/>
      <c r="H3" s="1076"/>
      <c r="I3" s="1076"/>
      <c r="J3" s="1076"/>
      <c r="K3" s="261"/>
      <c r="L3" s="261"/>
      <c r="M3" s="261"/>
      <c r="N3" s="261"/>
      <c r="O3" s="261"/>
      <c r="P3" s="261"/>
      <c r="Q3" s="261"/>
      <c r="R3" s="261"/>
      <c r="S3" s="261"/>
      <c r="T3" s="261"/>
      <c r="U3" s="261"/>
      <c r="V3" s="261"/>
      <c r="W3" s="261"/>
      <c r="X3" s="261"/>
      <c r="Y3" s="261"/>
      <c r="Z3" s="261"/>
      <c r="AA3" s="261"/>
      <c r="AB3" s="261"/>
      <c r="AC3" s="261"/>
      <c r="AD3" s="261"/>
      <c r="AE3" s="261"/>
      <c r="AF3" s="261"/>
      <c r="AG3" s="261"/>
      <c r="AH3" s="261"/>
      <c r="AI3" s="261"/>
      <c r="AJ3" s="261"/>
      <c r="AK3" s="261"/>
      <c r="AL3" s="261"/>
      <c r="AM3" s="261"/>
      <c r="AN3" s="261"/>
      <c r="AO3" s="261"/>
      <c r="AP3" s="261"/>
      <c r="AQ3" s="261"/>
      <c r="AR3" s="261"/>
      <c r="AS3" s="261"/>
      <c r="AT3" s="261"/>
      <c r="AU3" s="261"/>
      <c r="AV3" s="261"/>
      <c r="AW3" s="261"/>
      <c r="AX3" s="261"/>
      <c r="AY3" s="261"/>
      <c r="AZ3" s="261"/>
      <c r="BA3" s="261"/>
      <c r="BB3" s="261"/>
      <c r="BC3" s="261"/>
      <c r="BD3" s="261"/>
      <c r="BE3" s="261"/>
    </row>
    <row r="4" spans="1:57" s="37" customFormat="1" ht="14.65" customHeight="1">
      <c r="A4" s="248"/>
      <c r="B4" s="1076"/>
      <c r="C4" s="1076"/>
      <c r="D4" s="1076"/>
      <c r="E4" s="1076"/>
      <c r="F4" s="1076"/>
      <c r="G4" s="1076"/>
      <c r="H4" s="1076"/>
      <c r="I4" s="1076"/>
      <c r="J4" s="1076"/>
      <c r="K4" s="408"/>
      <c r="L4" s="408"/>
      <c r="M4" s="408"/>
      <c r="N4" s="187"/>
      <c r="O4" s="187"/>
      <c r="P4" s="187"/>
      <c r="Q4" s="187"/>
      <c r="R4" s="187"/>
      <c r="S4" s="187"/>
      <c r="T4" s="187"/>
      <c r="U4" s="187"/>
      <c r="V4" s="187"/>
      <c r="W4" s="187"/>
      <c r="X4" s="248"/>
      <c r="Y4" s="248"/>
      <c r="Z4" s="248"/>
      <c r="AA4" s="248"/>
      <c r="AB4" s="248"/>
      <c r="AC4" s="248"/>
      <c r="AD4" s="248"/>
    </row>
    <row r="5" spans="1:57" s="37" customFormat="1" ht="14.65" customHeight="1">
      <c r="A5" s="248"/>
      <c r="B5" s="444" t="s">
        <v>188</v>
      </c>
      <c r="C5" s="444"/>
      <c r="D5" s="444"/>
      <c r="E5" s="444"/>
      <c r="F5" s="444"/>
      <c r="G5" s="444"/>
      <c r="H5" s="444"/>
      <c r="I5" s="444"/>
      <c r="J5" s="444" t="str">
        <f>Cover!M34</f>
        <v>OCT FY-24</v>
      </c>
      <c r="K5" s="408"/>
      <c r="L5" s="408"/>
      <c r="M5" s="408"/>
      <c r="N5" s="187"/>
      <c r="O5" s="187"/>
      <c r="P5" s="187"/>
      <c r="Q5" s="187"/>
      <c r="R5" s="187"/>
      <c r="S5" s="187"/>
      <c r="T5" s="187"/>
      <c r="U5" s="187"/>
      <c r="V5" s="187"/>
      <c r="W5" s="187"/>
      <c r="X5" s="248"/>
      <c r="Y5" s="248"/>
      <c r="Z5" s="248"/>
      <c r="AA5" s="248"/>
      <c r="AB5" s="248"/>
      <c r="AC5" s="248"/>
      <c r="AD5" s="248"/>
    </row>
    <row r="6" spans="1:57">
      <c r="B6" s="407"/>
      <c r="C6" s="407"/>
      <c r="D6" s="407"/>
      <c r="E6" s="407"/>
      <c r="F6" s="407"/>
      <c r="G6" s="407"/>
      <c r="H6" s="407"/>
      <c r="I6" s="407"/>
      <c r="J6" s="407"/>
      <c r="N6" s="187"/>
      <c r="O6" s="187"/>
      <c r="P6" s="187"/>
      <c r="Q6" s="187"/>
      <c r="R6" s="187"/>
      <c r="S6" s="187"/>
      <c r="T6" s="187"/>
      <c r="U6" s="187"/>
      <c r="V6" s="187"/>
      <c r="W6" s="187"/>
      <c r="X6" s="407"/>
      <c r="Y6" s="407"/>
      <c r="Z6" s="407"/>
      <c r="AA6" s="407"/>
      <c r="AB6" s="407"/>
      <c r="AC6" s="407"/>
      <c r="AD6" s="407"/>
    </row>
    <row r="7" spans="1:57">
      <c r="B7" s="407"/>
      <c r="C7" s="407"/>
      <c r="D7" s="407"/>
      <c r="E7" s="407"/>
      <c r="F7" s="407"/>
      <c r="G7" s="407"/>
      <c r="H7" s="407"/>
      <c r="I7" s="407"/>
      <c r="J7" s="407"/>
      <c r="N7" s="1110" t="s">
        <v>244</v>
      </c>
      <c r="O7" s="1110"/>
      <c r="P7" s="1110"/>
      <c r="Q7" s="1110"/>
      <c r="R7" s="1110"/>
      <c r="S7" s="1110"/>
      <c r="T7" s="1110"/>
      <c r="U7" s="1110"/>
      <c r="V7" s="1110"/>
      <c r="W7" s="1110"/>
      <c r="X7" s="407"/>
      <c r="Y7" s="407"/>
      <c r="Z7" s="407"/>
      <c r="AA7" s="407"/>
      <c r="AB7" s="407"/>
      <c r="AC7" s="407"/>
      <c r="AD7" s="407"/>
    </row>
    <row r="8" spans="1:57">
      <c r="B8" s="407"/>
      <c r="C8" s="407"/>
      <c r="D8" s="407"/>
      <c r="E8" s="407"/>
      <c r="F8" s="407"/>
      <c r="G8" s="407"/>
      <c r="H8" s="407"/>
      <c r="I8" s="407"/>
      <c r="J8" s="407"/>
      <c r="N8" s="187"/>
      <c r="O8" s="187"/>
      <c r="P8" s="187"/>
      <c r="Q8" s="187"/>
      <c r="R8" s="187"/>
      <c r="S8" s="187"/>
      <c r="T8" s="187"/>
      <c r="U8" s="187"/>
      <c r="V8" s="187"/>
      <c r="W8" s="187"/>
      <c r="X8" s="407"/>
      <c r="Y8" s="407"/>
      <c r="Z8" s="407"/>
      <c r="AA8" s="407"/>
      <c r="AB8" s="407"/>
      <c r="AC8" s="407"/>
      <c r="AD8" s="407"/>
    </row>
    <row r="9" spans="1:57">
      <c r="B9" s="407"/>
      <c r="C9" s="407"/>
      <c r="D9" s="407"/>
      <c r="E9" s="407"/>
      <c r="F9" s="407"/>
      <c r="G9" s="407"/>
      <c r="H9" s="407"/>
      <c r="I9" s="407"/>
      <c r="J9" s="407"/>
      <c r="N9" s="455" t="s">
        <v>245</v>
      </c>
      <c r="O9" s="500"/>
      <c r="P9" s="500"/>
      <c r="Q9" s="500"/>
      <c r="R9" s="500"/>
      <c r="S9" s="500"/>
      <c r="T9" s="500"/>
      <c r="U9" s="500"/>
      <c r="V9" s="500"/>
      <c r="W9" s="501"/>
      <c r="X9" s="407"/>
      <c r="Y9" s="407"/>
      <c r="Z9" s="407"/>
      <c r="AA9" s="407"/>
      <c r="AB9" s="407"/>
      <c r="AC9" s="407"/>
      <c r="AD9" s="407"/>
    </row>
    <row r="10" spans="1:57">
      <c r="B10" s="407"/>
      <c r="C10" s="407"/>
      <c r="D10" s="407"/>
      <c r="E10" s="407"/>
      <c r="F10" s="407"/>
      <c r="G10" s="407"/>
      <c r="H10" s="407"/>
      <c r="I10" s="407"/>
      <c r="J10" s="407"/>
      <c r="N10" s="502" t="s">
        <v>246</v>
      </c>
      <c r="O10" s="1111" t="s">
        <v>247</v>
      </c>
      <c r="P10" s="1111"/>
      <c r="Q10" s="1111"/>
      <c r="R10" s="1111"/>
      <c r="S10" s="1111"/>
      <c r="T10" s="1111"/>
      <c r="U10" s="1111"/>
      <c r="V10" s="1111"/>
      <c r="W10" s="501"/>
      <c r="X10" s="407"/>
      <c r="Y10" s="407"/>
      <c r="Z10" s="407"/>
      <c r="AA10" s="407"/>
      <c r="AB10" s="407"/>
      <c r="AC10" s="407"/>
      <c r="AD10" s="407"/>
    </row>
    <row r="11" spans="1:57">
      <c r="B11" s="407"/>
      <c r="C11" s="407"/>
      <c r="D11" s="407"/>
      <c r="E11" s="407"/>
      <c r="F11" s="407"/>
      <c r="G11" s="407"/>
      <c r="H11" s="407"/>
      <c r="I11" s="407"/>
      <c r="J11" s="407"/>
      <c r="N11" s="502" t="s">
        <v>248</v>
      </c>
      <c r="O11" s="1109"/>
      <c r="P11" s="1109"/>
      <c r="Q11" s="1109"/>
      <c r="R11" s="1109"/>
      <c r="S11" s="1109"/>
      <c r="T11" s="1109"/>
      <c r="U11" s="1109"/>
      <c r="V11" s="1109"/>
      <c r="W11" s="501"/>
      <c r="X11" s="407"/>
      <c r="Y11" s="407"/>
      <c r="Z11" s="407"/>
      <c r="AA11" s="407"/>
      <c r="AB11" s="407"/>
      <c r="AC11" s="407"/>
      <c r="AD11" s="407"/>
    </row>
    <row r="12" spans="1:57">
      <c r="B12" s="407"/>
      <c r="C12" s="407"/>
      <c r="D12" s="407"/>
      <c r="E12" s="407"/>
      <c r="F12" s="407"/>
      <c r="G12" s="407"/>
      <c r="H12" s="407"/>
      <c r="I12" s="407"/>
      <c r="J12" s="407"/>
      <c r="N12" s="502" t="s">
        <v>249</v>
      </c>
      <c r="O12" s="1109"/>
      <c r="P12" s="1109"/>
      <c r="Q12" s="1109"/>
      <c r="R12" s="1109"/>
      <c r="S12" s="1109"/>
      <c r="T12" s="1109"/>
      <c r="U12" s="1109"/>
      <c r="V12" s="1109"/>
      <c r="W12" s="501"/>
      <c r="X12" s="407"/>
      <c r="Y12" s="407"/>
      <c r="Z12" s="407"/>
      <c r="AA12" s="407"/>
      <c r="AB12" s="407"/>
      <c r="AC12" s="407"/>
      <c r="AD12" s="407"/>
    </row>
    <row r="13" spans="1:57">
      <c r="B13" s="407"/>
      <c r="C13" s="407"/>
      <c r="D13" s="407"/>
      <c r="E13" s="407"/>
      <c r="F13" s="407"/>
      <c r="G13" s="407"/>
      <c r="H13" s="407"/>
      <c r="I13" s="407"/>
      <c r="J13" s="407"/>
      <c r="N13" s="503"/>
      <c r="O13" s="503"/>
      <c r="P13" s="503"/>
      <c r="Q13" s="187"/>
      <c r="R13" s="187"/>
      <c r="S13" s="187"/>
      <c r="T13" s="187"/>
      <c r="U13" s="503"/>
      <c r="V13" s="187"/>
      <c r="W13" s="501"/>
      <c r="X13" s="407"/>
      <c r="Y13" s="407"/>
      <c r="Z13" s="407"/>
      <c r="AA13" s="407"/>
      <c r="AB13" s="407"/>
      <c r="AC13" s="407"/>
      <c r="AD13" s="407"/>
    </row>
    <row r="14" spans="1:57">
      <c r="B14" s="407"/>
      <c r="C14" s="407"/>
      <c r="D14" s="407"/>
      <c r="E14" s="407"/>
      <c r="F14" s="407"/>
      <c r="G14" s="407"/>
      <c r="H14" s="407"/>
      <c r="I14" s="407"/>
      <c r="J14" s="407"/>
      <c r="N14" s="504" t="s">
        <v>119</v>
      </c>
      <c r="O14" s="504" t="s">
        <v>250</v>
      </c>
      <c r="P14" s="505" t="s">
        <v>251</v>
      </c>
      <c r="Q14" s="505" t="s">
        <v>252</v>
      </c>
      <c r="R14" s="505"/>
      <c r="S14" s="505"/>
      <c r="T14" s="505"/>
      <c r="U14" s="505" t="s">
        <v>253</v>
      </c>
      <c r="V14" s="505"/>
      <c r="W14" s="501"/>
      <c r="X14" s="407"/>
      <c r="Y14" s="407"/>
      <c r="Z14" s="407"/>
      <c r="AA14" s="407"/>
      <c r="AB14" s="407"/>
      <c r="AC14" s="407"/>
      <c r="AD14" s="407"/>
    </row>
    <row r="15" spans="1:57">
      <c r="B15" s="407"/>
      <c r="C15" s="407"/>
      <c r="D15" s="407"/>
      <c r="E15" s="407"/>
      <c r="F15" s="407"/>
      <c r="G15" s="407"/>
      <c r="H15" s="407"/>
      <c r="I15" s="407"/>
      <c r="J15" s="407"/>
      <c r="N15" s="626" t="s">
        <v>0</v>
      </c>
      <c r="O15" s="627" t="s">
        <v>254</v>
      </c>
      <c r="P15" s="628">
        <v>9</v>
      </c>
      <c r="Q15" s="628">
        <v>0</v>
      </c>
      <c r="R15" s="628"/>
      <c r="S15" s="628"/>
      <c r="T15" s="628"/>
      <c r="U15" s="629"/>
      <c r="V15" s="187"/>
      <c r="W15" s="501"/>
      <c r="X15" s="407"/>
      <c r="Y15" s="407"/>
      <c r="Z15" s="407"/>
      <c r="AA15" s="407"/>
      <c r="AB15" s="407"/>
      <c r="AC15" s="407"/>
      <c r="AD15" s="407"/>
    </row>
    <row r="16" spans="1:57">
      <c r="B16" s="407"/>
      <c r="C16" s="407"/>
      <c r="D16" s="407"/>
      <c r="E16" s="407"/>
      <c r="F16" s="407"/>
      <c r="G16" s="407"/>
      <c r="H16" s="407"/>
      <c r="I16" s="407"/>
      <c r="J16" s="407"/>
      <c r="N16" s="506"/>
      <c r="O16" s="503" t="s">
        <v>255</v>
      </c>
      <c r="P16" s="507">
        <v>0</v>
      </c>
      <c r="Q16" s="507">
        <v>0</v>
      </c>
      <c r="R16" s="507"/>
      <c r="S16" s="507"/>
      <c r="T16" s="507"/>
      <c r="U16" s="547">
        <v>9</v>
      </c>
      <c r="V16" s="507"/>
      <c r="W16" s="501"/>
      <c r="X16" s="407"/>
      <c r="Y16" s="407"/>
      <c r="Z16" s="407"/>
      <c r="AA16" s="407"/>
      <c r="AB16" s="407"/>
      <c r="AC16" s="407"/>
      <c r="AD16" s="407"/>
    </row>
    <row r="17" spans="1:30">
      <c r="B17" s="407"/>
      <c r="C17" s="407"/>
      <c r="D17" s="407"/>
      <c r="E17" s="407"/>
      <c r="F17" s="407"/>
      <c r="G17" s="407"/>
      <c r="H17" s="407"/>
      <c r="I17" s="407"/>
      <c r="J17" s="407"/>
      <c r="N17" s="508"/>
      <c r="O17" s="187"/>
      <c r="P17" s="187"/>
      <c r="Q17" s="187"/>
      <c r="R17" s="187"/>
      <c r="S17" s="187"/>
      <c r="T17" s="187"/>
      <c r="U17" s="548"/>
      <c r="V17" s="187"/>
      <c r="W17" s="187"/>
      <c r="X17" s="407"/>
      <c r="Y17" s="407"/>
      <c r="Z17" s="407"/>
      <c r="AA17" s="407"/>
      <c r="AB17" s="407"/>
      <c r="AC17" s="407"/>
      <c r="AD17" s="407"/>
    </row>
    <row r="18" spans="1:30">
      <c r="B18" s="407"/>
      <c r="C18" s="407"/>
      <c r="D18" s="407"/>
      <c r="E18" s="407"/>
      <c r="F18" s="407"/>
      <c r="G18" s="407"/>
      <c r="H18" s="407"/>
      <c r="I18" s="407"/>
      <c r="J18" s="407"/>
      <c r="N18" s="506" t="s">
        <v>1</v>
      </c>
      <c r="O18" s="503" t="s">
        <v>254</v>
      </c>
      <c r="P18" s="507">
        <v>6</v>
      </c>
      <c r="Q18" s="507">
        <v>0</v>
      </c>
      <c r="R18" s="507"/>
      <c r="S18" s="507"/>
      <c r="T18" s="507"/>
      <c r="U18" s="547"/>
      <c r="V18" s="187"/>
      <c r="W18" s="187"/>
      <c r="X18" s="407"/>
      <c r="Y18" s="407"/>
      <c r="Z18" s="407"/>
      <c r="AA18" s="407"/>
      <c r="AB18" s="407"/>
      <c r="AC18" s="407"/>
      <c r="AD18" s="407"/>
    </row>
    <row r="19" spans="1:30">
      <c r="B19" s="407"/>
      <c r="C19" s="407"/>
      <c r="D19" s="407"/>
      <c r="E19" s="407"/>
      <c r="F19" s="407"/>
      <c r="G19" s="407"/>
      <c r="H19" s="407"/>
      <c r="I19" s="407"/>
      <c r="J19" s="407"/>
      <c r="N19" s="506"/>
      <c r="O19" s="503" t="s">
        <v>255</v>
      </c>
      <c r="P19" s="507">
        <v>0</v>
      </c>
      <c r="Q19" s="507">
        <v>0</v>
      </c>
      <c r="R19" s="507"/>
      <c r="S19" s="507"/>
      <c r="T19" s="507"/>
      <c r="U19" s="547">
        <v>6</v>
      </c>
      <c r="V19" s="507"/>
      <c r="W19" s="187"/>
      <c r="X19" s="407"/>
      <c r="Y19" s="407"/>
      <c r="Z19" s="407"/>
      <c r="AA19" s="407"/>
      <c r="AB19" s="407"/>
      <c r="AC19" s="407"/>
      <c r="AD19" s="407"/>
    </row>
    <row r="20" spans="1:30">
      <c r="B20" s="407"/>
      <c r="C20" s="407"/>
      <c r="D20" s="407"/>
      <c r="E20" s="407"/>
      <c r="F20" s="407"/>
      <c r="G20" s="407"/>
      <c r="H20" s="407"/>
      <c r="I20" s="407"/>
      <c r="J20" s="407"/>
      <c r="N20" s="508"/>
      <c r="O20" s="187"/>
      <c r="P20" s="187"/>
      <c r="Q20" s="187"/>
      <c r="R20" s="187"/>
      <c r="S20" s="187"/>
      <c r="T20" s="187"/>
      <c r="U20" s="548"/>
      <c r="V20" s="187"/>
      <c r="W20" s="187"/>
      <c r="X20" s="407"/>
      <c r="Y20" s="407"/>
      <c r="Z20" s="407"/>
      <c r="AA20" s="407"/>
      <c r="AB20" s="407"/>
      <c r="AC20" s="407"/>
      <c r="AD20" s="407"/>
    </row>
    <row r="21" spans="1:30">
      <c r="B21" s="407"/>
      <c r="C21" s="407"/>
      <c r="D21" s="407"/>
      <c r="E21" s="407"/>
      <c r="F21" s="407"/>
      <c r="G21" s="407"/>
      <c r="H21" s="407"/>
      <c r="I21" s="407"/>
      <c r="J21" s="407"/>
      <c r="N21" s="506" t="s">
        <v>2</v>
      </c>
      <c r="O21" s="503" t="s">
        <v>254</v>
      </c>
      <c r="P21" s="507">
        <v>4</v>
      </c>
      <c r="Q21" s="507">
        <v>0</v>
      </c>
      <c r="R21" s="507"/>
      <c r="S21" s="507"/>
      <c r="T21" s="507"/>
      <c r="U21" s="548"/>
      <c r="V21" s="187"/>
      <c r="W21" s="187"/>
      <c r="X21" s="407"/>
      <c r="Y21" s="407"/>
      <c r="Z21" s="407"/>
      <c r="AA21" s="407"/>
      <c r="AB21" s="407"/>
      <c r="AC21" s="407"/>
      <c r="AD21" s="407"/>
    </row>
    <row r="22" spans="1:30">
      <c r="B22" s="407"/>
      <c r="C22" s="407"/>
      <c r="D22" s="407"/>
      <c r="E22" s="407"/>
      <c r="F22" s="407"/>
      <c r="G22" s="407"/>
      <c r="H22" s="407"/>
      <c r="I22" s="407"/>
      <c r="J22" s="407"/>
      <c r="N22" s="506"/>
      <c r="O22" s="503" t="s">
        <v>255</v>
      </c>
      <c r="P22" s="507">
        <v>0</v>
      </c>
      <c r="Q22" s="507">
        <v>0</v>
      </c>
      <c r="R22" s="507"/>
      <c r="S22" s="507"/>
      <c r="T22" s="507"/>
      <c r="U22" s="509">
        <v>4</v>
      </c>
      <c r="V22" s="507"/>
      <c r="W22" s="187"/>
      <c r="X22" s="407"/>
      <c r="Y22" s="407"/>
      <c r="Z22" s="407"/>
      <c r="AA22" s="407"/>
      <c r="AB22" s="407"/>
      <c r="AC22" s="407"/>
      <c r="AD22" s="407"/>
    </row>
    <row r="23" spans="1:30">
      <c r="B23" s="407"/>
      <c r="C23" s="407"/>
      <c r="D23" s="407"/>
      <c r="E23" s="407"/>
      <c r="F23" s="407"/>
      <c r="G23" s="407"/>
      <c r="H23" s="407"/>
      <c r="I23" s="407"/>
      <c r="J23" s="407"/>
      <c r="N23" s="508"/>
      <c r="O23" s="187"/>
      <c r="P23" s="187"/>
      <c r="Q23" s="187"/>
      <c r="R23" s="187"/>
      <c r="S23" s="187"/>
      <c r="T23" s="187"/>
      <c r="U23" s="548"/>
      <c r="V23" s="187"/>
      <c r="W23" s="187"/>
      <c r="X23" s="407"/>
      <c r="Y23" s="407"/>
      <c r="Z23" s="407"/>
      <c r="AA23" s="407"/>
      <c r="AB23" s="407"/>
      <c r="AC23" s="407"/>
      <c r="AD23" s="407"/>
    </row>
    <row r="24" spans="1:30">
      <c r="B24" s="407"/>
      <c r="C24" s="407"/>
      <c r="D24" s="407"/>
      <c r="E24" s="407"/>
      <c r="F24" s="407"/>
      <c r="G24" s="407"/>
      <c r="H24" s="407"/>
      <c r="I24" s="407"/>
      <c r="J24" s="407"/>
      <c r="N24" s="506" t="s">
        <v>3</v>
      </c>
      <c r="O24" s="503" t="s">
        <v>254</v>
      </c>
      <c r="P24" s="507">
        <v>2</v>
      </c>
      <c r="Q24" s="507">
        <v>0</v>
      </c>
      <c r="R24" s="507"/>
      <c r="S24" s="507"/>
      <c r="T24" s="507"/>
      <c r="U24" s="548"/>
      <c r="V24" s="187"/>
      <c r="W24" s="187"/>
      <c r="X24" s="407"/>
      <c r="Y24" s="407"/>
      <c r="Z24" s="407"/>
      <c r="AA24" s="407"/>
      <c r="AB24" s="407"/>
      <c r="AC24" s="407"/>
      <c r="AD24" s="407"/>
    </row>
    <row r="25" spans="1:30">
      <c r="B25" s="407"/>
      <c r="C25" s="407"/>
      <c r="D25" s="407"/>
      <c r="E25" s="407"/>
      <c r="F25" s="407"/>
      <c r="G25" s="407"/>
      <c r="H25" s="407"/>
      <c r="I25" s="407"/>
      <c r="J25" s="407"/>
      <c r="N25" s="506"/>
      <c r="O25" s="503" t="s">
        <v>255</v>
      </c>
      <c r="P25" s="507">
        <v>0</v>
      </c>
      <c r="Q25" s="507">
        <v>0</v>
      </c>
      <c r="R25" s="507"/>
      <c r="S25" s="507"/>
      <c r="T25" s="507"/>
      <c r="U25" s="509">
        <v>2</v>
      </c>
      <c r="V25" s="507"/>
      <c r="W25" s="187"/>
      <c r="X25" s="407"/>
      <c r="Y25" s="407"/>
      <c r="Z25" s="407"/>
      <c r="AA25" s="407"/>
      <c r="AB25" s="407"/>
      <c r="AC25" s="407"/>
      <c r="AD25" s="407"/>
    </row>
    <row r="26" spans="1:30">
      <c r="B26" s="407"/>
      <c r="C26" s="407"/>
      <c r="D26" s="407"/>
      <c r="E26" s="407"/>
      <c r="F26" s="407"/>
      <c r="G26" s="407"/>
      <c r="H26" s="407"/>
      <c r="I26" s="407"/>
      <c r="J26" s="407"/>
      <c r="N26" s="508"/>
      <c r="O26" s="187"/>
      <c r="P26" s="187"/>
      <c r="Q26" s="187"/>
      <c r="R26" s="187"/>
      <c r="S26" s="187"/>
      <c r="T26" s="187"/>
      <c r="U26" s="548"/>
      <c r="V26" s="187"/>
      <c r="W26" s="187"/>
      <c r="X26" s="407"/>
      <c r="Y26" s="407"/>
      <c r="Z26" s="407"/>
      <c r="AA26" s="407"/>
      <c r="AB26" s="407"/>
      <c r="AC26" s="407"/>
      <c r="AD26" s="407"/>
    </row>
    <row r="27" spans="1:30">
      <c r="B27" s="407"/>
      <c r="C27" s="407"/>
      <c r="D27" s="407"/>
      <c r="E27" s="407"/>
      <c r="F27" s="407"/>
      <c r="G27" s="407"/>
      <c r="H27" s="407"/>
      <c r="I27" s="407"/>
      <c r="J27" s="407"/>
      <c r="N27" s="506" t="s">
        <v>4</v>
      </c>
      <c r="O27" s="503" t="s">
        <v>254</v>
      </c>
      <c r="P27" s="507">
        <v>7</v>
      </c>
      <c r="Q27" s="507">
        <v>0</v>
      </c>
      <c r="R27" s="507"/>
      <c r="S27" s="507"/>
      <c r="T27" s="507"/>
      <c r="U27" s="510"/>
      <c r="V27" s="187"/>
      <c r="W27" s="187"/>
      <c r="X27" s="407"/>
      <c r="Y27" s="407"/>
      <c r="Z27" s="407"/>
      <c r="AA27" s="407"/>
      <c r="AB27" s="407"/>
      <c r="AC27" s="407"/>
      <c r="AD27" s="407"/>
    </row>
    <row r="28" spans="1:30">
      <c r="B28" s="407"/>
      <c r="C28" s="407"/>
      <c r="D28" s="407"/>
      <c r="E28" s="407"/>
      <c r="F28" s="407"/>
      <c r="G28" s="407"/>
      <c r="H28" s="407"/>
      <c r="I28" s="407"/>
      <c r="J28" s="407"/>
      <c r="N28" s="506"/>
      <c r="O28" s="503" t="s">
        <v>255</v>
      </c>
      <c r="P28" s="507">
        <v>0</v>
      </c>
      <c r="Q28" s="507">
        <v>0</v>
      </c>
      <c r="R28" s="507"/>
      <c r="S28" s="507"/>
      <c r="T28" s="507"/>
      <c r="U28" s="510">
        <v>7</v>
      </c>
      <c r="V28" s="511"/>
      <c r="W28" s="187"/>
      <c r="X28" s="407"/>
      <c r="Y28" s="407"/>
      <c r="Z28" s="407"/>
      <c r="AA28" s="407"/>
      <c r="AB28" s="407"/>
      <c r="AC28" s="407"/>
      <c r="AD28" s="407"/>
    </row>
    <row r="29" spans="1:30">
      <c r="B29" s="407"/>
      <c r="C29" s="407"/>
      <c r="D29" s="407"/>
      <c r="E29" s="407"/>
      <c r="F29" s="407"/>
      <c r="G29" s="407"/>
      <c r="H29" s="407"/>
      <c r="I29" s="407"/>
      <c r="J29" s="407"/>
      <c r="N29" s="508"/>
      <c r="O29" s="187"/>
      <c r="P29" s="187"/>
      <c r="Q29" s="187"/>
      <c r="R29" s="187"/>
      <c r="S29" s="187"/>
      <c r="T29" s="187"/>
      <c r="U29" s="548"/>
      <c r="V29" s="187"/>
      <c r="W29" s="187"/>
      <c r="X29" s="407"/>
      <c r="Y29" s="407"/>
      <c r="Z29" s="407"/>
      <c r="AA29" s="407"/>
      <c r="AB29" s="407"/>
      <c r="AC29" s="407"/>
      <c r="AD29" s="407"/>
    </row>
    <row r="30" spans="1:30">
      <c r="A30" s="190"/>
      <c r="B30" s="190"/>
      <c r="C30" s="190"/>
      <c r="D30" s="190"/>
      <c r="E30" s="190"/>
      <c r="F30" s="190"/>
      <c r="G30" s="190"/>
      <c r="H30" s="190"/>
      <c r="I30" s="190"/>
      <c r="J30" s="190"/>
      <c r="K30" s="190"/>
      <c r="N30" s="506" t="s">
        <v>5</v>
      </c>
      <c r="O30" s="503" t="s">
        <v>254</v>
      </c>
      <c r="P30" s="507">
        <v>4</v>
      </c>
      <c r="Q30" s="507">
        <v>0</v>
      </c>
      <c r="R30" s="507"/>
      <c r="S30" s="507"/>
      <c r="T30" s="507"/>
      <c r="U30" s="548"/>
      <c r="V30" s="187"/>
      <c r="W30" s="187"/>
      <c r="X30" s="407"/>
      <c r="Y30" s="407"/>
      <c r="Z30" s="407"/>
      <c r="AA30" s="407"/>
      <c r="AB30" s="407"/>
      <c r="AC30" s="407"/>
      <c r="AD30" s="407"/>
    </row>
    <row r="31" spans="1:30">
      <c r="A31" s="190"/>
      <c r="B31" s="190"/>
      <c r="C31" s="190"/>
      <c r="D31" s="190"/>
      <c r="E31" s="190"/>
      <c r="F31" s="190"/>
      <c r="G31" s="190"/>
      <c r="H31" s="190"/>
      <c r="I31" s="190"/>
      <c r="J31" s="190"/>
      <c r="K31" s="190"/>
      <c r="N31" s="512"/>
      <c r="O31" s="549" t="s">
        <v>255</v>
      </c>
      <c r="P31" s="513">
        <v>0</v>
      </c>
      <c r="Q31" s="513">
        <v>0</v>
      </c>
      <c r="R31" s="513"/>
      <c r="S31" s="513"/>
      <c r="T31" s="513"/>
      <c r="U31" s="514">
        <v>4</v>
      </c>
      <c r="V31" s="507"/>
      <c r="W31" s="187"/>
      <c r="X31" s="407"/>
      <c r="Y31" s="407"/>
      <c r="Z31" s="407"/>
      <c r="AA31" s="407"/>
      <c r="AB31" s="407"/>
      <c r="AC31" s="407"/>
      <c r="AD31" s="407"/>
    </row>
    <row r="32" spans="1:30">
      <c r="A32" s="190"/>
      <c r="B32" s="190"/>
      <c r="C32" s="190"/>
      <c r="D32" s="190"/>
      <c r="E32" s="190"/>
      <c r="F32" s="190"/>
      <c r="G32" s="190"/>
      <c r="H32" s="190"/>
      <c r="I32" s="190"/>
      <c r="J32" s="190"/>
      <c r="K32" s="190"/>
      <c r="N32" s="187"/>
      <c r="O32" s="187"/>
      <c r="P32" s="187"/>
      <c r="Q32" s="187"/>
      <c r="R32" s="187"/>
      <c r="S32" s="187"/>
      <c r="T32" s="187"/>
      <c r="U32" s="187"/>
      <c r="V32" s="187"/>
      <c r="W32" s="187"/>
      <c r="X32" s="407"/>
      <c r="Y32" s="407"/>
      <c r="Z32" s="407"/>
      <c r="AA32" s="407"/>
      <c r="AB32" s="407"/>
      <c r="AC32" s="407"/>
      <c r="AD32" s="407"/>
    </row>
    <row r="33" spans="1:30">
      <c r="A33" s="190"/>
      <c r="B33" s="190"/>
      <c r="C33" s="190"/>
      <c r="D33" s="190"/>
      <c r="E33" s="190"/>
      <c r="F33" s="190"/>
      <c r="G33" s="190"/>
      <c r="H33" s="190"/>
      <c r="I33" s="190"/>
      <c r="J33" s="190"/>
      <c r="K33" s="190"/>
      <c r="N33" s="187"/>
      <c r="O33" s="187"/>
      <c r="P33" s="187"/>
      <c r="Q33" s="187"/>
      <c r="R33" s="187"/>
      <c r="S33" s="187"/>
      <c r="T33" s="187"/>
      <c r="U33" s="187"/>
      <c r="V33" s="187"/>
      <c r="W33" s="187"/>
      <c r="X33" s="407"/>
      <c r="Y33" s="407"/>
      <c r="Z33" s="407"/>
      <c r="AA33" s="407"/>
      <c r="AB33" s="407"/>
      <c r="AC33" s="407"/>
      <c r="AD33" s="407"/>
    </row>
    <row r="34" spans="1:30" ht="15" customHeight="1">
      <c r="A34" s="497"/>
      <c r="B34" s="497"/>
      <c r="C34" s="497"/>
      <c r="D34" s="497"/>
      <c r="E34" s="497"/>
      <c r="F34" s="497"/>
      <c r="G34" s="497"/>
      <c r="H34" s="497"/>
      <c r="I34" s="497"/>
      <c r="J34" s="497"/>
      <c r="K34" s="497"/>
      <c r="N34" s="503"/>
      <c r="O34" s="503"/>
      <c r="P34" s="187"/>
      <c r="Q34" s="187"/>
      <c r="R34" s="187"/>
      <c r="S34" s="187"/>
      <c r="T34" s="187"/>
      <c r="U34" s="187"/>
      <c r="V34" s="187"/>
      <c r="W34" s="187"/>
      <c r="X34" s="407"/>
      <c r="Y34" s="407"/>
      <c r="Z34" s="407"/>
      <c r="AA34" s="407"/>
      <c r="AB34" s="407"/>
      <c r="AC34" s="407"/>
      <c r="AD34" s="407"/>
    </row>
    <row r="35" spans="1:30">
      <c r="A35" s="498"/>
      <c r="B35" s="1108" t="s">
        <v>256</v>
      </c>
      <c r="C35" s="1108"/>
      <c r="D35" s="1108"/>
      <c r="E35" s="1108"/>
      <c r="F35" s="1108"/>
      <c r="G35" s="1108"/>
      <c r="H35" s="1108"/>
      <c r="I35" s="1108"/>
      <c r="J35" s="1108"/>
      <c r="K35" s="499"/>
      <c r="N35" s="187"/>
      <c r="O35" s="503"/>
      <c r="P35" s="187"/>
      <c r="Q35" s="187"/>
      <c r="R35" s="187"/>
      <c r="S35" s="187"/>
      <c r="T35" s="187"/>
      <c r="U35" s="187"/>
      <c r="V35" s="503"/>
      <c r="W35" s="187"/>
      <c r="X35" s="407"/>
      <c r="Y35" s="407"/>
      <c r="Z35" s="407"/>
      <c r="AA35" s="407"/>
      <c r="AB35" s="407"/>
      <c r="AC35" s="407"/>
      <c r="AD35" s="407"/>
    </row>
    <row r="36" spans="1:30">
      <c r="B36" s="1105" t="s">
        <v>119</v>
      </c>
      <c r="C36" s="1106"/>
      <c r="D36" s="1107"/>
      <c r="E36" s="1105" t="s">
        <v>257</v>
      </c>
      <c r="F36" s="1106"/>
      <c r="G36" s="1107"/>
      <c r="H36" s="1105" t="s">
        <v>258</v>
      </c>
      <c r="I36" s="1106"/>
      <c r="J36" s="1107"/>
      <c r="N36" s="187"/>
      <c r="O36" s="187"/>
      <c r="P36" s="187"/>
      <c r="Q36" s="187"/>
      <c r="R36" s="187"/>
      <c r="S36" s="187"/>
      <c r="T36" s="187"/>
      <c r="U36" s="187"/>
      <c r="V36" s="187"/>
      <c r="W36" s="187"/>
      <c r="X36" s="407"/>
      <c r="Y36" s="407"/>
      <c r="Z36" s="407"/>
      <c r="AA36" s="407"/>
      <c r="AB36" s="407"/>
      <c r="AC36" s="407"/>
      <c r="AD36" s="407"/>
    </row>
    <row r="37" spans="1:30" ht="54" customHeight="1">
      <c r="B37" s="1098"/>
      <c r="C37" s="1099"/>
      <c r="D37" s="1100"/>
      <c r="E37" s="1098"/>
      <c r="F37" s="1099"/>
      <c r="G37" s="1100"/>
      <c r="H37" s="1101"/>
      <c r="I37" s="1102"/>
      <c r="J37" s="1103"/>
      <c r="K37" s="187"/>
      <c r="L37" s="187"/>
      <c r="M37" s="187"/>
      <c r="N37" s="187"/>
      <c r="O37" s="187"/>
      <c r="P37" s="187"/>
      <c r="Q37" s="187"/>
      <c r="R37" s="187"/>
      <c r="S37" s="187"/>
      <c r="T37" s="187"/>
      <c r="U37" s="187"/>
      <c r="V37" s="187"/>
      <c r="W37" s="187"/>
      <c r="X37" s="407"/>
      <c r="Y37" s="407"/>
      <c r="Z37" s="407"/>
      <c r="AA37" s="407"/>
      <c r="AB37" s="407"/>
      <c r="AC37" s="407"/>
      <c r="AD37" s="407"/>
    </row>
    <row r="38" spans="1:30">
      <c r="B38" s="394"/>
      <c r="C38" s="394"/>
      <c r="D38" s="394"/>
      <c r="E38" s="394"/>
      <c r="F38" s="394"/>
      <c r="G38" s="394"/>
      <c r="H38" s="519"/>
      <c r="I38" s="519"/>
      <c r="J38" s="519"/>
      <c r="N38" s="187"/>
      <c r="O38" s="187"/>
      <c r="P38" s="515"/>
      <c r="Q38" s="515"/>
      <c r="R38" s="515"/>
      <c r="S38" s="515"/>
      <c r="T38" s="515"/>
      <c r="U38" s="515"/>
      <c r="V38" s="515"/>
      <c r="W38" s="515"/>
      <c r="X38" s="515"/>
      <c r="Y38" s="516"/>
      <c r="Z38" s="407"/>
      <c r="AA38" s="407"/>
      <c r="AB38" s="407"/>
      <c r="AC38" s="407"/>
      <c r="AD38" s="407"/>
    </row>
    <row r="39" spans="1:30" ht="20.25" customHeight="1">
      <c r="B39" s="521" t="s">
        <v>242</v>
      </c>
      <c r="C39" s="520"/>
      <c r="D39" s="520"/>
      <c r="E39" s="520"/>
      <c r="F39" s="520"/>
      <c r="G39" s="520"/>
      <c r="H39" s="520"/>
      <c r="I39" s="520"/>
      <c r="J39" s="520"/>
      <c r="N39" s="187"/>
      <c r="O39" s="187"/>
      <c r="P39" s="515"/>
      <c r="Q39" s="515"/>
      <c r="R39" s="515"/>
      <c r="S39" s="515"/>
      <c r="T39" s="515"/>
      <c r="U39" s="515"/>
      <c r="V39" s="515"/>
      <c r="W39" s="515"/>
      <c r="X39" s="515"/>
      <c r="Y39" s="407"/>
      <c r="Z39" s="407"/>
      <c r="AA39" s="407"/>
      <c r="AB39" s="407"/>
      <c r="AC39" s="407"/>
      <c r="AD39" s="407"/>
    </row>
    <row r="40" spans="1:30" ht="75" customHeight="1">
      <c r="B40" s="1104" t="s">
        <v>259</v>
      </c>
      <c r="C40" s="1104"/>
      <c r="D40" s="1104"/>
      <c r="E40" s="1104"/>
      <c r="F40" s="1104"/>
      <c r="G40" s="1104"/>
      <c r="H40" s="1104"/>
      <c r="I40" s="1104"/>
      <c r="J40" s="1104"/>
      <c r="N40" s="187"/>
      <c r="O40" s="187"/>
      <c r="P40" s="515"/>
      <c r="Q40" s="515"/>
      <c r="R40" s="515"/>
      <c r="S40" s="515"/>
      <c r="T40" s="515"/>
      <c r="U40" s="515"/>
      <c r="V40" s="515"/>
      <c r="W40" s="515"/>
      <c r="X40" s="515"/>
      <c r="Y40" s="516"/>
      <c r="Z40" s="516"/>
      <c r="AA40" s="407"/>
      <c r="AB40" s="407"/>
      <c r="AC40" s="407"/>
      <c r="AD40" s="407"/>
    </row>
    <row r="41" spans="1:30" ht="0.75" customHeight="1">
      <c r="B41" s="1104"/>
      <c r="C41" s="1104"/>
      <c r="D41" s="1104"/>
      <c r="E41" s="1104"/>
      <c r="F41" s="1104"/>
      <c r="G41" s="1104"/>
      <c r="H41" s="1104"/>
      <c r="I41" s="1104"/>
      <c r="J41" s="1104"/>
      <c r="N41" s="187"/>
      <c r="O41" s="187"/>
      <c r="P41" s="515"/>
      <c r="Q41" s="515"/>
      <c r="R41" s="515"/>
      <c r="S41" s="515"/>
      <c r="T41" s="515"/>
      <c r="U41" s="515"/>
      <c r="V41" s="515"/>
      <c r="W41" s="515"/>
      <c r="X41" s="515"/>
      <c r="Y41" s="516"/>
      <c r="Z41" s="516"/>
      <c r="AA41" s="407"/>
      <c r="AB41" s="407"/>
      <c r="AC41" s="407"/>
      <c r="AD41" s="407"/>
    </row>
    <row r="42" spans="1:30" ht="15" hidden="1" customHeight="1">
      <c r="B42" s="1104"/>
      <c r="C42" s="1104"/>
      <c r="D42" s="1104"/>
      <c r="E42" s="1104"/>
      <c r="F42" s="1104"/>
      <c r="G42" s="1104"/>
      <c r="H42" s="1104"/>
      <c r="I42" s="1104"/>
      <c r="J42" s="1104"/>
      <c r="N42" s="187"/>
      <c r="O42" s="187"/>
      <c r="P42" s="515"/>
      <c r="Q42" s="515"/>
      <c r="R42" s="515"/>
      <c r="S42" s="515"/>
      <c r="T42" s="515"/>
      <c r="U42" s="515"/>
      <c r="V42" s="515"/>
      <c r="W42" s="515"/>
      <c r="X42" s="515"/>
      <c r="Y42" s="516"/>
      <c r="Z42" s="516"/>
      <c r="AA42" s="407"/>
      <c r="AB42" s="407"/>
      <c r="AC42" s="407"/>
      <c r="AD42" s="407"/>
    </row>
    <row r="43" spans="1:30" ht="15" hidden="1" customHeight="1">
      <c r="B43" s="1104"/>
      <c r="C43" s="1104"/>
      <c r="D43" s="1104"/>
      <c r="E43" s="1104"/>
      <c r="F43" s="1104"/>
      <c r="G43" s="1104"/>
      <c r="H43" s="1104"/>
      <c r="I43" s="1104"/>
      <c r="J43" s="1104"/>
      <c r="N43" s="187"/>
      <c r="O43" s="187"/>
      <c r="P43" s="515"/>
      <c r="Q43" s="515"/>
      <c r="R43" s="515"/>
      <c r="S43" s="515"/>
      <c r="T43" s="515"/>
      <c r="U43" s="515"/>
      <c r="V43" s="515"/>
      <c r="W43" s="515"/>
      <c r="X43" s="515"/>
      <c r="Y43" s="516"/>
      <c r="Z43" s="516"/>
      <c r="AA43" s="407"/>
      <c r="AB43" s="407"/>
      <c r="AC43" s="407"/>
      <c r="AD43" s="407"/>
    </row>
    <row r="44" spans="1:30" ht="15" hidden="1" customHeight="1">
      <c r="B44" s="1104"/>
      <c r="C44" s="1104"/>
      <c r="D44" s="1104"/>
      <c r="E44" s="1104"/>
      <c r="F44" s="1104"/>
      <c r="G44" s="1104"/>
      <c r="H44" s="1104"/>
      <c r="I44" s="1104"/>
      <c r="J44" s="1104"/>
      <c r="N44" s="187"/>
      <c r="O44" s="187"/>
      <c r="P44" s="515"/>
      <c r="Q44" s="515"/>
      <c r="R44" s="515"/>
      <c r="S44" s="515"/>
      <c r="T44" s="515"/>
      <c r="U44" s="515"/>
      <c r="V44" s="515"/>
      <c r="W44" s="515"/>
      <c r="X44" s="515"/>
      <c r="Y44" s="516"/>
      <c r="Z44" s="516"/>
      <c r="AA44" s="407"/>
      <c r="AB44" s="407"/>
      <c r="AC44" s="407"/>
      <c r="AD44" s="407"/>
    </row>
    <row r="45" spans="1:30" ht="3.75" hidden="1" customHeight="1">
      <c r="B45" s="1104"/>
      <c r="C45" s="1104"/>
      <c r="D45" s="1104"/>
      <c r="E45" s="1104"/>
      <c r="F45" s="1104"/>
      <c r="G45" s="1104"/>
      <c r="H45" s="1104"/>
      <c r="I45" s="1104"/>
      <c r="J45" s="1104"/>
      <c r="N45" s="187"/>
      <c r="O45" s="187"/>
      <c r="P45" s="517"/>
      <c r="Q45" s="518"/>
      <c r="R45" s="518"/>
      <c r="S45" s="518"/>
      <c r="T45" s="518"/>
      <c r="U45" s="518"/>
      <c r="V45" s="518"/>
      <c r="W45" s="518"/>
      <c r="X45" s="518"/>
      <c r="Y45" s="407"/>
      <c r="Z45" s="407"/>
      <c r="AA45" s="407"/>
      <c r="AB45" s="407"/>
      <c r="AC45" s="407"/>
      <c r="AD45" s="407"/>
    </row>
    <row r="46" spans="1:30" ht="15" hidden="1" customHeight="1">
      <c r="B46" s="1104"/>
      <c r="C46" s="1104"/>
      <c r="D46" s="1104"/>
      <c r="E46" s="1104"/>
      <c r="F46" s="1104"/>
      <c r="G46" s="1104"/>
      <c r="H46" s="1104"/>
      <c r="I46" s="1104"/>
      <c r="J46" s="1104"/>
      <c r="N46" s="187"/>
      <c r="O46" s="187"/>
      <c r="P46" s="518"/>
      <c r="Q46" s="518"/>
      <c r="R46" s="518"/>
      <c r="S46" s="518"/>
      <c r="T46" s="518"/>
      <c r="U46" s="518"/>
      <c r="V46" s="518"/>
      <c r="W46" s="518"/>
      <c r="X46" s="518"/>
      <c r="Y46" s="407"/>
      <c r="Z46" s="407"/>
      <c r="AA46" s="407"/>
      <c r="AB46" s="407"/>
      <c r="AC46" s="407"/>
      <c r="AD46" s="407"/>
    </row>
    <row r="47" spans="1:30">
      <c r="B47" s="518"/>
      <c r="C47" s="518"/>
      <c r="D47" s="518"/>
      <c r="E47" s="518"/>
      <c r="F47" s="518"/>
      <c r="G47" s="518"/>
      <c r="H47" s="518"/>
      <c r="I47" s="518"/>
      <c r="J47" s="518"/>
      <c r="N47" s="187"/>
      <c r="O47" s="187"/>
      <c r="P47" s="518"/>
      <c r="Q47" s="518"/>
      <c r="R47" s="518"/>
      <c r="S47" s="518"/>
      <c r="T47" s="518"/>
      <c r="U47" s="518"/>
      <c r="V47" s="518"/>
      <c r="W47" s="518"/>
      <c r="X47" s="518"/>
      <c r="Y47" s="407"/>
      <c r="Z47" s="407"/>
      <c r="AA47" s="407"/>
      <c r="AB47" s="407"/>
      <c r="AC47" s="407"/>
      <c r="AD47" s="407"/>
    </row>
    <row r="48" spans="1:30">
      <c r="B48" s="518"/>
      <c r="C48" s="518"/>
      <c r="D48" s="518"/>
      <c r="E48" s="518"/>
      <c r="F48" s="518"/>
      <c r="G48" s="518"/>
      <c r="H48" s="518"/>
      <c r="I48" s="518"/>
      <c r="J48" s="518"/>
      <c r="N48" s="187"/>
      <c r="O48" s="187"/>
      <c r="P48" s="518"/>
      <c r="Q48" s="518"/>
      <c r="R48" s="518"/>
      <c r="S48" s="518"/>
      <c r="T48" s="518"/>
      <c r="U48" s="518"/>
      <c r="V48" s="518"/>
      <c r="W48" s="518"/>
      <c r="X48" s="518"/>
      <c r="Y48" s="407"/>
      <c r="Z48" s="407"/>
      <c r="AA48" s="407"/>
      <c r="AB48" s="407"/>
      <c r="AC48" s="407"/>
      <c r="AD48" s="407"/>
    </row>
    <row r="49" spans="2:30">
      <c r="B49" s="518"/>
      <c r="C49" s="518"/>
      <c r="D49" s="518"/>
      <c r="E49" s="518"/>
      <c r="F49" s="518"/>
      <c r="G49" s="518"/>
      <c r="H49" s="518"/>
      <c r="I49" s="518"/>
      <c r="J49" s="518"/>
      <c r="N49" s="187"/>
      <c r="O49" s="187"/>
      <c r="P49" s="518"/>
      <c r="Q49" s="518"/>
      <c r="R49" s="518"/>
      <c r="S49" s="518"/>
      <c r="T49" s="518"/>
      <c r="U49" s="518"/>
      <c r="V49" s="518"/>
      <c r="W49" s="518"/>
      <c r="X49" s="518"/>
      <c r="Y49" s="407"/>
      <c r="Z49" s="407"/>
      <c r="AA49" s="407"/>
      <c r="AB49" s="407"/>
      <c r="AC49" s="407"/>
      <c r="AD49" s="407"/>
    </row>
    <row r="50" spans="2:30">
      <c r="B50" s="518"/>
      <c r="C50" s="518"/>
      <c r="D50" s="518"/>
      <c r="E50" s="518"/>
      <c r="F50" s="518"/>
      <c r="G50" s="518"/>
      <c r="H50" s="518"/>
      <c r="I50" s="518"/>
      <c r="J50" s="518"/>
      <c r="N50" s="187"/>
      <c r="O50" s="187"/>
      <c r="P50" s="518"/>
      <c r="Q50" s="518"/>
      <c r="R50" s="518"/>
      <c r="S50" s="518"/>
      <c r="T50" s="518"/>
      <c r="U50" s="518"/>
      <c r="V50" s="518"/>
      <c r="W50" s="518"/>
      <c r="X50" s="518"/>
      <c r="Y50" s="407"/>
      <c r="Z50" s="407"/>
      <c r="AA50" s="407"/>
      <c r="AB50" s="407"/>
      <c r="AC50" s="407"/>
      <c r="AD50" s="407"/>
    </row>
    <row r="51" spans="2:30">
      <c r="B51" s="407"/>
      <c r="C51" s="407"/>
      <c r="D51" s="407"/>
      <c r="E51" s="407"/>
      <c r="F51" s="407"/>
      <c r="G51" s="407"/>
      <c r="H51" s="407"/>
      <c r="I51" s="407"/>
      <c r="J51" s="407"/>
      <c r="N51" s="187"/>
      <c r="O51" s="187"/>
      <c r="P51" s="518"/>
      <c r="Q51" s="518"/>
      <c r="R51" s="518"/>
      <c r="S51" s="518"/>
      <c r="T51" s="518"/>
      <c r="U51" s="518"/>
      <c r="V51" s="518"/>
      <c r="W51" s="518"/>
      <c r="X51" s="518"/>
      <c r="Y51" s="407"/>
      <c r="Z51" s="407"/>
      <c r="AA51" s="407"/>
      <c r="AB51" s="407"/>
      <c r="AC51" s="407"/>
      <c r="AD51" s="407"/>
    </row>
    <row r="52" spans="2:30">
      <c r="B52" s="407"/>
      <c r="C52" s="407"/>
      <c r="D52" s="407"/>
      <c r="E52" s="407"/>
      <c r="F52" s="407"/>
      <c r="G52" s="407"/>
      <c r="H52" s="407"/>
      <c r="I52" s="407"/>
      <c r="J52" s="407"/>
      <c r="N52" s="187"/>
      <c r="O52" s="187"/>
      <c r="P52" s="187"/>
      <c r="Q52" s="187"/>
      <c r="R52" s="187"/>
      <c r="S52" s="187"/>
      <c r="T52" s="187"/>
      <c r="U52" s="187"/>
      <c r="V52" s="187"/>
      <c r="W52" s="187"/>
      <c r="X52" s="407"/>
      <c r="Y52" s="407"/>
      <c r="Z52" s="407"/>
      <c r="AA52" s="407"/>
      <c r="AB52" s="407"/>
      <c r="AC52" s="407"/>
      <c r="AD52" s="407"/>
    </row>
    <row r="53" spans="2:30">
      <c r="B53" s="407"/>
      <c r="C53" s="407"/>
      <c r="D53" s="407"/>
      <c r="E53" s="407"/>
      <c r="F53" s="407"/>
      <c r="G53" s="407"/>
      <c r="H53" s="407"/>
      <c r="I53" s="407"/>
      <c r="J53" s="407"/>
      <c r="N53" s="187"/>
      <c r="O53" s="187"/>
      <c r="P53" s="187"/>
      <c r="Q53" s="187"/>
      <c r="R53" s="516"/>
      <c r="S53" s="516"/>
      <c r="T53" s="516"/>
      <c r="U53" s="516"/>
      <c r="V53" s="516"/>
      <c r="W53" s="516"/>
      <c r="X53" s="516"/>
      <c r="Y53" s="516"/>
      <c r="Z53" s="516"/>
      <c r="AA53" s="407"/>
      <c r="AB53" s="407"/>
      <c r="AC53" s="407"/>
      <c r="AD53" s="407"/>
    </row>
    <row r="54" spans="2:30">
      <c r="B54" s="407"/>
      <c r="C54" s="407"/>
      <c r="D54" s="407"/>
      <c r="E54" s="407"/>
      <c r="F54" s="407"/>
      <c r="G54" s="407"/>
      <c r="H54" s="407"/>
      <c r="I54" s="407"/>
      <c r="J54" s="407"/>
      <c r="N54" s="187"/>
      <c r="O54" s="187"/>
      <c r="P54" s="187"/>
      <c r="Q54" s="187"/>
      <c r="R54" s="516"/>
      <c r="S54" s="516"/>
      <c r="T54" s="516"/>
      <c r="U54" s="516"/>
      <c r="V54" s="516"/>
      <c r="W54" s="516"/>
      <c r="X54" s="516"/>
      <c r="Y54" s="516"/>
      <c r="Z54" s="516"/>
      <c r="AA54" s="407"/>
      <c r="AB54" s="407"/>
      <c r="AC54" s="407"/>
      <c r="AD54" s="407"/>
    </row>
    <row r="55" spans="2:30">
      <c r="B55" s="407"/>
      <c r="C55" s="407"/>
      <c r="D55" s="407"/>
      <c r="E55" s="407"/>
      <c r="F55" s="407"/>
      <c r="G55" s="407"/>
      <c r="H55" s="407"/>
      <c r="I55" s="407"/>
      <c r="J55" s="407"/>
      <c r="N55" s="187"/>
      <c r="O55" s="187"/>
      <c r="P55" s="187"/>
      <c r="Q55" s="187"/>
      <c r="R55" s="516"/>
      <c r="S55" s="516"/>
      <c r="T55" s="516"/>
      <c r="U55" s="516"/>
      <c r="V55" s="516"/>
      <c r="W55" s="516"/>
      <c r="X55" s="516"/>
      <c r="Y55" s="516"/>
      <c r="Z55" s="516"/>
      <c r="AA55" s="407"/>
      <c r="AB55" s="407"/>
      <c r="AC55" s="407"/>
      <c r="AD55" s="407"/>
    </row>
    <row r="56" spans="2:30">
      <c r="B56" s="407"/>
      <c r="C56" s="407"/>
      <c r="D56" s="407"/>
      <c r="E56" s="407"/>
      <c r="F56" s="407"/>
      <c r="G56" s="407"/>
      <c r="H56" s="407"/>
      <c r="I56" s="407"/>
      <c r="J56" s="407"/>
      <c r="N56" s="187"/>
      <c r="O56" s="187"/>
      <c r="P56" s="187"/>
      <c r="Q56" s="187"/>
      <c r="R56" s="516"/>
      <c r="S56" s="516"/>
      <c r="T56" s="516"/>
      <c r="U56" s="516"/>
      <c r="V56" s="516"/>
      <c r="W56" s="516"/>
      <c r="X56" s="516"/>
      <c r="Y56" s="516"/>
      <c r="Z56" s="516"/>
      <c r="AA56" s="407"/>
      <c r="AB56" s="407"/>
      <c r="AC56" s="407"/>
      <c r="AD56" s="407"/>
    </row>
    <row r="57" spans="2:30" ht="175.5" customHeight="1">
      <c r="B57" s="407"/>
      <c r="C57" s="407"/>
      <c r="D57" s="407"/>
      <c r="E57" s="407"/>
      <c r="F57" s="407"/>
      <c r="G57" s="407"/>
      <c r="H57" s="407"/>
      <c r="I57" s="407"/>
      <c r="J57" s="407"/>
      <c r="N57" s="187"/>
      <c r="O57" s="187"/>
      <c r="P57" s="187"/>
      <c r="Q57" s="187"/>
      <c r="R57" s="516"/>
      <c r="S57" s="516"/>
      <c r="T57" s="516"/>
      <c r="U57" s="516"/>
      <c r="V57" s="516"/>
      <c r="W57" s="516"/>
      <c r="X57" s="516"/>
      <c r="Y57" s="516"/>
      <c r="Z57" s="516"/>
      <c r="AA57" s="407"/>
      <c r="AB57" s="407"/>
      <c r="AC57" s="407"/>
      <c r="AD57" s="407"/>
    </row>
    <row r="58" spans="2:30">
      <c r="B58" s="407"/>
      <c r="C58" s="407"/>
      <c r="D58" s="407"/>
      <c r="E58" s="407"/>
      <c r="F58" s="407"/>
      <c r="G58" s="407"/>
      <c r="H58" s="407"/>
      <c r="I58" s="407"/>
      <c r="J58" s="407"/>
      <c r="N58" s="187"/>
      <c r="O58" s="187"/>
      <c r="P58" s="187"/>
      <c r="Q58" s="187"/>
      <c r="R58" s="187"/>
      <c r="S58" s="187"/>
      <c r="T58" s="187"/>
      <c r="U58" s="187"/>
      <c r="V58" s="187"/>
      <c r="W58" s="187"/>
      <c r="X58" s="407"/>
      <c r="Y58" s="407"/>
      <c r="Z58" s="407"/>
      <c r="AA58" s="407"/>
      <c r="AB58" s="407"/>
      <c r="AC58" s="407"/>
      <c r="AD58" s="407"/>
    </row>
    <row r="59" spans="2:30">
      <c r="B59" s="407"/>
      <c r="C59" s="407"/>
      <c r="D59" s="407"/>
      <c r="E59" s="407"/>
      <c r="F59" s="407"/>
      <c r="G59" s="407"/>
      <c r="H59" s="407"/>
      <c r="I59" s="407"/>
      <c r="J59" s="407"/>
      <c r="N59" s="187"/>
      <c r="O59" s="187"/>
      <c r="P59" s="187"/>
      <c r="Q59" s="187"/>
      <c r="R59" s="187"/>
      <c r="S59" s="187"/>
      <c r="T59" s="187"/>
      <c r="U59" s="187"/>
      <c r="V59" s="187"/>
      <c r="W59" s="187"/>
      <c r="X59" s="407"/>
      <c r="Y59" s="407"/>
      <c r="Z59" s="407"/>
      <c r="AA59" s="407"/>
      <c r="AB59" s="407"/>
      <c r="AC59" s="407"/>
      <c r="AD59" s="407"/>
    </row>
    <row r="60" spans="2:30">
      <c r="B60" s="407"/>
      <c r="C60" s="407"/>
      <c r="D60" s="407"/>
      <c r="E60" s="407"/>
      <c r="F60" s="407"/>
      <c r="G60" s="407"/>
      <c r="H60" s="407"/>
      <c r="I60" s="407"/>
      <c r="J60" s="407"/>
      <c r="N60" s="187"/>
      <c r="O60" s="187"/>
      <c r="P60" s="187"/>
      <c r="Q60" s="187"/>
      <c r="R60" s="187"/>
      <c r="S60" s="187"/>
      <c r="T60" s="187"/>
      <c r="U60" s="187"/>
      <c r="V60" s="187"/>
      <c r="W60" s="187"/>
      <c r="X60" s="407"/>
      <c r="Y60" s="407"/>
      <c r="Z60" s="407"/>
      <c r="AA60" s="407"/>
      <c r="AB60" s="407"/>
      <c r="AC60" s="407"/>
      <c r="AD60" s="407"/>
    </row>
    <row r="61" spans="2:30">
      <c r="B61" s="407"/>
      <c r="C61" s="407"/>
      <c r="D61" s="407"/>
      <c r="E61" s="407"/>
      <c r="F61" s="407"/>
      <c r="G61" s="407"/>
      <c r="H61" s="407"/>
      <c r="I61" s="407"/>
      <c r="J61" s="407"/>
      <c r="N61" s="187"/>
      <c r="O61" s="187"/>
      <c r="P61" s="187"/>
      <c r="Q61" s="187"/>
      <c r="R61" s="187"/>
      <c r="S61" s="187"/>
      <c r="T61" s="187"/>
      <c r="U61" s="187"/>
      <c r="V61" s="187"/>
      <c r="W61" s="187"/>
      <c r="X61" s="407"/>
      <c r="Y61" s="407"/>
      <c r="Z61" s="407"/>
      <c r="AA61" s="407"/>
      <c r="AB61" s="407"/>
      <c r="AC61" s="407"/>
      <c r="AD61" s="407"/>
    </row>
    <row r="62" spans="2:30">
      <c r="B62" s="407"/>
      <c r="C62" s="407"/>
      <c r="D62" s="407"/>
      <c r="E62" s="407"/>
      <c r="F62" s="407"/>
      <c r="G62" s="407"/>
      <c r="H62" s="407"/>
      <c r="I62" s="407"/>
      <c r="J62" s="407"/>
      <c r="N62" s="187"/>
      <c r="O62" s="187"/>
      <c r="P62" s="187"/>
      <c r="Q62" s="187"/>
      <c r="R62" s="187"/>
      <c r="S62" s="187"/>
      <c r="T62" s="187"/>
      <c r="U62" s="187"/>
      <c r="V62" s="187"/>
      <c r="W62" s="187"/>
      <c r="X62" s="407"/>
      <c r="Y62" s="407"/>
      <c r="Z62" s="407"/>
      <c r="AA62" s="407"/>
      <c r="AB62" s="407"/>
      <c r="AC62" s="407"/>
      <c r="AD62" s="407"/>
    </row>
    <row r="63" spans="2:30">
      <c r="B63" s="407"/>
      <c r="C63" s="407"/>
      <c r="D63" s="407"/>
      <c r="E63" s="407"/>
      <c r="F63" s="407"/>
      <c r="G63" s="407"/>
      <c r="H63" s="407"/>
      <c r="I63" s="407"/>
      <c r="J63" s="407"/>
      <c r="N63" s="187"/>
      <c r="O63" s="187"/>
      <c r="P63" s="187"/>
      <c r="Q63" s="187"/>
      <c r="R63" s="187"/>
      <c r="S63" s="187"/>
      <c r="T63" s="187"/>
      <c r="U63" s="187"/>
      <c r="V63" s="187"/>
      <c r="W63" s="187"/>
      <c r="X63" s="407"/>
      <c r="Y63" s="407"/>
      <c r="Z63" s="407"/>
      <c r="AA63" s="407"/>
      <c r="AB63" s="407"/>
      <c r="AC63" s="407"/>
      <c r="AD63" s="407"/>
    </row>
    <row r="64" spans="2:30">
      <c r="B64" s="407"/>
      <c r="C64" s="407"/>
      <c r="D64" s="407"/>
      <c r="E64" s="407"/>
      <c r="F64" s="407"/>
      <c r="G64" s="407"/>
      <c r="H64" s="407"/>
      <c r="I64" s="407"/>
      <c r="J64" s="407"/>
      <c r="N64" s="187"/>
      <c r="O64" s="187"/>
      <c r="P64" s="187"/>
      <c r="Q64" s="187"/>
      <c r="R64" s="187"/>
      <c r="S64" s="187"/>
      <c r="T64" s="187"/>
      <c r="U64" s="187"/>
      <c r="V64" s="187"/>
      <c r="W64" s="187"/>
      <c r="X64" s="407"/>
      <c r="Y64" s="407"/>
      <c r="Z64" s="407"/>
      <c r="AA64" s="407"/>
      <c r="AB64" s="407"/>
      <c r="AC64" s="407"/>
      <c r="AD64" s="407"/>
    </row>
    <row r="65" spans="2:30">
      <c r="B65" s="407"/>
      <c r="C65" s="407"/>
      <c r="D65" s="407"/>
      <c r="E65" s="407"/>
      <c r="F65" s="407"/>
      <c r="G65" s="407"/>
      <c r="H65" s="407"/>
      <c r="I65" s="407"/>
      <c r="J65" s="407"/>
      <c r="N65" s="187"/>
      <c r="O65" s="187"/>
      <c r="P65" s="187"/>
      <c r="Q65" s="187"/>
      <c r="R65" s="187"/>
      <c r="S65" s="187"/>
      <c r="T65" s="187"/>
      <c r="U65" s="187"/>
      <c r="V65" s="187"/>
      <c r="W65" s="187"/>
      <c r="X65" s="407"/>
      <c r="Y65" s="407"/>
      <c r="Z65" s="407"/>
      <c r="AA65" s="407"/>
      <c r="AB65" s="407"/>
      <c r="AC65" s="407"/>
      <c r="AD65" s="407"/>
    </row>
    <row r="66" spans="2:30">
      <c r="B66" s="407"/>
      <c r="C66" s="407"/>
      <c r="D66" s="407"/>
      <c r="E66" s="407"/>
      <c r="F66" s="407"/>
      <c r="G66" s="407"/>
      <c r="H66" s="407"/>
      <c r="I66" s="407"/>
      <c r="J66" s="407"/>
      <c r="N66" s="187"/>
      <c r="O66" s="187"/>
      <c r="P66" s="187"/>
      <c r="Q66" s="187"/>
      <c r="R66" s="187"/>
      <c r="S66" s="187"/>
      <c r="T66" s="187"/>
      <c r="U66" s="187"/>
      <c r="V66" s="187"/>
      <c r="W66" s="187"/>
      <c r="X66" s="407"/>
      <c r="Y66" s="407"/>
      <c r="Z66" s="407"/>
      <c r="AA66" s="407"/>
      <c r="AB66" s="407"/>
      <c r="AC66" s="407"/>
      <c r="AD66" s="407"/>
    </row>
    <row r="67" spans="2:30">
      <c r="B67" s="407"/>
      <c r="C67" s="407"/>
      <c r="D67" s="407"/>
      <c r="E67" s="407"/>
      <c r="F67" s="407"/>
      <c r="G67" s="407"/>
      <c r="H67" s="407"/>
      <c r="I67" s="407"/>
      <c r="J67" s="407"/>
      <c r="N67" s="187"/>
      <c r="O67" s="187"/>
      <c r="P67" s="187"/>
      <c r="Q67" s="187"/>
      <c r="R67" s="187"/>
      <c r="S67" s="187"/>
      <c r="T67" s="187"/>
      <c r="U67" s="187"/>
      <c r="V67" s="187"/>
      <c r="W67" s="187"/>
      <c r="X67" s="407"/>
      <c r="Y67" s="407"/>
      <c r="Z67" s="407"/>
      <c r="AA67" s="407"/>
      <c r="AB67" s="407"/>
      <c r="AC67" s="407"/>
      <c r="AD67" s="407"/>
    </row>
    <row r="68" spans="2:30">
      <c r="B68" s="407"/>
      <c r="C68" s="407"/>
      <c r="D68" s="407"/>
      <c r="E68" s="407"/>
      <c r="F68" s="407"/>
      <c r="G68" s="407"/>
      <c r="H68" s="407"/>
      <c r="I68" s="407"/>
      <c r="J68" s="407"/>
      <c r="N68" s="187"/>
      <c r="O68" s="187"/>
      <c r="P68" s="187"/>
      <c r="Q68" s="187"/>
      <c r="R68" s="187"/>
      <c r="S68" s="187"/>
      <c r="T68" s="187"/>
      <c r="U68" s="187"/>
      <c r="V68" s="187"/>
      <c r="W68" s="187"/>
      <c r="X68" s="407"/>
      <c r="Y68" s="407"/>
      <c r="Z68" s="407"/>
      <c r="AA68" s="407"/>
      <c r="AB68" s="407"/>
      <c r="AC68" s="407"/>
      <c r="AD68" s="407"/>
    </row>
    <row r="69" spans="2:30">
      <c r="B69" s="407"/>
      <c r="C69" s="407"/>
      <c r="D69" s="407"/>
      <c r="E69" s="407"/>
      <c r="F69" s="407"/>
      <c r="G69" s="407"/>
      <c r="H69" s="407"/>
      <c r="I69" s="407"/>
      <c r="J69" s="407"/>
      <c r="N69" s="187"/>
      <c r="O69" s="187"/>
      <c r="P69" s="187"/>
      <c r="Q69" s="187"/>
      <c r="R69" s="187"/>
      <c r="S69" s="187"/>
      <c r="T69" s="187"/>
      <c r="U69" s="187"/>
      <c r="V69" s="187"/>
      <c r="W69" s="187"/>
      <c r="X69" s="407"/>
      <c r="Y69" s="407"/>
      <c r="Z69" s="407"/>
      <c r="AA69" s="407"/>
      <c r="AB69" s="407"/>
      <c r="AC69" s="407"/>
      <c r="AD69" s="407"/>
    </row>
    <row r="70" spans="2:30">
      <c r="B70" s="407"/>
      <c r="C70" s="407"/>
      <c r="D70" s="407"/>
      <c r="E70" s="407"/>
      <c r="F70" s="407"/>
      <c r="G70" s="407"/>
      <c r="H70" s="407"/>
      <c r="I70" s="407"/>
      <c r="J70" s="407"/>
      <c r="N70" s="187"/>
      <c r="O70" s="187"/>
      <c r="P70" s="187"/>
      <c r="Q70" s="187"/>
      <c r="R70" s="187"/>
      <c r="S70" s="187"/>
      <c r="T70" s="187"/>
      <c r="U70" s="187"/>
      <c r="V70" s="187"/>
      <c r="W70" s="187"/>
      <c r="X70" s="407"/>
      <c r="Y70" s="407"/>
      <c r="Z70" s="407"/>
      <c r="AA70" s="407"/>
      <c r="AB70" s="407"/>
      <c r="AC70" s="407"/>
      <c r="AD70" s="407"/>
    </row>
    <row r="71" spans="2:30">
      <c r="B71" s="407"/>
      <c r="C71" s="407"/>
      <c r="D71" s="407"/>
      <c r="E71" s="407"/>
      <c r="F71" s="407"/>
      <c r="G71" s="407"/>
      <c r="H71" s="407"/>
      <c r="I71" s="407"/>
      <c r="J71" s="407"/>
      <c r="N71" s="187"/>
      <c r="O71" s="187"/>
      <c r="P71" s="187"/>
      <c r="Q71" s="187"/>
      <c r="R71" s="187"/>
      <c r="S71" s="187"/>
      <c r="T71" s="187"/>
      <c r="U71" s="187"/>
      <c r="V71" s="187"/>
      <c r="W71" s="187"/>
      <c r="X71" s="407"/>
      <c r="Y71" s="407"/>
      <c r="Z71" s="407"/>
      <c r="AA71" s="407"/>
      <c r="AB71" s="407"/>
      <c r="AC71" s="407"/>
      <c r="AD71" s="407"/>
    </row>
    <row r="72" spans="2:30">
      <c r="B72" s="407"/>
      <c r="C72" s="407"/>
      <c r="D72" s="407"/>
      <c r="E72" s="407"/>
      <c r="F72" s="407"/>
      <c r="G72" s="407"/>
      <c r="H72" s="407"/>
      <c r="I72" s="407"/>
      <c r="J72" s="407"/>
      <c r="N72" s="187"/>
      <c r="O72" s="187"/>
      <c r="P72" s="187"/>
      <c r="Q72" s="187"/>
      <c r="R72" s="187"/>
      <c r="S72" s="187"/>
      <c r="T72" s="187"/>
      <c r="U72" s="187"/>
      <c r="V72" s="187"/>
      <c r="W72" s="187"/>
      <c r="X72" s="407"/>
      <c r="Y72" s="407"/>
      <c r="Z72" s="407"/>
      <c r="AA72" s="407"/>
      <c r="AB72" s="407"/>
      <c r="AC72" s="407"/>
      <c r="AD72" s="407"/>
    </row>
    <row r="73" spans="2:30">
      <c r="B73" s="407"/>
      <c r="C73" s="407"/>
      <c r="D73" s="407"/>
      <c r="E73" s="407"/>
      <c r="F73" s="407"/>
      <c r="G73" s="407"/>
      <c r="H73" s="407"/>
      <c r="I73" s="407"/>
      <c r="J73" s="407"/>
      <c r="N73" s="187"/>
      <c r="O73" s="187"/>
      <c r="P73" s="187"/>
      <c r="Q73" s="187"/>
      <c r="R73" s="187"/>
      <c r="S73" s="187"/>
      <c r="T73" s="187"/>
      <c r="U73" s="187"/>
      <c r="V73" s="187"/>
      <c r="W73" s="187"/>
      <c r="X73" s="407"/>
      <c r="Y73" s="407"/>
      <c r="Z73" s="407"/>
      <c r="AA73" s="407"/>
      <c r="AB73" s="407"/>
      <c r="AC73" s="407"/>
      <c r="AD73" s="407"/>
    </row>
    <row r="74" spans="2:30">
      <c r="B74" s="407"/>
      <c r="C74" s="407"/>
      <c r="D74" s="407"/>
      <c r="E74" s="407"/>
      <c r="F74" s="407"/>
      <c r="G74" s="407"/>
      <c r="H74" s="407"/>
      <c r="I74" s="407"/>
      <c r="J74" s="407"/>
      <c r="N74" s="187"/>
      <c r="O74" s="187"/>
      <c r="P74" s="187"/>
      <c r="Q74" s="187"/>
      <c r="R74" s="187"/>
      <c r="S74" s="187"/>
      <c r="T74" s="187"/>
      <c r="U74" s="187"/>
      <c r="V74" s="187"/>
      <c r="W74" s="187"/>
      <c r="X74" s="407"/>
      <c r="Y74" s="407"/>
      <c r="Z74" s="407"/>
      <c r="AA74" s="407"/>
      <c r="AB74" s="407"/>
      <c r="AC74" s="407"/>
      <c r="AD74" s="407"/>
    </row>
    <row r="75" spans="2:30">
      <c r="B75" s="407"/>
      <c r="C75" s="407"/>
      <c r="D75" s="407"/>
      <c r="E75" s="407"/>
      <c r="F75" s="407"/>
      <c r="G75" s="407"/>
      <c r="H75" s="407"/>
      <c r="I75" s="407"/>
      <c r="J75" s="407"/>
      <c r="N75" s="187"/>
      <c r="O75" s="187"/>
      <c r="P75" s="187"/>
      <c r="Q75" s="187"/>
      <c r="R75" s="187"/>
      <c r="S75" s="187"/>
      <c r="T75" s="187"/>
      <c r="U75" s="187"/>
      <c r="V75" s="187"/>
      <c r="W75" s="187"/>
      <c r="X75" s="407"/>
      <c r="Y75" s="407"/>
      <c r="Z75" s="407"/>
      <c r="AA75" s="407"/>
      <c r="AB75" s="407"/>
      <c r="AC75" s="407"/>
      <c r="AD75" s="407"/>
    </row>
    <row r="76" spans="2:30">
      <c r="B76" s="407"/>
      <c r="C76" s="407"/>
      <c r="D76" s="407"/>
      <c r="E76" s="407"/>
      <c r="F76" s="407"/>
      <c r="G76" s="407"/>
      <c r="H76" s="407"/>
      <c r="I76" s="407"/>
      <c r="J76" s="407"/>
      <c r="N76" s="187"/>
      <c r="O76" s="187"/>
      <c r="P76" s="187"/>
      <c r="Q76" s="187"/>
      <c r="R76" s="187"/>
      <c r="S76" s="187"/>
      <c r="T76" s="187"/>
      <c r="U76" s="187"/>
      <c r="V76" s="187"/>
      <c r="W76" s="187"/>
      <c r="X76" s="407"/>
      <c r="Y76" s="407"/>
      <c r="Z76" s="407"/>
      <c r="AA76" s="407"/>
      <c r="AB76" s="407"/>
      <c r="AC76" s="407"/>
      <c r="AD76" s="407"/>
    </row>
    <row r="77" spans="2:30">
      <c r="B77" s="407"/>
      <c r="C77" s="407"/>
      <c r="D77" s="407"/>
      <c r="E77" s="407"/>
      <c r="F77" s="407"/>
      <c r="G77" s="407"/>
      <c r="H77" s="407"/>
      <c r="I77" s="407"/>
      <c r="J77" s="407"/>
      <c r="N77" s="187"/>
      <c r="O77" s="187"/>
      <c r="P77" s="187"/>
      <c r="Q77" s="187"/>
      <c r="R77" s="187"/>
      <c r="S77" s="187"/>
      <c r="T77" s="187"/>
      <c r="U77" s="187"/>
      <c r="V77" s="187"/>
      <c r="W77" s="187"/>
      <c r="X77" s="407"/>
      <c r="Y77" s="407"/>
      <c r="Z77" s="407"/>
      <c r="AA77" s="407"/>
      <c r="AB77" s="407"/>
      <c r="AC77" s="407"/>
      <c r="AD77" s="407"/>
    </row>
    <row r="78" spans="2:30">
      <c r="B78" s="407"/>
      <c r="C78" s="407"/>
      <c r="D78" s="407"/>
      <c r="E78" s="407"/>
      <c r="F78" s="407"/>
      <c r="G78" s="407"/>
      <c r="H78" s="407"/>
      <c r="I78" s="407"/>
      <c r="J78" s="407"/>
      <c r="N78" s="187"/>
      <c r="O78" s="187"/>
      <c r="P78" s="187"/>
      <c r="Q78" s="187"/>
      <c r="R78" s="187"/>
      <c r="S78" s="187"/>
      <c r="T78" s="187"/>
      <c r="U78" s="187"/>
      <c r="V78" s="187"/>
      <c r="W78" s="187"/>
      <c r="X78" s="407"/>
      <c r="Y78" s="407"/>
      <c r="Z78" s="407"/>
      <c r="AA78" s="407"/>
      <c r="AB78" s="407"/>
      <c r="AC78" s="407"/>
      <c r="AD78" s="407"/>
    </row>
    <row r="79" spans="2:30">
      <c r="B79" s="407"/>
      <c r="C79" s="407"/>
      <c r="D79" s="407"/>
      <c r="E79" s="407"/>
      <c r="F79" s="407"/>
      <c r="G79" s="407"/>
      <c r="H79" s="407"/>
      <c r="I79" s="407"/>
      <c r="J79" s="407"/>
      <c r="N79" s="187"/>
      <c r="O79" s="187"/>
      <c r="P79" s="187"/>
      <c r="Q79" s="187"/>
      <c r="R79" s="187"/>
      <c r="S79" s="187"/>
      <c r="T79" s="187"/>
      <c r="U79" s="187"/>
      <c r="V79" s="187"/>
      <c r="W79" s="187"/>
      <c r="X79" s="407"/>
      <c r="Y79" s="407"/>
      <c r="Z79" s="407"/>
      <c r="AA79" s="407"/>
      <c r="AB79" s="407"/>
      <c r="AC79" s="407"/>
      <c r="AD79" s="407"/>
    </row>
    <row r="80" spans="2:30">
      <c r="B80" s="407"/>
      <c r="C80" s="407"/>
      <c r="D80" s="407"/>
      <c r="E80" s="407"/>
      <c r="F80" s="407"/>
      <c r="G80" s="407"/>
      <c r="H80" s="407"/>
      <c r="I80" s="407"/>
      <c r="J80" s="407"/>
      <c r="N80" s="187"/>
      <c r="O80" s="187"/>
      <c r="P80" s="187"/>
      <c r="Q80" s="187"/>
      <c r="R80" s="187"/>
      <c r="S80" s="187"/>
      <c r="T80" s="187"/>
      <c r="U80" s="187"/>
      <c r="V80" s="187"/>
      <c r="W80" s="187"/>
      <c r="X80" s="407"/>
      <c r="Y80" s="407"/>
      <c r="Z80" s="407"/>
      <c r="AA80" s="407"/>
      <c r="AB80" s="407"/>
      <c r="AC80" s="407"/>
      <c r="AD80" s="407"/>
    </row>
    <row r="81" spans="2:30">
      <c r="B81" s="407"/>
      <c r="C81" s="407"/>
      <c r="D81" s="407"/>
      <c r="E81" s="407"/>
      <c r="F81" s="407"/>
      <c r="G81" s="407"/>
      <c r="H81" s="407"/>
      <c r="I81" s="407"/>
      <c r="J81" s="407"/>
      <c r="N81" s="187"/>
      <c r="O81" s="187"/>
      <c r="P81" s="187"/>
      <c r="Q81" s="187"/>
      <c r="R81" s="187"/>
      <c r="S81" s="187"/>
      <c r="T81" s="187"/>
      <c r="U81" s="187"/>
      <c r="V81" s="187"/>
      <c r="W81" s="187"/>
      <c r="X81" s="407"/>
      <c r="Y81" s="407"/>
      <c r="Z81" s="407"/>
      <c r="AA81" s="407"/>
      <c r="AB81" s="407"/>
      <c r="AC81" s="407"/>
      <c r="AD81" s="407"/>
    </row>
    <row r="82" spans="2:30">
      <c r="B82" s="407"/>
      <c r="C82" s="407"/>
      <c r="D82" s="407"/>
      <c r="E82" s="407"/>
      <c r="F82" s="407"/>
      <c r="G82" s="407"/>
      <c r="H82" s="407"/>
      <c r="I82" s="407"/>
      <c r="J82" s="407"/>
      <c r="N82" s="187"/>
      <c r="O82" s="187"/>
      <c r="P82" s="187"/>
      <c r="Q82" s="187"/>
      <c r="R82" s="187"/>
      <c r="S82" s="187"/>
      <c r="T82" s="187"/>
      <c r="U82" s="187"/>
      <c r="V82" s="187"/>
      <c r="W82" s="187"/>
      <c r="X82" s="407"/>
      <c r="Y82" s="407"/>
      <c r="Z82" s="407"/>
      <c r="AA82" s="407"/>
      <c r="AB82" s="407"/>
      <c r="AC82" s="407"/>
      <c r="AD82" s="407"/>
    </row>
    <row r="83" spans="2:30">
      <c r="B83" s="407"/>
      <c r="C83" s="407"/>
      <c r="D83" s="407"/>
      <c r="E83" s="407"/>
      <c r="F83" s="407"/>
      <c r="G83" s="407"/>
      <c r="H83" s="407"/>
      <c r="I83" s="407"/>
      <c r="J83" s="407"/>
      <c r="N83" s="187"/>
      <c r="O83" s="187"/>
      <c r="P83" s="187"/>
      <c r="Q83" s="187"/>
      <c r="R83" s="187"/>
      <c r="S83" s="187"/>
      <c r="T83" s="187"/>
      <c r="U83" s="187"/>
      <c r="V83" s="187"/>
      <c r="W83" s="187"/>
      <c r="X83" s="407"/>
      <c r="Y83" s="407"/>
      <c r="Z83" s="407"/>
      <c r="AA83" s="407"/>
      <c r="AB83" s="407"/>
      <c r="AC83" s="407"/>
      <c r="AD83" s="407"/>
    </row>
    <row r="84" spans="2:30">
      <c r="B84" s="407"/>
      <c r="C84" s="407"/>
      <c r="D84" s="407"/>
      <c r="E84" s="407"/>
      <c r="F84" s="407"/>
      <c r="G84" s="407"/>
      <c r="H84" s="407"/>
      <c r="I84" s="407"/>
      <c r="J84" s="407"/>
      <c r="N84" s="187"/>
      <c r="O84" s="187"/>
      <c r="P84" s="187"/>
      <c r="Q84" s="187"/>
      <c r="R84" s="187"/>
      <c r="S84" s="187"/>
      <c r="T84" s="187"/>
      <c r="U84" s="187"/>
      <c r="V84" s="187"/>
      <c r="W84" s="187"/>
      <c r="X84" s="407"/>
      <c r="Y84" s="407"/>
      <c r="Z84" s="407"/>
      <c r="AA84" s="407"/>
      <c r="AB84" s="407"/>
      <c r="AC84" s="407"/>
      <c r="AD84" s="407"/>
    </row>
    <row r="85" spans="2:30">
      <c r="B85" s="407"/>
      <c r="C85" s="407"/>
      <c r="D85" s="407"/>
      <c r="E85" s="407"/>
      <c r="F85" s="407"/>
      <c r="G85" s="407"/>
      <c r="H85" s="407"/>
      <c r="I85" s="407"/>
      <c r="J85" s="407"/>
      <c r="N85" s="187"/>
      <c r="O85" s="187"/>
      <c r="P85" s="187"/>
      <c r="Q85" s="187"/>
      <c r="R85" s="187"/>
      <c r="S85" s="187"/>
      <c r="T85" s="187"/>
      <c r="U85" s="187"/>
      <c r="V85" s="187"/>
      <c r="W85" s="187"/>
      <c r="X85" s="407"/>
      <c r="Y85" s="407"/>
      <c r="Z85" s="407"/>
      <c r="AA85" s="407"/>
      <c r="AB85" s="407"/>
      <c r="AC85" s="407"/>
      <c r="AD85" s="407"/>
    </row>
    <row r="86" spans="2:30">
      <c r="B86" s="407"/>
      <c r="C86" s="407"/>
      <c r="D86" s="407"/>
      <c r="E86" s="407"/>
      <c r="F86" s="407"/>
      <c r="G86" s="407"/>
      <c r="H86" s="407"/>
      <c r="I86" s="407"/>
      <c r="J86" s="407"/>
      <c r="N86" s="187"/>
      <c r="O86" s="187"/>
      <c r="P86" s="187"/>
      <c r="Q86" s="187"/>
      <c r="R86" s="187"/>
      <c r="S86" s="187"/>
      <c r="T86" s="187"/>
      <c r="U86" s="187"/>
      <c r="V86" s="187"/>
      <c r="W86" s="187"/>
      <c r="X86" s="407"/>
      <c r="Y86" s="407"/>
      <c r="Z86" s="407"/>
      <c r="AA86" s="407"/>
      <c r="AB86" s="407"/>
      <c r="AC86" s="407"/>
      <c r="AD86" s="407"/>
    </row>
    <row r="87" spans="2:30">
      <c r="B87" s="407"/>
      <c r="C87" s="407"/>
      <c r="D87" s="407"/>
      <c r="E87" s="407"/>
      <c r="F87" s="407"/>
      <c r="G87" s="407"/>
      <c r="H87" s="407"/>
      <c r="I87" s="407"/>
      <c r="J87" s="407"/>
      <c r="N87" s="187"/>
      <c r="O87" s="187"/>
      <c r="P87" s="187"/>
      <c r="Q87" s="187"/>
      <c r="R87" s="187"/>
      <c r="S87" s="187"/>
      <c r="T87" s="187"/>
      <c r="U87" s="187"/>
      <c r="V87" s="187"/>
      <c r="W87" s="187"/>
      <c r="X87" s="407"/>
      <c r="Y87" s="407"/>
      <c r="Z87" s="407"/>
      <c r="AA87" s="407"/>
      <c r="AB87" s="407"/>
      <c r="AC87" s="407"/>
      <c r="AD87" s="407"/>
    </row>
    <row r="88" spans="2:30">
      <c r="B88" s="407"/>
      <c r="C88" s="407"/>
      <c r="D88" s="407"/>
      <c r="E88" s="407"/>
      <c r="F88" s="407"/>
      <c r="G88" s="407"/>
      <c r="H88" s="407"/>
      <c r="I88" s="407"/>
      <c r="J88" s="407"/>
      <c r="N88" s="187"/>
      <c r="O88" s="187"/>
      <c r="P88" s="187"/>
      <c r="Q88" s="187"/>
      <c r="R88" s="187"/>
      <c r="S88" s="187"/>
      <c r="T88" s="187"/>
      <c r="U88" s="187"/>
      <c r="V88" s="187"/>
      <c r="W88" s="187"/>
      <c r="X88" s="407"/>
      <c r="Y88" s="407"/>
      <c r="Z88" s="407"/>
      <c r="AA88" s="407"/>
      <c r="AB88" s="407"/>
      <c r="AC88" s="407"/>
      <c r="AD88" s="407"/>
    </row>
    <row r="89" spans="2:30">
      <c r="B89" s="407"/>
      <c r="C89" s="407"/>
      <c r="D89" s="407"/>
      <c r="E89" s="407"/>
      <c r="F89" s="407"/>
      <c r="G89" s="407"/>
      <c r="H89" s="407"/>
      <c r="I89" s="407"/>
      <c r="J89" s="407"/>
      <c r="N89" s="187"/>
      <c r="O89" s="187"/>
      <c r="P89" s="187"/>
      <c r="Q89" s="187"/>
      <c r="R89" s="187"/>
      <c r="S89" s="187"/>
      <c r="T89" s="187"/>
      <c r="U89" s="187"/>
      <c r="V89" s="187"/>
      <c r="W89" s="187"/>
      <c r="X89" s="407"/>
      <c r="Y89" s="407"/>
      <c r="Z89" s="407"/>
      <c r="AA89" s="407"/>
      <c r="AB89" s="407"/>
      <c r="AC89" s="407"/>
      <c r="AD89" s="407"/>
    </row>
    <row r="90" spans="2:30">
      <c r="B90" s="407"/>
      <c r="C90" s="407"/>
      <c r="D90" s="407"/>
      <c r="E90" s="407"/>
      <c r="F90" s="407"/>
      <c r="G90" s="407"/>
      <c r="H90" s="407"/>
      <c r="I90" s="407"/>
      <c r="J90" s="407"/>
      <c r="N90" s="187"/>
      <c r="O90" s="187"/>
      <c r="P90" s="187"/>
      <c r="Q90" s="187"/>
      <c r="R90" s="187"/>
      <c r="S90" s="187"/>
      <c r="T90" s="187"/>
      <c r="U90" s="187"/>
      <c r="V90" s="187"/>
      <c r="W90" s="187"/>
      <c r="X90" s="407"/>
      <c r="Y90" s="407"/>
      <c r="Z90" s="407"/>
      <c r="AA90" s="407"/>
      <c r="AB90" s="407"/>
      <c r="AC90" s="407"/>
      <c r="AD90" s="407"/>
    </row>
    <row r="91" spans="2:30">
      <c r="B91" s="407"/>
      <c r="C91" s="407"/>
      <c r="D91" s="407"/>
      <c r="E91" s="407"/>
      <c r="F91" s="407"/>
      <c r="G91" s="407"/>
      <c r="H91" s="407"/>
      <c r="I91" s="407"/>
      <c r="J91" s="407"/>
      <c r="N91" s="187"/>
      <c r="O91" s="187"/>
      <c r="P91" s="187"/>
      <c r="Q91" s="187"/>
      <c r="R91" s="187"/>
      <c r="S91" s="187"/>
      <c r="T91" s="187"/>
      <c r="U91" s="187"/>
      <c r="V91" s="187"/>
      <c r="W91" s="187"/>
      <c r="X91" s="407"/>
      <c r="Y91" s="407"/>
      <c r="Z91" s="407"/>
      <c r="AA91" s="407"/>
      <c r="AB91" s="407"/>
      <c r="AC91" s="407"/>
      <c r="AD91" s="407"/>
    </row>
    <row r="92" spans="2:30">
      <c r="B92" s="407"/>
      <c r="C92" s="407"/>
      <c r="D92" s="407"/>
      <c r="E92" s="407"/>
      <c r="F92" s="407"/>
      <c r="G92" s="407"/>
      <c r="H92" s="407"/>
      <c r="I92" s="407"/>
      <c r="J92" s="407"/>
      <c r="N92" s="187"/>
      <c r="O92" s="187"/>
      <c r="P92" s="187"/>
      <c r="Q92" s="187"/>
      <c r="R92" s="187"/>
      <c r="S92" s="187"/>
      <c r="T92" s="187"/>
      <c r="U92" s="187"/>
      <c r="V92" s="187"/>
      <c r="W92" s="187"/>
      <c r="X92" s="407"/>
      <c r="Y92" s="407"/>
      <c r="Z92" s="407"/>
      <c r="AA92" s="407"/>
      <c r="AB92" s="407"/>
      <c r="AC92" s="407"/>
      <c r="AD92" s="407"/>
    </row>
    <row r="93" spans="2:30">
      <c r="B93" s="407"/>
      <c r="C93" s="407"/>
      <c r="D93" s="407"/>
      <c r="E93" s="407"/>
      <c r="F93" s="407"/>
      <c r="G93" s="407"/>
      <c r="H93" s="407"/>
      <c r="I93" s="407"/>
      <c r="J93" s="407"/>
      <c r="N93" s="187"/>
      <c r="O93" s="187"/>
      <c r="P93" s="187"/>
      <c r="Q93" s="187"/>
      <c r="R93" s="187"/>
      <c r="S93" s="187"/>
      <c r="T93" s="187"/>
      <c r="U93" s="187"/>
      <c r="V93" s="187"/>
      <c r="W93" s="187"/>
      <c r="X93" s="407"/>
      <c r="Y93" s="407"/>
      <c r="Z93" s="407"/>
      <c r="AA93" s="407"/>
      <c r="AB93" s="407"/>
      <c r="AC93" s="407"/>
      <c r="AD93" s="407"/>
    </row>
    <row r="94" spans="2:30">
      <c r="B94" s="407"/>
      <c r="C94" s="407"/>
      <c r="D94" s="407"/>
      <c r="E94" s="407"/>
      <c r="F94" s="407"/>
      <c r="G94" s="407"/>
      <c r="H94" s="407"/>
      <c r="I94" s="407"/>
      <c r="J94" s="407"/>
      <c r="N94" s="187"/>
      <c r="O94" s="187"/>
      <c r="P94" s="187"/>
      <c r="Q94" s="187"/>
      <c r="R94" s="187"/>
      <c r="S94" s="187"/>
      <c r="T94" s="187"/>
      <c r="U94" s="187"/>
      <c r="V94" s="187"/>
      <c r="W94" s="187"/>
      <c r="X94" s="407"/>
      <c r="Y94" s="407"/>
      <c r="Z94" s="407"/>
      <c r="AA94" s="407"/>
      <c r="AB94" s="407"/>
      <c r="AC94" s="407"/>
      <c r="AD94" s="407"/>
    </row>
    <row r="95" spans="2:30">
      <c r="B95" s="407"/>
      <c r="C95" s="407"/>
      <c r="D95" s="407"/>
      <c r="E95" s="407"/>
      <c r="F95" s="407"/>
      <c r="G95" s="407"/>
      <c r="H95" s="407"/>
      <c r="I95" s="407"/>
      <c r="J95" s="407"/>
      <c r="N95" s="187"/>
      <c r="O95" s="187"/>
      <c r="P95" s="187"/>
      <c r="Q95" s="187"/>
      <c r="R95" s="187"/>
      <c r="S95" s="187"/>
      <c r="T95" s="187"/>
      <c r="U95" s="187"/>
      <c r="V95" s="187"/>
      <c r="W95" s="187"/>
      <c r="X95" s="407"/>
      <c r="Y95" s="407"/>
      <c r="Z95" s="407"/>
      <c r="AA95" s="407"/>
      <c r="AB95" s="407"/>
      <c r="AC95" s="407"/>
      <c r="AD95" s="407"/>
    </row>
    <row r="96" spans="2:30">
      <c r="B96" s="407"/>
      <c r="C96" s="407"/>
      <c r="D96" s="407"/>
      <c r="E96" s="407"/>
      <c r="F96" s="407"/>
      <c r="G96" s="407"/>
      <c r="H96" s="407"/>
      <c r="I96" s="407"/>
      <c r="J96" s="407"/>
      <c r="N96" s="187"/>
      <c r="O96" s="187"/>
      <c r="P96" s="187"/>
      <c r="Q96" s="187"/>
      <c r="R96" s="187"/>
      <c r="S96" s="187"/>
      <c r="T96" s="187"/>
      <c r="U96" s="187"/>
      <c r="V96" s="187"/>
      <c r="W96" s="187"/>
      <c r="X96" s="407"/>
      <c r="Y96" s="407"/>
      <c r="Z96" s="407"/>
      <c r="AA96" s="407"/>
      <c r="AB96" s="407"/>
      <c r="AC96" s="407"/>
      <c r="AD96" s="407"/>
    </row>
    <row r="97" spans="2:30">
      <c r="B97" s="407"/>
      <c r="C97" s="407"/>
      <c r="D97" s="407"/>
      <c r="E97" s="407"/>
      <c r="F97" s="407"/>
      <c r="G97" s="407"/>
      <c r="H97" s="407"/>
      <c r="I97" s="407"/>
      <c r="J97" s="407"/>
      <c r="N97" s="187"/>
      <c r="O97" s="187"/>
      <c r="P97" s="187"/>
      <c r="Q97" s="187"/>
      <c r="R97" s="187"/>
      <c r="S97" s="187"/>
      <c r="T97" s="187"/>
      <c r="U97" s="187"/>
      <c r="V97" s="187"/>
      <c r="W97" s="187"/>
      <c r="X97" s="407"/>
      <c r="Y97" s="407"/>
      <c r="Z97" s="407"/>
      <c r="AA97" s="407"/>
      <c r="AB97" s="407"/>
      <c r="AC97" s="407"/>
      <c r="AD97" s="407"/>
    </row>
    <row r="98" spans="2:30">
      <c r="B98" s="407"/>
      <c r="C98" s="407"/>
      <c r="D98" s="407"/>
      <c r="E98" s="407"/>
      <c r="F98" s="407"/>
      <c r="G98" s="407"/>
      <c r="H98" s="407"/>
      <c r="I98" s="407"/>
      <c r="J98" s="407"/>
      <c r="N98" s="187"/>
      <c r="O98" s="187"/>
      <c r="P98" s="187"/>
      <c r="Q98" s="187"/>
      <c r="R98" s="187"/>
      <c r="S98" s="187"/>
      <c r="T98" s="187"/>
      <c r="U98" s="187"/>
      <c r="V98" s="187"/>
      <c r="W98" s="187"/>
      <c r="X98" s="407"/>
      <c r="Y98" s="407"/>
      <c r="Z98" s="407"/>
      <c r="AA98" s="407"/>
      <c r="AB98" s="407"/>
      <c r="AC98" s="407"/>
      <c r="AD98" s="407"/>
    </row>
    <row r="99" spans="2:30">
      <c r="B99" s="407"/>
      <c r="C99" s="407"/>
      <c r="D99" s="407"/>
      <c r="E99" s="407"/>
      <c r="F99" s="407"/>
      <c r="G99" s="407"/>
      <c r="H99" s="407"/>
      <c r="I99" s="407"/>
      <c r="J99" s="407"/>
      <c r="N99" s="187"/>
      <c r="O99" s="187"/>
      <c r="P99" s="187"/>
      <c r="Q99" s="187"/>
      <c r="R99" s="187"/>
      <c r="S99" s="187"/>
      <c r="T99" s="187"/>
      <c r="U99" s="187"/>
      <c r="V99" s="187"/>
      <c r="W99" s="187"/>
      <c r="X99" s="407"/>
      <c r="Y99" s="407"/>
      <c r="Z99" s="407"/>
      <c r="AA99" s="407"/>
      <c r="AB99" s="407"/>
      <c r="AC99" s="407"/>
      <c r="AD99" s="407"/>
    </row>
    <row r="100" spans="2:30">
      <c r="B100" s="407"/>
      <c r="C100" s="407"/>
      <c r="D100" s="407"/>
      <c r="E100" s="407"/>
      <c r="F100" s="407"/>
      <c r="G100" s="407"/>
      <c r="H100" s="407"/>
      <c r="I100" s="407"/>
      <c r="J100" s="407"/>
      <c r="N100" s="187"/>
      <c r="O100" s="187"/>
      <c r="P100" s="187"/>
      <c r="Q100" s="187"/>
      <c r="R100" s="187"/>
      <c r="S100" s="187"/>
      <c r="T100" s="187"/>
      <c r="U100" s="187"/>
      <c r="V100" s="187"/>
      <c r="W100" s="187"/>
      <c r="X100" s="407"/>
      <c r="Y100" s="407"/>
      <c r="Z100" s="407"/>
      <c r="AA100" s="407"/>
      <c r="AB100" s="407"/>
      <c r="AC100" s="407"/>
      <c r="AD100" s="407"/>
    </row>
    <row r="101" spans="2:30">
      <c r="B101" s="407"/>
      <c r="C101" s="407"/>
      <c r="D101" s="407"/>
      <c r="E101" s="407"/>
      <c r="F101" s="407"/>
      <c r="G101" s="407"/>
      <c r="H101" s="407"/>
      <c r="I101" s="407"/>
      <c r="J101" s="407"/>
      <c r="N101" s="187"/>
      <c r="O101" s="187"/>
      <c r="P101" s="187"/>
      <c r="Q101" s="187"/>
      <c r="R101" s="187"/>
      <c r="S101" s="187"/>
      <c r="T101" s="187"/>
      <c r="U101" s="187"/>
      <c r="V101" s="187"/>
      <c r="W101" s="187"/>
      <c r="X101" s="407"/>
      <c r="Y101" s="407"/>
      <c r="Z101" s="407"/>
      <c r="AA101" s="407"/>
      <c r="AB101" s="407"/>
      <c r="AC101" s="407"/>
      <c r="AD101" s="407"/>
    </row>
    <row r="102" spans="2:30">
      <c r="B102" s="407"/>
      <c r="C102" s="407"/>
      <c r="D102" s="407"/>
      <c r="E102" s="407"/>
      <c r="F102" s="407"/>
      <c r="G102" s="407"/>
      <c r="H102" s="407"/>
      <c r="I102" s="407"/>
      <c r="J102" s="407"/>
      <c r="N102" s="187"/>
      <c r="O102" s="187"/>
      <c r="P102" s="187"/>
      <c r="Q102" s="187"/>
      <c r="R102" s="187"/>
      <c r="S102" s="187"/>
      <c r="T102" s="187"/>
      <c r="U102" s="187"/>
      <c r="V102" s="187"/>
      <c r="W102" s="187"/>
      <c r="X102" s="407"/>
      <c r="Y102" s="407"/>
      <c r="Z102" s="407"/>
      <c r="AA102" s="407"/>
      <c r="AB102" s="407"/>
      <c r="AC102" s="407"/>
      <c r="AD102" s="407"/>
    </row>
    <row r="103" spans="2:30">
      <c r="B103" s="407"/>
      <c r="C103" s="407"/>
      <c r="D103" s="407"/>
      <c r="E103" s="407"/>
      <c r="F103" s="407"/>
      <c r="G103" s="407"/>
      <c r="H103" s="407"/>
      <c r="I103" s="407"/>
      <c r="J103" s="407"/>
      <c r="N103" s="187"/>
      <c r="O103" s="187"/>
      <c r="P103" s="187"/>
      <c r="Q103" s="187"/>
      <c r="R103" s="187"/>
      <c r="S103" s="187"/>
      <c r="T103" s="187"/>
      <c r="U103" s="187"/>
      <c r="V103" s="187"/>
      <c r="W103" s="187"/>
      <c r="X103" s="407"/>
      <c r="Y103" s="407"/>
      <c r="Z103" s="407"/>
      <c r="AA103" s="407"/>
      <c r="AB103" s="407"/>
      <c r="AC103" s="407"/>
      <c r="AD103" s="407"/>
    </row>
    <row r="104" spans="2:30">
      <c r="B104" s="407"/>
      <c r="C104" s="407"/>
      <c r="D104" s="407"/>
      <c r="E104" s="407"/>
      <c r="F104" s="407"/>
      <c r="G104" s="407"/>
      <c r="H104" s="407"/>
      <c r="I104" s="407"/>
      <c r="J104" s="407"/>
      <c r="N104" s="187"/>
      <c r="O104" s="187"/>
      <c r="P104" s="187"/>
      <c r="Q104" s="187"/>
      <c r="R104" s="187"/>
      <c r="S104" s="187"/>
      <c r="T104" s="187"/>
      <c r="U104" s="187"/>
      <c r="V104" s="187"/>
      <c r="W104" s="187"/>
      <c r="X104" s="407"/>
      <c r="Y104" s="407"/>
      <c r="Z104" s="407"/>
      <c r="AA104" s="407"/>
      <c r="AB104" s="407"/>
      <c r="AC104" s="407"/>
      <c r="AD104" s="407"/>
    </row>
    <row r="105" spans="2:30">
      <c r="B105" s="407"/>
      <c r="C105" s="407"/>
      <c r="D105" s="407"/>
      <c r="E105" s="407"/>
      <c r="F105" s="407"/>
      <c r="G105" s="407"/>
      <c r="H105" s="407"/>
      <c r="I105" s="407"/>
      <c r="J105" s="407"/>
      <c r="N105" s="187"/>
      <c r="O105" s="187"/>
      <c r="P105" s="187"/>
      <c r="Q105" s="187"/>
      <c r="R105" s="187"/>
      <c r="S105" s="187"/>
      <c r="T105" s="187"/>
      <c r="U105" s="187"/>
      <c r="V105" s="187"/>
      <c r="W105" s="187"/>
      <c r="X105" s="407"/>
      <c r="Y105" s="407"/>
      <c r="Z105" s="407"/>
      <c r="AA105" s="407"/>
      <c r="AB105" s="407"/>
      <c r="AC105" s="407"/>
      <c r="AD105" s="407"/>
    </row>
    <row r="106" spans="2:30">
      <c r="B106" s="407"/>
      <c r="C106" s="407"/>
      <c r="D106" s="407"/>
      <c r="E106" s="407"/>
      <c r="F106" s="407"/>
      <c r="G106" s="407"/>
      <c r="H106" s="407"/>
      <c r="I106" s="407"/>
      <c r="J106" s="407"/>
      <c r="N106" s="187"/>
      <c r="O106" s="187"/>
      <c r="P106" s="187"/>
      <c r="Q106" s="187"/>
      <c r="R106" s="187"/>
      <c r="S106" s="187"/>
      <c r="T106" s="187"/>
      <c r="U106" s="187"/>
      <c r="V106" s="187"/>
      <c r="W106" s="187"/>
      <c r="X106" s="407"/>
      <c r="Y106" s="407"/>
      <c r="Z106" s="407"/>
      <c r="AA106" s="407"/>
      <c r="AB106" s="407"/>
      <c r="AC106" s="407"/>
      <c r="AD106" s="407"/>
    </row>
    <row r="107" spans="2:30">
      <c r="B107" s="407"/>
      <c r="C107" s="407"/>
      <c r="D107" s="407"/>
      <c r="E107" s="407"/>
      <c r="F107" s="407"/>
      <c r="G107" s="407"/>
      <c r="H107" s="407"/>
      <c r="I107" s="407"/>
      <c r="J107" s="407"/>
      <c r="N107" s="187"/>
      <c r="O107" s="187"/>
      <c r="P107" s="187"/>
      <c r="Q107" s="187"/>
      <c r="R107" s="187"/>
      <c r="S107" s="187"/>
      <c r="T107" s="187"/>
      <c r="U107" s="187"/>
      <c r="V107" s="187"/>
      <c r="W107" s="187"/>
      <c r="X107" s="407"/>
      <c r="Y107" s="407"/>
      <c r="Z107" s="407"/>
      <c r="AA107" s="407"/>
      <c r="AB107" s="407"/>
      <c r="AC107" s="407"/>
      <c r="AD107" s="407"/>
    </row>
    <row r="108" spans="2:30">
      <c r="B108" s="407"/>
      <c r="C108" s="407"/>
      <c r="D108" s="407"/>
      <c r="E108" s="407"/>
      <c r="F108" s="407"/>
      <c r="G108" s="407"/>
      <c r="H108" s="407"/>
      <c r="I108" s="407"/>
      <c r="J108" s="407"/>
      <c r="N108" s="187"/>
      <c r="O108" s="187"/>
      <c r="P108" s="187"/>
      <c r="Q108" s="187"/>
      <c r="R108" s="187"/>
      <c r="S108" s="187"/>
      <c r="T108" s="187"/>
      <c r="U108" s="187"/>
      <c r="V108" s="187"/>
      <c r="W108" s="187"/>
      <c r="X108" s="407"/>
      <c r="Y108" s="407"/>
      <c r="Z108" s="407"/>
      <c r="AA108" s="407"/>
      <c r="AB108" s="407"/>
      <c r="AC108" s="407"/>
      <c r="AD108" s="407"/>
    </row>
    <row r="109" spans="2:30">
      <c r="B109" s="407"/>
      <c r="C109" s="407"/>
      <c r="D109" s="407"/>
      <c r="E109" s="407"/>
      <c r="F109" s="407"/>
      <c r="G109" s="407"/>
      <c r="H109" s="407"/>
      <c r="I109" s="407"/>
      <c r="J109" s="407"/>
      <c r="N109" s="187"/>
      <c r="O109" s="187"/>
      <c r="P109" s="187"/>
      <c r="Q109" s="187"/>
      <c r="R109" s="187"/>
      <c r="S109" s="187"/>
      <c r="T109" s="187"/>
      <c r="U109" s="187"/>
      <c r="V109" s="187"/>
      <c r="W109" s="187"/>
      <c r="X109" s="407"/>
      <c r="Y109" s="407"/>
      <c r="Z109" s="407"/>
      <c r="AA109" s="407"/>
      <c r="AB109" s="407"/>
      <c r="AC109" s="407"/>
      <c r="AD109" s="407"/>
    </row>
    <row r="110" spans="2:30">
      <c r="B110" s="407"/>
      <c r="C110" s="407"/>
      <c r="D110" s="407"/>
      <c r="E110" s="407"/>
      <c r="F110" s="407"/>
      <c r="G110" s="407"/>
      <c r="H110" s="407"/>
      <c r="I110" s="407"/>
      <c r="J110" s="407"/>
      <c r="N110" s="187"/>
      <c r="O110" s="187"/>
      <c r="P110" s="187"/>
      <c r="Q110" s="187"/>
      <c r="R110" s="187"/>
      <c r="S110" s="187"/>
      <c r="T110" s="187"/>
      <c r="U110" s="187"/>
      <c r="V110" s="187"/>
      <c r="W110" s="187"/>
      <c r="X110" s="407"/>
      <c r="Y110" s="407"/>
      <c r="Z110" s="407"/>
      <c r="AA110" s="407"/>
      <c r="AB110" s="407"/>
      <c r="AC110" s="407"/>
      <c r="AD110" s="407"/>
    </row>
    <row r="111" spans="2:30">
      <c r="B111" s="407"/>
      <c r="C111" s="407"/>
      <c r="D111" s="407"/>
      <c r="E111" s="407"/>
      <c r="F111" s="407"/>
      <c r="G111" s="407"/>
      <c r="H111" s="407"/>
      <c r="I111" s="407"/>
      <c r="J111" s="407"/>
      <c r="N111" s="187"/>
      <c r="O111" s="187"/>
      <c r="P111" s="187"/>
      <c r="Q111" s="187"/>
      <c r="R111" s="187"/>
      <c r="S111" s="187"/>
      <c r="T111" s="187"/>
      <c r="U111" s="187"/>
      <c r="V111" s="187"/>
      <c r="W111" s="187"/>
      <c r="X111" s="407"/>
      <c r="Y111" s="407"/>
      <c r="Z111" s="407"/>
      <c r="AA111" s="407"/>
      <c r="AB111" s="407"/>
      <c r="AC111" s="407"/>
      <c r="AD111" s="407"/>
    </row>
    <row r="112" spans="2:30">
      <c r="B112" s="407"/>
      <c r="C112" s="407"/>
      <c r="D112" s="407"/>
      <c r="E112" s="407"/>
      <c r="F112" s="407"/>
      <c r="G112" s="407"/>
      <c r="H112" s="407"/>
      <c r="I112" s="407"/>
      <c r="J112" s="407"/>
      <c r="N112" s="187"/>
      <c r="O112" s="187"/>
      <c r="P112" s="187"/>
      <c r="Q112" s="187"/>
      <c r="R112" s="187"/>
      <c r="S112" s="187"/>
      <c r="T112" s="187"/>
      <c r="U112" s="187"/>
      <c r="V112" s="187"/>
      <c r="W112" s="187"/>
      <c r="X112" s="407"/>
      <c r="Y112" s="407"/>
      <c r="Z112" s="407"/>
      <c r="AA112" s="407"/>
      <c r="AB112" s="407"/>
      <c r="AC112" s="407"/>
      <c r="AD112" s="407"/>
    </row>
    <row r="113" spans="2:30">
      <c r="B113" s="407"/>
      <c r="C113" s="407"/>
      <c r="D113" s="407"/>
      <c r="E113" s="407"/>
      <c r="F113" s="407"/>
      <c r="G113" s="407"/>
      <c r="H113" s="407"/>
      <c r="I113" s="407"/>
      <c r="J113" s="407"/>
      <c r="N113" s="187"/>
      <c r="O113" s="187"/>
      <c r="P113" s="187"/>
      <c r="Q113" s="187"/>
      <c r="R113" s="187"/>
      <c r="S113" s="187"/>
      <c r="T113" s="187"/>
      <c r="U113" s="187"/>
      <c r="V113" s="187"/>
      <c r="W113" s="187"/>
      <c r="X113" s="407"/>
      <c r="Y113" s="407"/>
      <c r="Z113" s="407"/>
      <c r="AA113" s="407"/>
      <c r="AB113" s="407"/>
      <c r="AC113" s="407"/>
      <c r="AD113" s="407"/>
    </row>
    <row r="114" spans="2:30">
      <c r="B114" s="407"/>
      <c r="C114" s="407"/>
      <c r="D114" s="407"/>
      <c r="E114" s="407"/>
      <c r="F114" s="407"/>
      <c r="G114" s="407"/>
      <c r="H114" s="407"/>
      <c r="I114" s="407"/>
      <c r="J114" s="407"/>
      <c r="N114" s="187"/>
      <c r="O114" s="187"/>
      <c r="P114" s="187"/>
      <c r="Q114" s="187"/>
      <c r="R114" s="187"/>
      <c r="S114" s="187"/>
      <c r="T114" s="187"/>
      <c r="U114" s="187"/>
      <c r="V114" s="187"/>
      <c r="W114" s="187"/>
      <c r="X114" s="407"/>
      <c r="Y114" s="407"/>
      <c r="Z114" s="407"/>
      <c r="AA114" s="407"/>
      <c r="AB114" s="407"/>
      <c r="AC114" s="407"/>
      <c r="AD114" s="407"/>
    </row>
    <row r="115" spans="2:30">
      <c r="B115" s="407"/>
      <c r="C115" s="407"/>
      <c r="D115" s="407"/>
      <c r="E115" s="407"/>
      <c r="F115" s="407"/>
      <c r="G115" s="407"/>
      <c r="H115" s="407"/>
      <c r="I115" s="407"/>
      <c r="J115" s="407"/>
      <c r="N115" s="187"/>
      <c r="O115" s="187"/>
      <c r="P115" s="187"/>
      <c r="Q115" s="187"/>
      <c r="R115" s="187"/>
      <c r="S115" s="187"/>
      <c r="T115" s="187"/>
      <c r="U115" s="187"/>
      <c r="V115" s="187"/>
      <c r="W115" s="187"/>
      <c r="X115" s="407"/>
      <c r="Y115" s="407"/>
      <c r="Z115" s="407"/>
      <c r="AA115" s="407"/>
      <c r="AB115" s="407"/>
      <c r="AC115" s="407"/>
      <c r="AD115" s="407"/>
    </row>
    <row r="116" spans="2:30">
      <c r="B116" s="407"/>
      <c r="C116" s="407"/>
      <c r="D116" s="407"/>
      <c r="E116" s="407"/>
      <c r="F116" s="407"/>
      <c r="G116" s="407"/>
      <c r="H116" s="407"/>
      <c r="I116" s="407"/>
      <c r="J116" s="407"/>
      <c r="N116" s="187"/>
      <c r="O116" s="187"/>
      <c r="P116" s="187"/>
      <c r="Q116" s="187"/>
      <c r="R116" s="187"/>
      <c r="S116" s="187"/>
      <c r="T116" s="187"/>
      <c r="U116" s="187"/>
      <c r="V116" s="187"/>
      <c r="W116" s="187"/>
      <c r="X116" s="407"/>
      <c r="Y116" s="407"/>
      <c r="Z116" s="407"/>
      <c r="AA116" s="407"/>
      <c r="AB116" s="407"/>
      <c r="AC116" s="407"/>
      <c r="AD116" s="407"/>
    </row>
    <row r="117" spans="2:30">
      <c r="B117" s="407"/>
      <c r="C117" s="407"/>
      <c r="D117" s="407"/>
      <c r="E117" s="407"/>
      <c r="F117" s="407"/>
      <c r="G117" s="407"/>
      <c r="H117" s="407"/>
      <c r="I117" s="407"/>
      <c r="J117" s="407"/>
      <c r="N117" s="187"/>
      <c r="O117" s="187"/>
      <c r="P117" s="187"/>
      <c r="Q117" s="187"/>
      <c r="R117" s="187"/>
      <c r="S117" s="187"/>
      <c r="T117" s="187"/>
      <c r="U117" s="187"/>
      <c r="V117" s="187"/>
      <c r="W117" s="187"/>
      <c r="X117" s="407"/>
      <c r="Y117" s="407"/>
      <c r="Z117" s="407"/>
      <c r="AA117" s="407"/>
      <c r="AB117" s="407"/>
      <c r="AC117" s="407"/>
      <c r="AD117" s="407"/>
    </row>
    <row r="118" spans="2:30">
      <c r="B118" s="407"/>
      <c r="C118" s="407"/>
      <c r="D118" s="407"/>
      <c r="E118" s="407"/>
      <c r="F118" s="407"/>
      <c r="G118" s="407"/>
      <c r="H118" s="407"/>
      <c r="I118" s="407"/>
      <c r="J118" s="407"/>
      <c r="N118" s="187"/>
      <c r="O118" s="187"/>
      <c r="P118" s="187"/>
      <c r="Q118" s="187"/>
      <c r="R118" s="187"/>
      <c r="S118" s="187"/>
      <c r="T118" s="187"/>
      <c r="U118" s="187"/>
      <c r="V118" s="187"/>
      <c r="W118" s="187"/>
      <c r="X118" s="407"/>
      <c r="Y118" s="407"/>
      <c r="Z118" s="407"/>
      <c r="AA118" s="407"/>
      <c r="AB118" s="407"/>
      <c r="AC118" s="407"/>
      <c r="AD118" s="407"/>
    </row>
    <row r="119" spans="2:30">
      <c r="B119" s="407"/>
      <c r="C119" s="407"/>
      <c r="D119" s="407"/>
      <c r="E119" s="407"/>
      <c r="F119" s="407"/>
      <c r="G119" s="407"/>
      <c r="H119" s="407"/>
      <c r="I119" s="407"/>
      <c r="J119" s="407"/>
      <c r="N119" s="187"/>
      <c r="O119" s="187"/>
      <c r="P119" s="187"/>
      <c r="Q119" s="187"/>
      <c r="R119" s="187"/>
      <c r="S119" s="187"/>
      <c r="T119" s="187"/>
      <c r="U119" s="187"/>
      <c r="V119" s="187"/>
      <c r="W119" s="187"/>
      <c r="X119" s="407"/>
      <c r="Y119" s="407"/>
      <c r="Z119" s="407"/>
      <c r="AA119" s="407"/>
      <c r="AB119" s="407"/>
      <c r="AC119" s="407"/>
      <c r="AD119" s="407"/>
    </row>
    <row r="120" spans="2:30">
      <c r="B120" s="407"/>
      <c r="C120" s="407"/>
      <c r="D120" s="407"/>
      <c r="E120" s="407"/>
      <c r="F120" s="407"/>
      <c r="G120" s="407"/>
      <c r="H120" s="407"/>
      <c r="I120" s="407"/>
      <c r="J120" s="407"/>
      <c r="N120" s="187"/>
      <c r="O120" s="187"/>
      <c r="P120" s="187"/>
      <c r="Q120" s="187"/>
      <c r="R120" s="187"/>
      <c r="S120" s="187"/>
      <c r="T120" s="187"/>
      <c r="U120" s="187"/>
      <c r="V120" s="187"/>
      <c r="W120" s="187"/>
      <c r="X120" s="407"/>
      <c r="Y120" s="407"/>
      <c r="Z120" s="407"/>
      <c r="AA120" s="407"/>
      <c r="AB120" s="407"/>
      <c r="AC120" s="407"/>
      <c r="AD120" s="407"/>
    </row>
    <row r="121" spans="2:30">
      <c r="B121" s="407"/>
      <c r="C121" s="407"/>
      <c r="D121" s="407"/>
      <c r="E121" s="407"/>
      <c r="F121" s="407"/>
      <c r="G121" s="407"/>
      <c r="H121" s="407"/>
      <c r="I121" s="407"/>
      <c r="J121" s="407"/>
      <c r="N121" s="187"/>
      <c r="O121" s="187"/>
      <c r="P121" s="187"/>
      <c r="Q121" s="187"/>
      <c r="R121" s="187"/>
      <c r="S121" s="187"/>
      <c r="T121" s="187"/>
      <c r="U121" s="187"/>
      <c r="V121" s="187"/>
      <c r="W121" s="187"/>
      <c r="X121" s="407"/>
      <c r="Y121" s="407"/>
      <c r="Z121" s="407"/>
      <c r="AA121" s="407"/>
      <c r="AB121" s="407"/>
      <c r="AC121" s="407"/>
      <c r="AD121" s="407"/>
    </row>
    <row r="122" spans="2:30">
      <c r="B122" s="407"/>
      <c r="C122" s="407"/>
      <c r="D122" s="407"/>
      <c r="E122" s="407"/>
      <c r="F122" s="407"/>
      <c r="G122" s="407"/>
      <c r="H122" s="407"/>
      <c r="I122" s="407"/>
      <c r="J122" s="407"/>
      <c r="N122" s="187"/>
      <c r="O122" s="187"/>
      <c r="P122" s="187"/>
      <c r="Q122" s="187"/>
      <c r="R122" s="187"/>
      <c r="S122" s="187"/>
      <c r="T122" s="187"/>
      <c r="U122" s="187"/>
      <c r="V122" s="187"/>
      <c r="W122" s="187"/>
      <c r="X122" s="407"/>
      <c r="Y122" s="407"/>
      <c r="Z122" s="407"/>
      <c r="AA122" s="407"/>
      <c r="AB122" s="407"/>
      <c r="AC122" s="407"/>
      <c r="AD122" s="407"/>
    </row>
    <row r="123" spans="2:30">
      <c r="B123" s="407"/>
      <c r="C123" s="407"/>
      <c r="D123" s="407"/>
      <c r="E123" s="407"/>
      <c r="F123" s="407"/>
      <c r="G123" s="407"/>
      <c r="H123" s="407"/>
      <c r="I123" s="407"/>
      <c r="J123" s="407"/>
      <c r="N123" s="187"/>
      <c r="O123" s="187"/>
      <c r="P123" s="187"/>
      <c r="Q123" s="187"/>
      <c r="R123" s="187"/>
      <c r="S123" s="187"/>
      <c r="T123" s="187"/>
      <c r="U123" s="187"/>
      <c r="V123" s="187"/>
      <c r="W123" s="187"/>
      <c r="X123" s="407"/>
      <c r="Y123" s="407"/>
      <c r="Z123" s="407"/>
      <c r="AA123" s="407"/>
      <c r="AB123" s="407"/>
      <c r="AC123" s="407"/>
      <c r="AD123" s="407"/>
    </row>
    <row r="124" spans="2:30">
      <c r="B124" s="407"/>
      <c r="C124" s="407"/>
      <c r="D124" s="407"/>
      <c r="E124" s="407"/>
      <c r="F124" s="407"/>
      <c r="G124" s="407"/>
      <c r="H124" s="407"/>
      <c r="I124" s="407"/>
      <c r="J124" s="407"/>
      <c r="N124" s="187"/>
      <c r="O124" s="187"/>
      <c r="P124" s="187"/>
      <c r="Q124" s="187"/>
      <c r="R124" s="187"/>
      <c r="S124" s="187"/>
      <c r="T124" s="187"/>
      <c r="U124" s="187"/>
      <c r="V124" s="187"/>
      <c r="W124" s="187"/>
      <c r="X124" s="407"/>
      <c r="Y124" s="407"/>
      <c r="Z124" s="407"/>
      <c r="AA124" s="407"/>
      <c r="AB124" s="407"/>
      <c r="AC124" s="407"/>
      <c r="AD124" s="407"/>
    </row>
    <row r="125" spans="2:30">
      <c r="B125" s="407"/>
      <c r="C125" s="407"/>
      <c r="D125" s="407"/>
      <c r="E125" s="407"/>
      <c r="F125" s="407"/>
      <c r="G125" s="407"/>
      <c r="H125" s="407"/>
      <c r="I125" s="407"/>
      <c r="J125" s="407"/>
      <c r="N125" s="187"/>
      <c r="O125" s="187"/>
      <c r="P125" s="187"/>
      <c r="Q125" s="187"/>
      <c r="R125" s="187"/>
      <c r="S125" s="187"/>
      <c r="T125" s="187"/>
      <c r="U125" s="187"/>
      <c r="V125" s="187"/>
      <c r="W125" s="187"/>
      <c r="X125" s="407"/>
      <c r="Y125" s="407"/>
      <c r="Z125" s="407"/>
      <c r="AA125" s="407"/>
      <c r="AB125" s="407"/>
      <c r="AC125" s="407"/>
      <c r="AD125" s="407"/>
    </row>
    <row r="126" spans="2:30">
      <c r="B126" s="407"/>
      <c r="C126" s="407"/>
      <c r="D126" s="407"/>
      <c r="E126" s="407"/>
      <c r="F126" s="407"/>
      <c r="G126" s="407"/>
      <c r="H126" s="407"/>
      <c r="I126" s="407"/>
      <c r="J126" s="407"/>
      <c r="N126" s="187"/>
      <c r="O126" s="187"/>
      <c r="P126" s="187"/>
      <c r="Q126" s="187"/>
      <c r="R126" s="187"/>
      <c r="S126" s="187"/>
      <c r="T126" s="187"/>
      <c r="U126" s="187"/>
      <c r="V126" s="187"/>
      <c r="W126" s="187"/>
      <c r="X126" s="407"/>
      <c r="Y126" s="407"/>
      <c r="Z126" s="407"/>
      <c r="AA126" s="407"/>
      <c r="AB126" s="407"/>
      <c r="AC126" s="407"/>
      <c r="AD126" s="407"/>
    </row>
    <row r="127" spans="2:30">
      <c r="B127" s="407"/>
      <c r="C127" s="407"/>
      <c r="D127" s="407"/>
      <c r="E127" s="407"/>
      <c r="F127" s="407"/>
      <c r="G127" s="407"/>
      <c r="H127" s="407"/>
      <c r="I127" s="407"/>
      <c r="J127" s="407"/>
      <c r="N127" s="187"/>
      <c r="O127" s="187"/>
      <c r="P127" s="187"/>
      <c r="Q127" s="187"/>
      <c r="R127" s="187"/>
      <c r="S127" s="187"/>
      <c r="T127" s="187"/>
      <c r="U127" s="187"/>
      <c r="V127" s="187"/>
      <c r="W127" s="187"/>
      <c r="X127" s="407"/>
      <c r="Y127" s="407"/>
      <c r="Z127" s="407"/>
      <c r="AA127" s="407"/>
      <c r="AB127" s="407"/>
      <c r="AC127" s="407"/>
      <c r="AD127" s="407"/>
    </row>
    <row r="128" spans="2:30">
      <c r="B128" s="407"/>
      <c r="C128" s="407"/>
      <c r="D128" s="407"/>
      <c r="E128" s="407"/>
      <c r="F128" s="407"/>
      <c r="G128" s="407"/>
      <c r="H128" s="407"/>
      <c r="I128" s="407"/>
      <c r="J128" s="407"/>
      <c r="N128" s="187"/>
      <c r="O128" s="187"/>
      <c r="P128" s="187"/>
      <c r="Q128" s="187"/>
      <c r="R128" s="187"/>
      <c r="S128" s="187"/>
      <c r="T128" s="187"/>
      <c r="U128" s="187"/>
      <c r="V128" s="187"/>
      <c r="W128" s="187"/>
      <c r="X128" s="407"/>
      <c r="Y128" s="407"/>
      <c r="Z128" s="407"/>
      <c r="AA128" s="407"/>
      <c r="AB128" s="407"/>
      <c r="AC128" s="407"/>
      <c r="AD128" s="407"/>
    </row>
    <row r="129" spans="2:30">
      <c r="B129" s="407"/>
      <c r="C129" s="407"/>
      <c r="D129" s="407"/>
      <c r="E129" s="407"/>
      <c r="F129" s="407"/>
      <c r="G129" s="407"/>
      <c r="H129" s="407"/>
      <c r="I129" s="407"/>
      <c r="J129" s="407"/>
      <c r="N129" s="187"/>
      <c r="O129" s="187"/>
      <c r="P129" s="187"/>
      <c r="Q129" s="187"/>
      <c r="R129" s="187"/>
      <c r="S129" s="187"/>
      <c r="T129" s="187"/>
      <c r="U129" s="187"/>
      <c r="V129" s="187"/>
      <c r="W129" s="187"/>
      <c r="X129" s="407"/>
      <c r="Y129" s="407"/>
      <c r="Z129" s="407"/>
      <c r="AA129" s="407"/>
      <c r="AB129" s="407"/>
      <c r="AC129" s="407"/>
      <c r="AD129" s="407"/>
    </row>
    <row r="130" spans="2:30">
      <c r="B130" s="407"/>
      <c r="C130" s="407"/>
      <c r="D130" s="407"/>
      <c r="E130" s="407"/>
      <c r="F130" s="407"/>
      <c r="G130" s="407"/>
      <c r="H130" s="407"/>
      <c r="I130" s="407"/>
      <c r="J130" s="407"/>
      <c r="N130" s="187"/>
      <c r="O130" s="187"/>
      <c r="P130" s="187"/>
      <c r="Q130" s="187"/>
      <c r="R130" s="187"/>
      <c r="S130" s="187"/>
      <c r="T130" s="187"/>
      <c r="U130" s="187"/>
      <c r="V130" s="187"/>
      <c r="W130" s="187"/>
      <c r="X130" s="407"/>
      <c r="Y130" s="407"/>
      <c r="Z130" s="407"/>
      <c r="AA130" s="407"/>
      <c r="AB130" s="407"/>
      <c r="AC130" s="407"/>
      <c r="AD130" s="407"/>
    </row>
    <row r="131" spans="2:30">
      <c r="B131" s="407"/>
      <c r="C131" s="407"/>
      <c r="D131" s="407"/>
      <c r="E131" s="407"/>
      <c r="F131" s="407"/>
      <c r="G131" s="407"/>
      <c r="H131" s="407"/>
      <c r="I131" s="407"/>
      <c r="J131" s="407"/>
      <c r="N131" s="187"/>
      <c r="O131" s="187"/>
      <c r="P131" s="187"/>
      <c r="Q131" s="187"/>
      <c r="R131" s="187"/>
      <c r="S131" s="187"/>
      <c r="T131" s="187"/>
      <c r="U131" s="187"/>
      <c r="V131" s="187"/>
      <c r="W131" s="187"/>
      <c r="X131" s="407"/>
      <c r="Y131" s="407"/>
      <c r="Z131" s="407"/>
      <c r="AA131" s="407"/>
      <c r="AB131" s="407"/>
      <c r="AC131" s="407"/>
      <c r="AD131" s="407"/>
    </row>
    <row r="132" spans="2:30">
      <c r="B132" s="407"/>
      <c r="C132" s="407"/>
      <c r="D132" s="407"/>
      <c r="E132" s="407"/>
      <c r="F132" s="407"/>
      <c r="G132" s="407"/>
      <c r="H132" s="407"/>
      <c r="I132" s="407"/>
      <c r="J132" s="407"/>
      <c r="N132" s="187"/>
      <c r="O132" s="187"/>
      <c r="P132" s="187"/>
      <c r="Q132" s="187"/>
      <c r="R132" s="187"/>
      <c r="S132" s="187"/>
      <c r="T132" s="187"/>
      <c r="U132" s="187"/>
      <c r="V132" s="187"/>
      <c r="W132" s="187"/>
      <c r="X132" s="407"/>
      <c r="Y132" s="407"/>
      <c r="Z132" s="407"/>
      <c r="AA132" s="407"/>
      <c r="AB132" s="407"/>
      <c r="AC132" s="407"/>
      <c r="AD132" s="407"/>
    </row>
    <row r="133" spans="2:30">
      <c r="B133" s="407"/>
      <c r="C133" s="407"/>
      <c r="D133" s="407"/>
      <c r="E133" s="407"/>
      <c r="F133" s="407"/>
      <c r="G133" s="407"/>
      <c r="H133" s="407"/>
      <c r="I133" s="407"/>
      <c r="J133" s="407"/>
      <c r="N133" s="187"/>
      <c r="O133" s="187"/>
      <c r="P133" s="187"/>
      <c r="Q133" s="187"/>
      <c r="R133" s="187"/>
      <c r="S133" s="187"/>
      <c r="T133" s="187"/>
      <c r="U133" s="187"/>
      <c r="V133" s="187"/>
      <c r="W133" s="187"/>
      <c r="X133" s="407"/>
      <c r="Y133" s="407"/>
      <c r="Z133" s="407"/>
      <c r="AA133" s="407"/>
      <c r="AB133" s="407"/>
      <c r="AC133" s="407"/>
      <c r="AD133" s="407"/>
    </row>
    <row r="134" spans="2:30">
      <c r="B134" s="407"/>
      <c r="C134" s="407"/>
      <c r="D134" s="407"/>
      <c r="E134" s="407"/>
      <c r="F134" s="407"/>
      <c r="G134" s="407"/>
      <c r="H134" s="407"/>
      <c r="I134" s="407"/>
      <c r="J134" s="407"/>
      <c r="N134" s="187"/>
      <c r="O134" s="187"/>
      <c r="P134" s="187"/>
      <c r="Q134" s="187"/>
      <c r="R134" s="187"/>
      <c r="S134" s="187"/>
      <c r="T134" s="187"/>
      <c r="U134" s="187"/>
      <c r="V134" s="187"/>
      <c r="W134" s="187"/>
      <c r="X134" s="407"/>
      <c r="Y134" s="407"/>
      <c r="Z134" s="407"/>
      <c r="AA134" s="407"/>
      <c r="AB134" s="407"/>
      <c r="AC134" s="407"/>
      <c r="AD134" s="407"/>
    </row>
    <row r="135" spans="2:30">
      <c r="B135" s="407"/>
      <c r="C135" s="407"/>
      <c r="D135" s="407"/>
      <c r="E135" s="407"/>
      <c r="F135" s="407"/>
      <c r="G135" s="407"/>
      <c r="H135" s="407"/>
      <c r="I135" s="407"/>
      <c r="J135" s="407"/>
      <c r="N135" s="187"/>
      <c r="O135" s="187"/>
      <c r="P135" s="187"/>
      <c r="Q135" s="187"/>
      <c r="R135" s="187"/>
      <c r="S135" s="187"/>
      <c r="T135" s="187"/>
      <c r="U135" s="187"/>
      <c r="V135" s="187"/>
      <c r="W135" s="187"/>
      <c r="X135" s="407"/>
      <c r="Y135" s="407"/>
      <c r="Z135" s="407"/>
      <c r="AA135" s="407"/>
      <c r="AB135" s="407"/>
      <c r="AC135" s="407"/>
      <c r="AD135" s="407"/>
    </row>
    <row r="136" spans="2:30">
      <c r="B136" s="407"/>
      <c r="C136" s="407"/>
      <c r="D136" s="407"/>
      <c r="E136" s="407"/>
      <c r="F136" s="407"/>
      <c r="G136" s="407"/>
      <c r="H136" s="407"/>
      <c r="I136" s="407"/>
      <c r="J136" s="407"/>
      <c r="N136" s="187"/>
      <c r="O136" s="187"/>
      <c r="P136" s="187"/>
      <c r="Q136" s="187"/>
      <c r="R136" s="187"/>
      <c r="S136" s="187"/>
      <c r="T136" s="187"/>
      <c r="U136" s="187"/>
      <c r="V136" s="187"/>
      <c r="W136" s="187"/>
      <c r="X136" s="407"/>
      <c r="Y136" s="407"/>
      <c r="Z136" s="407"/>
      <c r="AA136" s="407"/>
      <c r="AB136" s="407"/>
      <c r="AC136" s="407"/>
      <c r="AD136" s="407"/>
    </row>
    <row r="137" spans="2:30">
      <c r="B137" s="407"/>
      <c r="C137" s="407"/>
      <c r="D137" s="407"/>
      <c r="E137" s="407"/>
      <c r="F137" s="407"/>
      <c r="G137" s="407"/>
      <c r="H137" s="407"/>
      <c r="I137" s="407"/>
      <c r="J137" s="407"/>
      <c r="N137" s="187"/>
      <c r="O137" s="187"/>
      <c r="P137" s="187"/>
      <c r="Q137" s="187"/>
      <c r="R137" s="187"/>
      <c r="S137" s="187"/>
      <c r="T137" s="187"/>
      <c r="U137" s="187"/>
      <c r="V137" s="187"/>
      <c r="W137" s="187"/>
      <c r="X137" s="407"/>
      <c r="Y137" s="407"/>
      <c r="Z137" s="407"/>
      <c r="AA137" s="407"/>
      <c r="AB137" s="407"/>
      <c r="AC137" s="407"/>
      <c r="AD137" s="407"/>
    </row>
    <row r="138" spans="2:30">
      <c r="B138" s="407"/>
      <c r="C138" s="407"/>
      <c r="D138" s="407"/>
      <c r="E138" s="407"/>
      <c r="F138" s="407"/>
      <c r="G138" s="407"/>
      <c r="H138" s="407"/>
      <c r="I138" s="407"/>
      <c r="J138" s="407"/>
      <c r="N138" s="187"/>
      <c r="O138" s="187"/>
      <c r="P138" s="187"/>
      <c r="Q138" s="187"/>
      <c r="R138" s="187"/>
      <c r="S138" s="187"/>
      <c r="T138" s="187"/>
      <c r="U138" s="187"/>
      <c r="V138" s="187"/>
      <c r="W138" s="187"/>
      <c r="X138" s="407"/>
      <c r="Y138" s="407"/>
      <c r="Z138" s="407"/>
      <c r="AA138" s="407"/>
      <c r="AB138" s="407"/>
      <c r="AC138" s="407"/>
      <c r="AD138" s="407"/>
    </row>
    <row r="139" spans="2:30">
      <c r="B139" s="407"/>
      <c r="C139" s="407"/>
      <c r="D139" s="407"/>
      <c r="E139" s="407"/>
      <c r="F139" s="407"/>
      <c r="G139" s="407"/>
      <c r="H139" s="407"/>
      <c r="I139" s="407"/>
      <c r="J139" s="407"/>
      <c r="N139" s="187"/>
      <c r="O139" s="187"/>
      <c r="P139" s="187"/>
      <c r="Q139" s="187"/>
      <c r="R139" s="187"/>
      <c r="S139" s="187"/>
      <c r="T139" s="187"/>
      <c r="U139" s="187"/>
      <c r="V139" s="187"/>
      <c r="W139" s="187"/>
      <c r="X139" s="407"/>
      <c r="Y139" s="407"/>
      <c r="Z139" s="407"/>
      <c r="AA139" s="407"/>
      <c r="AB139" s="407"/>
      <c r="AC139" s="407"/>
      <c r="AD139" s="407"/>
    </row>
    <row r="140" spans="2:30">
      <c r="B140" s="407"/>
      <c r="C140" s="407"/>
      <c r="D140" s="407"/>
      <c r="E140" s="407"/>
      <c r="F140" s="407"/>
      <c r="G140" s="407"/>
      <c r="H140" s="407"/>
      <c r="I140" s="407"/>
      <c r="J140" s="407"/>
      <c r="N140" s="187"/>
      <c r="O140" s="187"/>
      <c r="P140" s="187"/>
      <c r="Q140" s="187"/>
      <c r="R140" s="187"/>
      <c r="S140" s="187"/>
      <c r="T140" s="187"/>
      <c r="U140" s="187"/>
      <c r="V140" s="187"/>
      <c r="W140" s="187"/>
      <c r="X140" s="407"/>
      <c r="Y140" s="407"/>
      <c r="Z140" s="407"/>
      <c r="AA140" s="407"/>
      <c r="AB140" s="407"/>
      <c r="AC140" s="407"/>
      <c r="AD140" s="407"/>
    </row>
    <row r="141" spans="2:30">
      <c r="B141" s="407"/>
      <c r="C141" s="407"/>
      <c r="D141" s="407"/>
      <c r="E141" s="407"/>
      <c r="F141" s="407"/>
      <c r="G141" s="407"/>
      <c r="H141" s="407"/>
      <c r="I141" s="407"/>
      <c r="J141" s="407"/>
      <c r="N141" s="187"/>
      <c r="O141" s="187"/>
      <c r="P141" s="187"/>
      <c r="Q141" s="187"/>
      <c r="R141" s="187"/>
      <c r="S141" s="187"/>
      <c r="T141" s="187"/>
      <c r="U141" s="187"/>
      <c r="V141" s="187"/>
      <c r="W141" s="187"/>
      <c r="X141" s="407"/>
      <c r="Y141" s="407"/>
      <c r="Z141" s="407"/>
      <c r="AA141" s="407"/>
      <c r="AB141" s="407"/>
      <c r="AC141" s="407"/>
      <c r="AD141" s="407"/>
    </row>
    <row r="142" spans="2:30">
      <c r="B142" s="407"/>
      <c r="C142" s="407"/>
      <c r="D142" s="407"/>
      <c r="E142" s="407"/>
      <c r="F142" s="407"/>
      <c r="G142" s="407"/>
      <c r="H142" s="407"/>
      <c r="I142" s="407"/>
      <c r="J142" s="407"/>
      <c r="N142" s="187"/>
      <c r="O142" s="187"/>
      <c r="P142" s="187"/>
      <c r="Q142" s="187"/>
      <c r="R142" s="187"/>
      <c r="S142" s="187"/>
      <c r="T142" s="187"/>
      <c r="U142" s="187"/>
      <c r="V142" s="187"/>
      <c r="W142" s="187"/>
      <c r="X142" s="407"/>
      <c r="Y142" s="407"/>
      <c r="Z142" s="407"/>
      <c r="AA142" s="407"/>
      <c r="AB142" s="407"/>
      <c r="AC142" s="407"/>
      <c r="AD142" s="407"/>
    </row>
    <row r="143" spans="2:30">
      <c r="B143" s="407"/>
      <c r="C143" s="407"/>
      <c r="D143" s="407"/>
      <c r="E143" s="407"/>
      <c r="F143" s="407"/>
      <c r="G143" s="407"/>
      <c r="H143" s="407"/>
      <c r="I143" s="407"/>
      <c r="J143" s="407"/>
      <c r="N143" s="187"/>
      <c r="O143" s="187"/>
      <c r="P143" s="187"/>
      <c r="Q143" s="187"/>
      <c r="R143" s="187"/>
      <c r="S143" s="187"/>
      <c r="T143" s="187"/>
      <c r="U143" s="187"/>
      <c r="V143" s="187"/>
      <c r="W143" s="187"/>
      <c r="X143" s="407"/>
      <c r="Y143" s="407"/>
      <c r="Z143" s="407"/>
      <c r="AA143" s="407"/>
      <c r="AB143" s="407"/>
      <c r="AC143" s="407"/>
      <c r="AD143" s="407"/>
    </row>
    <row r="144" spans="2:30">
      <c r="B144" s="407"/>
      <c r="C144" s="407"/>
      <c r="D144" s="407"/>
      <c r="E144" s="407"/>
      <c r="F144" s="407"/>
      <c r="G144" s="407"/>
      <c r="H144" s="407"/>
      <c r="I144" s="407"/>
      <c r="J144" s="407"/>
      <c r="N144" s="187"/>
      <c r="O144" s="187"/>
      <c r="P144" s="187"/>
      <c r="Q144" s="187"/>
      <c r="R144" s="187"/>
      <c r="S144" s="187"/>
      <c r="T144" s="187"/>
      <c r="U144" s="187"/>
      <c r="V144" s="187"/>
      <c r="W144" s="187"/>
      <c r="X144" s="407"/>
      <c r="Y144" s="407"/>
      <c r="Z144" s="407"/>
      <c r="AA144" s="407"/>
      <c r="AB144" s="407"/>
      <c r="AC144" s="407"/>
      <c r="AD144" s="407"/>
    </row>
    <row r="145" spans="2:30">
      <c r="B145" s="407"/>
      <c r="C145" s="407"/>
      <c r="D145" s="407"/>
      <c r="E145" s="407"/>
      <c r="F145" s="407"/>
      <c r="G145" s="407"/>
      <c r="H145" s="407"/>
      <c r="I145" s="407"/>
      <c r="J145" s="407"/>
      <c r="N145" s="187"/>
      <c r="O145" s="187"/>
      <c r="P145" s="187"/>
      <c r="Q145" s="187"/>
      <c r="R145" s="187"/>
      <c r="S145" s="187"/>
      <c r="T145" s="187"/>
      <c r="U145" s="187"/>
      <c r="V145" s="187"/>
      <c r="W145" s="187"/>
      <c r="X145" s="407"/>
      <c r="Y145" s="407"/>
      <c r="Z145" s="407"/>
      <c r="AA145" s="407"/>
      <c r="AB145" s="407"/>
      <c r="AC145" s="407"/>
      <c r="AD145" s="407"/>
    </row>
    <row r="146" spans="2:30">
      <c r="B146" s="407"/>
      <c r="C146" s="407"/>
      <c r="D146" s="407"/>
      <c r="E146" s="407"/>
      <c r="F146" s="407"/>
      <c r="G146" s="407"/>
      <c r="H146" s="407"/>
      <c r="I146" s="407"/>
      <c r="J146" s="407"/>
      <c r="N146" s="187"/>
      <c r="O146" s="187"/>
      <c r="P146" s="187"/>
      <c r="Q146" s="187"/>
      <c r="R146" s="187"/>
      <c r="S146" s="187"/>
      <c r="T146" s="187"/>
      <c r="U146" s="187"/>
      <c r="V146" s="187"/>
      <c r="W146" s="187"/>
      <c r="X146" s="407"/>
      <c r="Y146" s="407"/>
      <c r="Z146" s="407"/>
      <c r="AA146" s="407"/>
      <c r="AB146" s="407"/>
      <c r="AC146" s="407"/>
      <c r="AD146" s="407"/>
    </row>
    <row r="147" spans="2:30">
      <c r="B147" s="407"/>
      <c r="C147" s="407"/>
      <c r="D147" s="407"/>
      <c r="E147" s="407"/>
      <c r="F147" s="407"/>
      <c r="G147" s="407"/>
      <c r="H147" s="407"/>
      <c r="I147" s="407"/>
      <c r="J147" s="407"/>
      <c r="N147" s="187"/>
      <c r="O147" s="187"/>
      <c r="P147" s="187"/>
      <c r="Q147" s="187"/>
      <c r="R147" s="187"/>
      <c r="S147" s="187"/>
      <c r="T147" s="187"/>
      <c r="U147" s="187"/>
      <c r="V147" s="187"/>
      <c r="W147" s="187"/>
      <c r="X147" s="407"/>
      <c r="Y147" s="407"/>
      <c r="Z147" s="407"/>
      <c r="AA147" s="407"/>
      <c r="AB147" s="407"/>
      <c r="AC147" s="407"/>
      <c r="AD147" s="407"/>
    </row>
    <row r="148" spans="2:30">
      <c r="B148" s="407"/>
      <c r="C148" s="407"/>
      <c r="D148" s="407"/>
      <c r="E148" s="407"/>
      <c r="F148" s="407"/>
      <c r="G148" s="407"/>
      <c r="H148" s="407"/>
      <c r="I148" s="407"/>
      <c r="J148" s="407"/>
      <c r="N148" s="187"/>
      <c r="O148" s="187"/>
      <c r="P148" s="187"/>
      <c r="Q148" s="187"/>
      <c r="R148" s="187"/>
      <c r="S148" s="187"/>
      <c r="T148" s="187"/>
      <c r="U148" s="187"/>
      <c r="V148" s="187"/>
      <c r="W148" s="187"/>
      <c r="X148" s="407"/>
      <c r="Y148" s="407"/>
      <c r="Z148" s="407"/>
      <c r="AA148" s="407"/>
      <c r="AB148" s="407"/>
      <c r="AC148" s="407"/>
      <c r="AD148" s="407"/>
    </row>
    <row r="149" spans="2:30">
      <c r="B149" s="407"/>
      <c r="C149" s="407"/>
      <c r="D149" s="407"/>
      <c r="E149" s="407"/>
      <c r="F149" s="407"/>
      <c r="G149" s="407"/>
      <c r="H149" s="407"/>
      <c r="I149" s="407"/>
      <c r="J149" s="407"/>
      <c r="N149" s="187"/>
      <c r="O149" s="187"/>
      <c r="P149" s="187"/>
      <c r="Q149" s="187"/>
      <c r="R149" s="187"/>
      <c r="S149" s="187"/>
      <c r="T149" s="187"/>
      <c r="U149" s="187"/>
      <c r="V149" s="187"/>
      <c r="W149" s="187"/>
      <c r="X149" s="407"/>
      <c r="Y149" s="407"/>
      <c r="Z149" s="407"/>
      <c r="AA149" s="407"/>
      <c r="AB149" s="407"/>
      <c r="AC149" s="407"/>
      <c r="AD149" s="407"/>
    </row>
    <row r="150" spans="2:30">
      <c r="B150" s="407"/>
      <c r="C150" s="407"/>
      <c r="D150" s="407"/>
      <c r="E150" s="407"/>
      <c r="F150" s="407"/>
      <c r="G150" s="407"/>
      <c r="H150" s="407"/>
      <c r="I150" s="407"/>
      <c r="J150" s="407"/>
      <c r="N150" s="187"/>
      <c r="O150" s="187"/>
      <c r="P150" s="187"/>
      <c r="Q150" s="187"/>
      <c r="R150" s="187"/>
      <c r="S150" s="187"/>
      <c r="T150" s="187"/>
      <c r="U150" s="187"/>
      <c r="V150" s="187"/>
      <c r="W150" s="187"/>
      <c r="X150" s="407"/>
      <c r="Y150" s="407"/>
      <c r="Z150" s="407"/>
      <c r="AA150" s="407"/>
      <c r="AB150" s="407"/>
      <c r="AC150" s="407"/>
      <c r="AD150" s="407"/>
    </row>
    <row r="151" spans="2:30">
      <c r="B151" s="407"/>
      <c r="C151" s="407"/>
      <c r="D151" s="407"/>
      <c r="E151" s="407"/>
      <c r="F151" s="407"/>
      <c r="G151" s="407"/>
      <c r="H151" s="407"/>
      <c r="I151" s="407"/>
      <c r="J151" s="407"/>
      <c r="N151" s="187"/>
      <c r="O151" s="187"/>
      <c r="P151" s="187"/>
      <c r="Q151" s="187"/>
      <c r="R151" s="187"/>
      <c r="S151" s="187"/>
      <c r="T151" s="187"/>
      <c r="U151" s="187"/>
      <c r="V151" s="187"/>
      <c r="W151" s="187"/>
      <c r="X151" s="407"/>
      <c r="Y151" s="407"/>
      <c r="Z151" s="407"/>
      <c r="AA151" s="407"/>
      <c r="AB151" s="407"/>
      <c r="AC151" s="407"/>
      <c r="AD151" s="407"/>
    </row>
    <row r="152" spans="2:30">
      <c r="B152" s="407"/>
      <c r="C152" s="407"/>
      <c r="D152" s="407"/>
      <c r="E152" s="407"/>
      <c r="F152" s="407"/>
      <c r="G152" s="407"/>
      <c r="H152" s="407"/>
      <c r="I152" s="407"/>
      <c r="J152" s="407"/>
      <c r="N152" s="187"/>
      <c r="O152" s="187"/>
      <c r="P152" s="187"/>
      <c r="Q152" s="187"/>
      <c r="R152" s="187"/>
      <c r="S152" s="187"/>
      <c r="T152" s="187"/>
      <c r="U152" s="187"/>
      <c r="V152" s="187"/>
      <c r="W152" s="187"/>
      <c r="X152" s="407"/>
      <c r="Y152" s="407"/>
      <c r="Z152" s="407"/>
      <c r="AA152" s="407"/>
      <c r="AB152" s="407"/>
      <c r="AC152" s="407"/>
      <c r="AD152" s="407"/>
    </row>
    <row r="153" spans="2:30">
      <c r="B153" s="407"/>
      <c r="C153" s="407"/>
      <c r="D153" s="407"/>
      <c r="E153" s="407"/>
      <c r="F153" s="407"/>
      <c r="G153" s="407"/>
      <c r="H153" s="407"/>
      <c r="I153" s="407"/>
      <c r="J153" s="407"/>
      <c r="N153" s="187"/>
      <c r="O153" s="187"/>
      <c r="P153" s="187"/>
      <c r="Q153" s="187"/>
      <c r="R153" s="187"/>
      <c r="S153" s="187"/>
      <c r="T153" s="187"/>
      <c r="U153" s="187"/>
      <c r="V153" s="187"/>
      <c r="W153" s="187"/>
      <c r="X153" s="407"/>
      <c r="Y153" s="407"/>
      <c r="Z153" s="407"/>
      <c r="AA153" s="407"/>
      <c r="AB153" s="407"/>
      <c r="AC153" s="407"/>
      <c r="AD153" s="407"/>
    </row>
    <row r="154" spans="2:30">
      <c r="B154" s="407"/>
      <c r="C154" s="407"/>
      <c r="D154" s="407"/>
      <c r="E154" s="407"/>
      <c r="F154" s="407"/>
      <c r="G154" s="407"/>
      <c r="H154" s="407"/>
      <c r="I154" s="407"/>
      <c r="J154" s="407"/>
      <c r="N154" s="187"/>
      <c r="O154" s="187"/>
      <c r="P154" s="187"/>
      <c r="Q154" s="187"/>
      <c r="R154" s="187"/>
      <c r="S154" s="187"/>
      <c r="T154" s="187"/>
      <c r="U154" s="187"/>
      <c r="V154" s="187"/>
      <c r="W154" s="187"/>
      <c r="X154" s="407"/>
      <c r="Y154" s="407"/>
      <c r="Z154" s="407"/>
      <c r="AA154" s="407"/>
      <c r="AB154" s="407"/>
      <c r="AC154" s="407"/>
      <c r="AD154" s="407"/>
    </row>
    <row r="155" spans="2:30">
      <c r="B155" s="407"/>
      <c r="C155" s="407"/>
      <c r="D155" s="407"/>
      <c r="E155" s="407"/>
      <c r="F155" s="407"/>
      <c r="G155" s="407"/>
      <c r="H155" s="407"/>
      <c r="I155" s="407"/>
      <c r="J155" s="407"/>
      <c r="N155" s="187"/>
      <c r="O155" s="187"/>
      <c r="P155" s="187"/>
      <c r="Q155" s="187"/>
      <c r="R155" s="187"/>
      <c r="S155" s="187"/>
      <c r="T155" s="187"/>
      <c r="U155" s="187"/>
      <c r="V155" s="187"/>
      <c r="W155" s="187"/>
      <c r="X155" s="407"/>
      <c r="Y155" s="407"/>
      <c r="Z155" s="407"/>
      <c r="AA155" s="407"/>
      <c r="AB155" s="407"/>
      <c r="AC155" s="407"/>
      <c r="AD155" s="407"/>
    </row>
    <row r="156" spans="2:30">
      <c r="B156" s="407"/>
      <c r="C156" s="407"/>
      <c r="D156" s="407"/>
      <c r="E156" s="407"/>
      <c r="F156" s="407"/>
      <c r="G156" s="407"/>
      <c r="H156" s="407"/>
      <c r="I156" s="407"/>
      <c r="J156" s="407"/>
      <c r="N156" s="187"/>
      <c r="O156" s="187"/>
      <c r="P156" s="187"/>
      <c r="Q156" s="187"/>
      <c r="R156" s="187"/>
      <c r="S156" s="187"/>
      <c r="T156" s="187"/>
      <c r="U156" s="187"/>
      <c r="V156" s="187"/>
      <c r="W156" s="187"/>
      <c r="X156" s="407"/>
      <c r="Y156" s="407"/>
      <c r="Z156" s="407"/>
      <c r="AA156" s="407"/>
      <c r="AB156" s="407"/>
      <c r="AC156" s="407"/>
      <c r="AD156" s="407"/>
    </row>
    <row r="157" spans="2:30">
      <c r="B157" s="407"/>
      <c r="C157" s="407"/>
      <c r="D157" s="407"/>
      <c r="E157" s="407"/>
      <c r="F157" s="407"/>
      <c r="G157" s="407"/>
      <c r="H157" s="407"/>
      <c r="I157" s="407"/>
      <c r="J157" s="407"/>
      <c r="N157" s="187"/>
      <c r="O157" s="187"/>
      <c r="P157" s="187"/>
      <c r="Q157" s="187"/>
      <c r="R157" s="187"/>
      <c r="S157" s="187"/>
      <c r="T157" s="187"/>
      <c r="U157" s="187"/>
      <c r="V157" s="187"/>
      <c r="W157" s="187"/>
      <c r="X157" s="407"/>
      <c r="Y157" s="407"/>
      <c r="Z157" s="407"/>
      <c r="AA157" s="407"/>
      <c r="AB157" s="407"/>
      <c r="AC157" s="407"/>
      <c r="AD157" s="407"/>
    </row>
    <row r="158" spans="2:30">
      <c r="B158" s="407"/>
      <c r="C158" s="407"/>
      <c r="D158" s="407"/>
      <c r="E158" s="407"/>
      <c r="F158" s="407"/>
      <c r="G158" s="407"/>
      <c r="H158" s="407"/>
      <c r="I158" s="407"/>
      <c r="J158" s="407"/>
      <c r="N158" s="187"/>
      <c r="O158" s="187"/>
      <c r="P158" s="187"/>
      <c r="Q158" s="187"/>
      <c r="R158" s="187"/>
      <c r="S158" s="187"/>
      <c r="T158" s="187"/>
      <c r="U158" s="187"/>
      <c r="V158" s="187"/>
      <c r="W158" s="187"/>
      <c r="X158" s="407"/>
      <c r="Y158" s="407"/>
      <c r="Z158" s="407"/>
      <c r="AA158" s="407"/>
      <c r="AB158" s="407"/>
      <c r="AC158" s="407"/>
      <c r="AD158" s="407"/>
    </row>
    <row r="159" spans="2:30">
      <c r="B159" s="407"/>
      <c r="C159" s="407"/>
      <c r="D159" s="407"/>
      <c r="E159" s="407"/>
      <c r="F159" s="407"/>
      <c r="G159" s="407"/>
      <c r="H159" s="407"/>
      <c r="I159" s="407"/>
      <c r="J159" s="407"/>
      <c r="N159" s="187"/>
      <c r="O159" s="187"/>
      <c r="P159" s="187"/>
      <c r="Q159" s="187"/>
      <c r="R159" s="187"/>
      <c r="S159" s="187"/>
      <c r="T159" s="187"/>
      <c r="U159" s="187"/>
      <c r="V159" s="187"/>
      <c r="W159" s="187"/>
      <c r="X159" s="407"/>
      <c r="Y159" s="407"/>
      <c r="Z159" s="407"/>
      <c r="AA159" s="407"/>
      <c r="AB159" s="407"/>
      <c r="AC159" s="407"/>
      <c r="AD159" s="407"/>
    </row>
    <row r="160" spans="2:30">
      <c r="B160" s="407"/>
      <c r="C160" s="407"/>
      <c r="D160" s="407"/>
      <c r="E160" s="407"/>
      <c r="F160" s="407"/>
      <c r="G160" s="407"/>
      <c r="H160" s="407"/>
      <c r="I160" s="407"/>
      <c r="J160" s="407"/>
      <c r="N160" s="187"/>
      <c r="O160" s="187"/>
      <c r="P160" s="187"/>
      <c r="Q160" s="187"/>
      <c r="R160" s="187"/>
      <c r="S160" s="187"/>
      <c r="T160" s="187"/>
      <c r="U160" s="187"/>
      <c r="V160" s="187"/>
      <c r="W160" s="187"/>
      <c r="X160" s="407"/>
      <c r="Y160" s="407"/>
      <c r="Z160" s="407"/>
      <c r="AA160" s="407"/>
      <c r="AB160" s="407"/>
      <c r="AC160" s="407"/>
      <c r="AD160" s="407"/>
    </row>
    <row r="161" spans="2:30">
      <c r="B161" s="407"/>
      <c r="C161" s="407"/>
      <c r="D161" s="407"/>
      <c r="E161" s="407"/>
      <c r="F161" s="407"/>
      <c r="G161" s="407"/>
      <c r="H161" s="407"/>
      <c r="I161" s="407"/>
      <c r="J161" s="407"/>
      <c r="N161" s="187"/>
      <c r="O161" s="187"/>
      <c r="P161" s="187"/>
      <c r="Q161" s="187"/>
      <c r="R161" s="187"/>
      <c r="S161" s="187"/>
      <c r="T161" s="187"/>
      <c r="U161" s="187"/>
      <c r="V161" s="187"/>
      <c r="W161" s="187"/>
      <c r="X161" s="407"/>
      <c r="Y161" s="407"/>
      <c r="Z161" s="407"/>
      <c r="AA161" s="407"/>
      <c r="AB161" s="407"/>
      <c r="AC161" s="407"/>
      <c r="AD161" s="407"/>
    </row>
    <row r="162" spans="2:30">
      <c r="B162" s="407"/>
      <c r="C162" s="407"/>
      <c r="D162" s="407"/>
      <c r="E162" s="407"/>
      <c r="F162" s="407"/>
      <c r="G162" s="407"/>
      <c r="H162" s="407"/>
      <c r="I162" s="407"/>
      <c r="J162" s="407"/>
      <c r="N162" s="187"/>
      <c r="O162" s="187"/>
      <c r="P162" s="187"/>
      <c r="Q162" s="187"/>
      <c r="R162" s="187"/>
      <c r="S162" s="187"/>
      <c r="T162" s="187"/>
      <c r="U162" s="187"/>
      <c r="V162" s="187"/>
      <c r="W162" s="187"/>
      <c r="X162" s="407"/>
      <c r="Y162" s="407"/>
      <c r="Z162" s="407"/>
      <c r="AA162" s="407"/>
      <c r="AB162" s="407"/>
      <c r="AC162" s="407"/>
      <c r="AD162" s="407"/>
    </row>
    <row r="163" spans="2:30">
      <c r="B163" s="407"/>
      <c r="C163" s="407"/>
      <c r="D163" s="407"/>
      <c r="E163" s="407"/>
      <c r="F163" s="407"/>
      <c r="G163" s="407"/>
      <c r="H163" s="407"/>
      <c r="I163" s="407"/>
      <c r="J163" s="407"/>
      <c r="N163" s="187"/>
      <c r="O163" s="187"/>
      <c r="P163" s="187"/>
      <c r="Q163" s="187"/>
      <c r="R163" s="187"/>
      <c r="S163" s="187"/>
      <c r="T163" s="187"/>
      <c r="U163" s="187"/>
      <c r="V163" s="187"/>
      <c r="W163" s="187"/>
      <c r="X163" s="407"/>
      <c r="Y163" s="407"/>
      <c r="Z163" s="407"/>
      <c r="AA163" s="407"/>
      <c r="AB163" s="407"/>
      <c r="AC163" s="407"/>
      <c r="AD163" s="407"/>
    </row>
    <row r="164" spans="2:30">
      <c r="B164" s="407"/>
      <c r="C164" s="407"/>
      <c r="D164" s="407"/>
      <c r="E164" s="407"/>
      <c r="F164" s="407"/>
      <c r="G164" s="407"/>
      <c r="H164" s="407"/>
      <c r="I164" s="407"/>
      <c r="J164" s="407"/>
      <c r="N164" s="187"/>
      <c r="O164" s="187"/>
      <c r="P164" s="187"/>
      <c r="Q164" s="187"/>
      <c r="R164" s="187"/>
      <c r="S164" s="187"/>
      <c r="T164" s="187"/>
      <c r="U164" s="187"/>
      <c r="V164" s="187"/>
      <c r="W164" s="187"/>
      <c r="X164" s="407"/>
      <c r="Y164" s="407"/>
      <c r="Z164" s="407"/>
      <c r="AA164" s="407"/>
      <c r="AB164" s="407"/>
      <c r="AC164" s="407"/>
      <c r="AD164" s="407"/>
    </row>
    <row r="165" spans="2:30">
      <c r="B165" s="407"/>
      <c r="C165" s="407"/>
      <c r="D165" s="407"/>
      <c r="E165" s="407"/>
      <c r="F165" s="407"/>
      <c r="G165" s="407"/>
      <c r="H165" s="407"/>
      <c r="I165" s="407"/>
      <c r="J165" s="407"/>
    </row>
  </sheetData>
  <mergeCells count="13">
    <mergeCell ref="B35:J35"/>
    <mergeCell ref="B2:J4"/>
    <mergeCell ref="O11:V11"/>
    <mergeCell ref="O12:V12"/>
    <mergeCell ref="N7:W7"/>
    <mergeCell ref="O10:V10"/>
    <mergeCell ref="E37:G37"/>
    <mergeCell ref="H37:J37"/>
    <mergeCell ref="B37:D37"/>
    <mergeCell ref="B40:J46"/>
    <mergeCell ref="H36:J36"/>
    <mergeCell ref="B36:D36"/>
    <mergeCell ref="E36:G36"/>
  </mergeCells>
  <conditionalFormatting sqref="B2 K2:BE3">
    <cfRule type="cellIs" dxfId="2349" priority="1" operator="equal">
      <formula>"XXX"</formula>
    </cfRule>
  </conditionalFormatting>
  <printOptions horizontalCentered="1"/>
  <pageMargins left="0.7" right="0.7" top="0.25" bottom="0.75" header="0.3" footer="0.3"/>
  <pageSetup orientation="landscape" r:id="rId1"/>
  <headerFooter scaleWithDoc="0">
    <oddFooter>&amp;R&amp;F | &amp;A
Printed &amp;D @ &amp;T
&amp;P</oddFooter>
  </headerFooter>
  <rowBreaks count="1" manualBreakCount="1">
    <brk id="32" max="16383" man="1"/>
  </rowBreaks>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tabColor rgb="FF002060"/>
  </sheetPr>
  <dimension ref="A1:CC122"/>
  <sheetViews>
    <sheetView showGridLines="0" topLeftCell="A28" zoomScale="85" zoomScaleNormal="85" workbookViewId="0">
      <selection activeCell="BO35" sqref="BO35"/>
    </sheetView>
  </sheetViews>
  <sheetFormatPr defaultColWidth="3.28515625" defaultRowHeight="15" customHeight="1"/>
  <cols>
    <col min="1" max="1" width="3.28515625" style="6"/>
    <col min="2" max="2" width="5.140625" style="37" bestFit="1" customWidth="1"/>
    <col min="3" max="26" width="3.28515625" style="37"/>
    <col min="27" max="27" width="3.5703125" style="37" customWidth="1"/>
    <col min="28" max="28" width="3.28515625" style="37" customWidth="1"/>
    <col min="29" max="42" width="3.28515625" style="37"/>
    <col min="43" max="43" width="4.85546875" style="37" customWidth="1"/>
    <col min="44" max="57" width="3.28515625" style="37"/>
    <col min="58" max="59" width="3.28515625" style="6"/>
    <col min="60" max="60" width="4.7109375" style="6" bestFit="1" customWidth="1"/>
    <col min="61" max="61" width="18.7109375" style="270" customWidth="1"/>
    <col min="62" max="68" width="12.7109375" style="277" customWidth="1"/>
    <col min="69" max="69" width="15" style="277" customWidth="1"/>
    <col min="70" max="72" width="12.7109375" style="277" customWidth="1"/>
    <col min="73" max="73" width="12.7109375" style="270" customWidth="1"/>
    <col min="74" max="74" width="13.7109375" style="270" bestFit="1" customWidth="1"/>
    <col min="75" max="75" width="15.7109375" style="37" bestFit="1" customWidth="1"/>
    <col min="76" max="76" width="8.5703125" style="37" bestFit="1" customWidth="1"/>
    <col min="77" max="77" width="11.7109375" style="37" bestFit="1" customWidth="1"/>
    <col min="78" max="78" width="8.5703125" style="37" bestFit="1" customWidth="1"/>
    <col min="79" max="79" width="11.28515625" style="37" bestFit="1" customWidth="1"/>
    <col min="80" max="80" width="4.7109375" style="37" bestFit="1" customWidth="1"/>
    <col min="81" max="81" width="5.28515625" style="37" bestFit="1" customWidth="1"/>
    <col min="82" max="82" width="4.7109375" style="6" bestFit="1" customWidth="1"/>
    <col min="83" max="83" width="5.28515625" style="6" bestFit="1" customWidth="1"/>
    <col min="84" max="16384" width="3.28515625" style="6"/>
  </cols>
  <sheetData>
    <row r="1" spans="2:76" ht="15" customHeight="1">
      <c r="BI1" s="1115" t="s">
        <v>356</v>
      </c>
      <c r="BJ1" s="1115"/>
      <c r="BK1" s="1115"/>
      <c r="BL1" s="1115"/>
      <c r="BM1" s="1115"/>
      <c r="BN1" s="1115"/>
      <c r="BO1" s="1115"/>
      <c r="BP1" s="1115"/>
      <c r="BQ1" s="1115"/>
      <c r="BR1" s="1115"/>
      <c r="BS1" s="1115"/>
      <c r="BT1" s="1115"/>
      <c r="BU1" s="1115"/>
    </row>
    <row r="2" spans="2:76" ht="15" customHeight="1">
      <c r="B2" s="1146" t="s">
        <v>180</v>
      </c>
      <c r="C2" s="1146"/>
      <c r="D2" s="1146"/>
      <c r="E2" s="1146"/>
      <c r="F2" s="1146"/>
      <c r="G2" s="1146"/>
      <c r="H2" s="1146"/>
      <c r="I2" s="1146"/>
      <c r="J2" s="1146"/>
      <c r="K2" s="1146"/>
      <c r="L2" s="1146"/>
      <c r="M2" s="1146"/>
      <c r="N2" s="1146"/>
      <c r="O2" s="1146"/>
      <c r="P2" s="1146"/>
      <c r="Q2" s="1146"/>
      <c r="R2" s="1146"/>
      <c r="S2" s="1146"/>
      <c r="T2" s="1146"/>
      <c r="U2" s="1146"/>
      <c r="V2" s="1146"/>
      <c r="W2" s="1146"/>
      <c r="X2" s="1146"/>
      <c r="Y2" s="1146"/>
      <c r="Z2" s="1146"/>
      <c r="AA2" s="1146"/>
      <c r="AB2" s="1146"/>
      <c r="AC2" s="1146"/>
      <c r="AD2" s="1146"/>
      <c r="AE2" s="1146"/>
      <c r="AF2" s="1146"/>
      <c r="AG2" s="1146"/>
      <c r="AH2" s="1146"/>
      <c r="AI2" s="1146"/>
      <c r="AJ2" s="1146"/>
      <c r="AK2" s="1146"/>
      <c r="AL2" s="1146"/>
      <c r="AM2" s="1146"/>
      <c r="AN2" s="1146"/>
      <c r="AO2" s="1146"/>
      <c r="AP2" s="1146"/>
      <c r="AQ2" s="1146"/>
      <c r="AR2" s="1146"/>
      <c r="AS2" s="1146"/>
      <c r="AT2" s="1146"/>
      <c r="AU2" s="1146"/>
      <c r="AV2" s="1146"/>
      <c r="AW2" s="1146"/>
      <c r="AX2" s="1146"/>
      <c r="AY2" s="1146"/>
      <c r="AZ2" s="1146"/>
      <c r="BA2" s="1146"/>
      <c r="BB2" s="1146"/>
      <c r="BC2" s="1146"/>
      <c r="BD2" s="1146"/>
      <c r="BE2" s="1146"/>
      <c r="BI2" s="271" t="s">
        <v>38</v>
      </c>
    </row>
    <row r="3" spans="2:76" ht="15" customHeight="1">
      <c r="B3" s="1146"/>
      <c r="C3" s="1146"/>
      <c r="D3" s="1146"/>
      <c r="E3" s="1146"/>
      <c r="F3" s="1146"/>
      <c r="G3" s="1146"/>
      <c r="H3" s="1146"/>
      <c r="I3" s="1146"/>
      <c r="J3" s="1146"/>
      <c r="K3" s="1146"/>
      <c r="L3" s="1146"/>
      <c r="M3" s="1146"/>
      <c r="N3" s="1146"/>
      <c r="O3" s="1146"/>
      <c r="P3" s="1146"/>
      <c r="Q3" s="1146"/>
      <c r="R3" s="1146"/>
      <c r="S3" s="1146"/>
      <c r="T3" s="1146"/>
      <c r="U3" s="1146"/>
      <c r="V3" s="1146"/>
      <c r="W3" s="1146"/>
      <c r="X3" s="1146"/>
      <c r="Y3" s="1146"/>
      <c r="Z3" s="1146"/>
      <c r="AA3" s="1146"/>
      <c r="AB3" s="1146"/>
      <c r="AC3" s="1146"/>
      <c r="AD3" s="1146"/>
      <c r="AE3" s="1146"/>
      <c r="AF3" s="1146"/>
      <c r="AG3" s="1146"/>
      <c r="AH3" s="1146"/>
      <c r="AI3" s="1146"/>
      <c r="AJ3" s="1146"/>
      <c r="AK3" s="1146"/>
      <c r="AL3" s="1146"/>
      <c r="AM3" s="1146"/>
      <c r="AN3" s="1146"/>
      <c r="AO3" s="1146"/>
      <c r="AP3" s="1146"/>
      <c r="AQ3" s="1146"/>
      <c r="AR3" s="1146"/>
      <c r="AS3" s="1146"/>
      <c r="AT3" s="1146"/>
      <c r="AU3" s="1146"/>
      <c r="AV3" s="1146"/>
      <c r="AW3" s="1146"/>
      <c r="AX3" s="1146"/>
      <c r="AY3" s="1146"/>
      <c r="AZ3" s="1146"/>
      <c r="BA3" s="1146"/>
      <c r="BB3" s="1146"/>
      <c r="BC3" s="1146"/>
      <c r="BD3" s="1146"/>
      <c r="BE3" s="1146"/>
      <c r="BI3" s="272" t="s">
        <v>261</v>
      </c>
      <c r="BT3" s="270"/>
      <c r="BV3" s="37"/>
    </row>
    <row r="4" spans="2:76" ht="15" customHeight="1">
      <c r="B4" s="1147"/>
      <c r="C4" s="1147"/>
      <c r="D4" s="1147"/>
      <c r="E4" s="1147"/>
      <c r="F4" s="1147"/>
      <c r="G4" s="1147"/>
      <c r="H4" s="1147"/>
      <c r="I4" s="1147"/>
      <c r="J4" s="1147"/>
      <c r="K4" s="1147"/>
      <c r="L4" s="1147"/>
      <c r="M4" s="1147"/>
      <c r="N4" s="1147"/>
      <c r="O4" s="1147"/>
      <c r="P4" s="1147"/>
      <c r="Q4" s="1147"/>
      <c r="R4" s="1147"/>
      <c r="S4" s="1147"/>
      <c r="T4" s="1147"/>
      <c r="U4" s="1147"/>
      <c r="V4" s="1147"/>
      <c r="W4" s="1147"/>
      <c r="X4" s="1147"/>
      <c r="Y4" s="1147"/>
      <c r="Z4" s="1147"/>
      <c r="AA4" s="1147"/>
      <c r="AB4" s="1147"/>
      <c r="AC4" s="1147"/>
      <c r="AD4" s="1147"/>
      <c r="AE4" s="1147"/>
      <c r="AF4" s="1147"/>
      <c r="AG4" s="1147"/>
      <c r="AH4" s="1147"/>
      <c r="AI4" s="1147"/>
      <c r="AJ4" s="1147"/>
      <c r="AK4" s="1147"/>
      <c r="AL4" s="1147"/>
      <c r="AM4" s="1147"/>
      <c r="AN4" s="1147"/>
      <c r="AO4" s="1147"/>
      <c r="AP4" s="1147"/>
      <c r="AQ4" s="1147"/>
      <c r="AR4" s="1147"/>
      <c r="AS4" s="1147"/>
      <c r="AT4" s="1147"/>
      <c r="AU4" s="1147"/>
      <c r="AV4" s="1147"/>
      <c r="AW4" s="1147"/>
      <c r="AX4" s="1147"/>
      <c r="AY4" s="1147"/>
      <c r="AZ4" s="1147"/>
      <c r="BA4" s="1147"/>
      <c r="BB4" s="1147"/>
      <c r="BC4" s="1147"/>
      <c r="BD4" s="1147"/>
      <c r="BE4" s="1147"/>
      <c r="BI4" s="273" t="s">
        <v>23</v>
      </c>
      <c r="BJ4" s="273" t="s">
        <v>36</v>
      </c>
      <c r="BK4" s="273" t="s">
        <v>698</v>
      </c>
      <c r="BL4" s="273" t="s">
        <v>699</v>
      </c>
      <c r="BM4" s="273" t="s">
        <v>700</v>
      </c>
      <c r="BN4" s="273" t="s">
        <v>701</v>
      </c>
      <c r="BO4" s="273" t="s">
        <v>702</v>
      </c>
      <c r="BP4" s="273" t="s">
        <v>703</v>
      </c>
      <c r="BQ4" s="273" t="s">
        <v>704</v>
      </c>
      <c r="BR4" s="273" t="s">
        <v>705</v>
      </c>
      <c r="BS4" s="273" t="s">
        <v>706</v>
      </c>
      <c r="BT4" s="273" t="s">
        <v>707</v>
      </c>
      <c r="BU4" s="273" t="s">
        <v>708</v>
      </c>
      <c r="BV4" s="273" t="s">
        <v>709</v>
      </c>
      <c r="BX4" s="274" t="s">
        <v>262</v>
      </c>
    </row>
    <row r="5" spans="2:76" ht="15" customHeight="1">
      <c r="B5" s="1130" t="str">
        <f>AR!BI1</f>
        <v xml:space="preserve">Accounts Receivable - Mitigate the Risk </v>
      </c>
      <c r="C5" s="1131"/>
      <c r="D5" s="1131"/>
      <c r="E5" s="1131"/>
      <c r="F5" s="1131"/>
      <c r="G5" s="1131"/>
      <c r="H5" s="1131"/>
      <c r="I5" s="1131"/>
      <c r="J5" s="1131"/>
      <c r="K5" s="1131"/>
      <c r="L5" s="1131"/>
      <c r="M5" s="1131"/>
      <c r="N5" s="1131"/>
      <c r="O5" s="1131"/>
      <c r="P5" s="1131"/>
      <c r="Q5" s="1131"/>
      <c r="R5" s="1131"/>
      <c r="S5" s="1131"/>
      <c r="T5" s="1131"/>
      <c r="U5" s="1131"/>
      <c r="V5" s="1131"/>
      <c r="W5" s="1131"/>
      <c r="X5" s="1131"/>
      <c r="Y5" s="1131"/>
      <c r="Z5" s="1131"/>
      <c r="AA5" s="1131"/>
      <c r="AB5" s="1131"/>
      <c r="AC5" s="1131"/>
      <c r="AD5" s="1131"/>
      <c r="AE5" s="1131"/>
      <c r="AF5" s="1131"/>
      <c r="AG5" s="1131"/>
      <c r="AH5" s="1131"/>
      <c r="AI5" s="1131"/>
      <c r="AJ5" s="1131"/>
      <c r="AK5" s="1131"/>
      <c r="AL5" s="1131"/>
      <c r="AM5" s="1131"/>
      <c r="AN5" s="1131"/>
      <c r="AO5" s="1131"/>
      <c r="AP5" s="1131"/>
      <c r="AQ5" s="1131"/>
      <c r="AR5" s="1131"/>
      <c r="AS5" s="658"/>
      <c r="AT5" s="658"/>
      <c r="AU5" s="658"/>
      <c r="AV5" s="658"/>
      <c r="AW5" s="658"/>
      <c r="AX5" s="1133"/>
      <c r="AY5" s="1133"/>
      <c r="AZ5" s="658"/>
      <c r="BA5" s="658"/>
      <c r="BB5" s="658"/>
      <c r="BC5" s="658"/>
      <c r="BD5" s="658"/>
      <c r="BE5" s="659" t="str">
        <f>Cover!M34</f>
        <v>OCT FY-24</v>
      </c>
      <c r="BI5" s="273" t="s">
        <v>37</v>
      </c>
      <c r="BJ5" s="273">
        <v>-1</v>
      </c>
      <c r="BK5" s="273">
        <v>1</v>
      </c>
      <c r="BL5" s="273">
        <v>2</v>
      </c>
      <c r="BM5" s="273">
        <v>3</v>
      </c>
      <c r="BN5" s="273">
        <v>4</v>
      </c>
      <c r="BO5" s="273">
        <v>5</v>
      </c>
      <c r="BP5" s="273">
        <v>6</v>
      </c>
      <c r="BQ5" s="273">
        <v>7</v>
      </c>
      <c r="BR5" s="273">
        <v>8</v>
      </c>
      <c r="BS5" s="273">
        <v>9</v>
      </c>
      <c r="BT5" s="273">
        <v>10</v>
      </c>
      <c r="BU5" s="273">
        <v>11</v>
      </c>
      <c r="BV5" s="273">
        <v>12</v>
      </c>
      <c r="BX5" s="271">
        <f>Cover!M36</f>
        <v>1</v>
      </c>
    </row>
    <row r="6" spans="2:76" ht="15" customHeight="1">
      <c r="BI6" s="271" t="s">
        <v>263</v>
      </c>
      <c r="BJ6" s="632">
        <v>15</v>
      </c>
      <c r="BK6" s="633">
        <f>BJ14-BJ13</f>
        <v>15</v>
      </c>
      <c r="BL6" s="633">
        <f>BK14-BK13</f>
        <v>17</v>
      </c>
      <c r="BM6" s="633">
        <f>BL14-BL13</f>
        <v>17</v>
      </c>
      <c r="BN6" s="633">
        <f>BM14-BM13</f>
        <v>17</v>
      </c>
      <c r="BO6" s="633">
        <f>BN14-BN13</f>
        <v>17</v>
      </c>
      <c r="BP6" s="633">
        <f t="shared" ref="BP6:BV6" si="0">BO14-BO13</f>
        <v>17</v>
      </c>
      <c r="BQ6" s="633">
        <f t="shared" si="0"/>
        <v>17</v>
      </c>
      <c r="BR6" s="633">
        <f t="shared" si="0"/>
        <v>17</v>
      </c>
      <c r="BS6" s="633">
        <f t="shared" si="0"/>
        <v>17</v>
      </c>
      <c r="BT6" s="633">
        <f t="shared" si="0"/>
        <v>17</v>
      </c>
      <c r="BU6" s="633">
        <f t="shared" si="0"/>
        <v>17</v>
      </c>
      <c r="BV6" s="633">
        <f t="shared" si="0"/>
        <v>17</v>
      </c>
      <c r="BX6" s="271"/>
    </row>
    <row r="7" spans="2:76" ht="15" customHeight="1">
      <c r="B7" s="531" t="s">
        <v>357</v>
      </c>
      <c r="C7" s="532"/>
      <c r="D7" s="532"/>
      <c r="E7" s="532"/>
      <c r="F7" s="532"/>
      <c r="G7" s="532"/>
      <c r="H7" s="532"/>
      <c r="I7" s="532"/>
      <c r="J7" s="532"/>
      <c r="K7" s="532"/>
      <c r="L7" s="532"/>
      <c r="M7" s="532"/>
      <c r="N7" s="532"/>
      <c r="O7" s="532"/>
      <c r="P7" s="532"/>
      <c r="Q7" s="532"/>
      <c r="R7" s="532"/>
      <c r="S7" s="532"/>
      <c r="T7" s="532"/>
      <c r="U7" s="532"/>
      <c r="V7" s="532"/>
      <c r="W7" s="532"/>
      <c r="X7" s="532"/>
      <c r="Y7" s="532"/>
      <c r="Z7" s="532"/>
      <c r="AA7" s="532"/>
      <c r="AB7" s="532"/>
      <c r="AE7" s="531" t="s">
        <v>265</v>
      </c>
      <c r="AF7" s="532"/>
      <c r="AG7" s="532"/>
      <c r="AH7" s="532"/>
      <c r="AI7" s="532"/>
      <c r="AJ7" s="532"/>
      <c r="AK7" s="532"/>
      <c r="AL7" s="532"/>
      <c r="AM7" s="532"/>
      <c r="AN7" s="532"/>
      <c r="AO7" s="532"/>
      <c r="AP7" s="532"/>
      <c r="AQ7" s="532"/>
      <c r="AR7" s="532"/>
      <c r="AS7" s="532"/>
      <c r="AT7" s="532"/>
      <c r="AU7" s="532"/>
      <c r="AV7" s="532"/>
      <c r="AW7" s="532"/>
      <c r="AX7" s="532"/>
      <c r="AY7" s="532"/>
      <c r="AZ7" s="532"/>
      <c r="BA7" s="532"/>
      <c r="BB7" s="532"/>
      <c r="BC7" s="532"/>
      <c r="BD7" s="532"/>
      <c r="BE7" s="532"/>
      <c r="BI7" s="271" t="s">
        <v>266</v>
      </c>
      <c r="BJ7" s="880">
        <v>-1</v>
      </c>
      <c r="BK7" s="880"/>
      <c r="BL7" s="632"/>
      <c r="BM7" s="632"/>
      <c r="BN7" s="660"/>
      <c r="BO7" s="632"/>
      <c r="BP7" s="632"/>
      <c r="BQ7" s="632"/>
      <c r="BR7" s="632"/>
      <c r="BS7" s="632"/>
      <c r="BT7" s="880"/>
      <c r="BU7" s="880"/>
      <c r="BV7" s="880"/>
      <c r="BX7" s="271"/>
    </row>
    <row r="8" spans="2:76" ht="15" customHeight="1">
      <c r="B8" s="1137" t="s">
        <v>358</v>
      </c>
      <c r="C8" s="1138"/>
      <c r="D8" s="1138"/>
      <c r="E8" s="1138"/>
      <c r="F8" s="1138"/>
      <c r="G8" s="1138"/>
      <c r="H8" s="1138"/>
      <c r="I8" s="1138"/>
      <c r="J8" s="1138"/>
      <c r="K8" s="1138"/>
      <c r="L8" s="1138"/>
      <c r="M8" s="1138"/>
      <c r="N8" s="1138"/>
      <c r="O8" s="1138"/>
      <c r="P8" s="1138"/>
      <c r="Q8" s="1138"/>
      <c r="R8" s="1138"/>
      <c r="S8" s="1138"/>
      <c r="T8" s="1138"/>
      <c r="U8" s="1138"/>
      <c r="V8" s="1138"/>
      <c r="W8" s="1138"/>
      <c r="X8" s="1138"/>
      <c r="Y8" s="1138"/>
      <c r="Z8" s="1138"/>
      <c r="AA8" s="1138"/>
      <c r="AB8" s="1139"/>
      <c r="AE8" s="1137" t="s">
        <v>359</v>
      </c>
      <c r="AF8" s="1138"/>
      <c r="AG8" s="1138"/>
      <c r="AH8" s="1138"/>
      <c r="AI8" s="1138"/>
      <c r="AJ8" s="1138"/>
      <c r="AK8" s="1138"/>
      <c r="AL8" s="1138"/>
      <c r="AM8" s="1138"/>
      <c r="AN8" s="1138"/>
      <c r="AO8" s="1138"/>
      <c r="AP8" s="1138"/>
      <c r="AQ8" s="1138"/>
      <c r="AR8" s="1138"/>
      <c r="AS8" s="1138"/>
      <c r="AT8" s="1138"/>
      <c r="AU8" s="1138"/>
      <c r="AV8" s="1138"/>
      <c r="AW8" s="1138"/>
      <c r="AX8" s="1138"/>
      <c r="AY8" s="1138"/>
      <c r="AZ8" s="1138"/>
      <c r="BA8" s="1138"/>
      <c r="BB8" s="1138"/>
      <c r="BC8" s="1138"/>
      <c r="BD8" s="1138"/>
      <c r="BE8" s="1139"/>
      <c r="BI8" s="271" t="s">
        <v>269</v>
      </c>
      <c r="BJ8" s="880">
        <v>1</v>
      </c>
      <c r="BK8" s="880">
        <v>2</v>
      </c>
      <c r="BL8" s="632"/>
      <c r="BM8" s="632"/>
      <c r="BN8" s="660"/>
      <c r="BO8" s="632"/>
      <c r="BP8" s="632"/>
      <c r="BQ8" s="632"/>
      <c r="BR8" s="632"/>
      <c r="BS8" s="632"/>
      <c r="BT8" s="880"/>
      <c r="BU8" s="880"/>
      <c r="BV8" s="880"/>
      <c r="BX8" s="271"/>
    </row>
    <row r="9" spans="2:76" ht="15" customHeight="1">
      <c r="B9" s="1140"/>
      <c r="C9" s="1141"/>
      <c r="D9" s="1141"/>
      <c r="E9" s="1141"/>
      <c r="F9" s="1141"/>
      <c r="G9" s="1141"/>
      <c r="H9" s="1141"/>
      <c r="I9" s="1141"/>
      <c r="J9" s="1141"/>
      <c r="K9" s="1141"/>
      <c r="L9" s="1141"/>
      <c r="M9" s="1141"/>
      <c r="N9" s="1141"/>
      <c r="O9" s="1141"/>
      <c r="P9" s="1141"/>
      <c r="Q9" s="1141"/>
      <c r="R9" s="1141"/>
      <c r="S9" s="1141"/>
      <c r="T9" s="1141"/>
      <c r="U9" s="1141"/>
      <c r="V9" s="1141"/>
      <c r="W9" s="1141"/>
      <c r="X9" s="1141"/>
      <c r="Y9" s="1141"/>
      <c r="Z9" s="1141"/>
      <c r="AA9" s="1141"/>
      <c r="AB9" s="1142"/>
      <c r="AE9" s="1140"/>
      <c r="AF9" s="1141"/>
      <c r="AG9" s="1141"/>
      <c r="AH9" s="1141"/>
      <c r="AI9" s="1141"/>
      <c r="AJ9" s="1141"/>
      <c r="AK9" s="1141"/>
      <c r="AL9" s="1141"/>
      <c r="AM9" s="1141"/>
      <c r="AN9" s="1141"/>
      <c r="AO9" s="1141"/>
      <c r="AP9" s="1141"/>
      <c r="AQ9" s="1141"/>
      <c r="AR9" s="1141"/>
      <c r="AS9" s="1141"/>
      <c r="AT9" s="1141"/>
      <c r="AU9" s="1141"/>
      <c r="AV9" s="1141"/>
      <c r="AW9" s="1141"/>
      <c r="AX9" s="1141"/>
      <c r="AY9" s="1141"/>
      <c r="AZ9" s="1141"/>
      <c r="BA9" s="1141"/>
      <c r="BB9" s="1141"/>
      <c r="BC9" s="1141"/>
      <c r="BD9" s="1141"/>
      <c r="BE9" s="1142"/>
      <c r="BI9" s="271" t="s">
        <v>270</v>
      </c>
      <c r="BJ9" s="880"/>
      <c r="BK9" s="880"/>
      <c r="BL9" s="632"/>
      <c r="BM9" s="632"/>
      <c r="BN9" s="660"/>
      <c r="BO9" s="632"/>
      <c r="BP9" s="632"/>
      <c r="BQ9" s="632"/>
      <c r="BR9" s="632"/>
      <c r="BS9" s="632"/>
      <c r="BT9" s="880"/>
      <c r="BU9" s="880"/>
      <c r="BV9" s="880"/>
      <c r="BX9" s="271"/>
    </row>
    <row r="10" spans="2:76" ht="15" customHeight="1">
      <c r="B10" s="1140"/>
      <c r="C10" s="1141"/>
      <c r="D10" s="1141"/>
      <c r="E10" s="1141"/>
      <c r="F10" s="1141"/>
      <c r="G10" s="1141"/>
      <c r="H10" s="1141"/>
      <c r="I10" s="1141"/>
      <c r="J10" s="1141"/>
      <c r="K10" s="1141"/>
      <c r="L10" s="1141"/>
      <c r="M10" s="1141"/>
      <c r="N10" s="1141"/>
      <c r="O10" s="1141"/>
      <c r="P10" s="1141"/>
      <c r="Q10" s="1141"/>
      <c r="R10" s="1141"/>
      <c r="S10" s="1141"/>
      <c r="T10" s="1141"/>
      <c r="U10" s="1141"/>
      <c r="V10" s="1141"/>
      <c r="W10" s="1141"/>
      <c r="X10" s="1141"/>
      <c r="Y10" s="1141"/>
      <c r="Z10" s="1141"/>
      <c r="AA10" s="1141"/>
      <c r="AB10" s="1142"/>
      <c r="AE10" s="1140"/>
      <c r="AF10" s="1141"/>
      <c r="AG10" s="1141"/>
      <c r="AH10" s="1141"/>
      <c r="AI10" s="1141"/>
      <c r="AJ10" s="1141"/>
      <c r="AK10" s="1141"/>
      <c r="AL10" s="1141"/>
      <c r="AM10" s="1141"/>
      <c r="AN10" s="1141"/>
      <c r="AO10" s="1141"/>
      <c r="AP10" s="1141"/>
      <c r="AQ10" s="1141"/>
      <c r="AR10" s="1141"/>
      <c r="AS10" s="1141"/>
      <c r="AT10" s="1141"/>
      <c r="AU10" s="1141"/>
      <c r="AV10" s="1141"/>
      <c r="AW10" s="1141"/>
      <c r="AX10" s="1141"/>
      <c r="AY10" s="1141"/>
      <c r="AZ10" s="1141"/>
      <c r="BA10" s="1141"/>
      <c r="BB10" s="1141"/>
      <c r="BC10" s="1141"/>
      <c r="BD10" s="1141"/>
      <c r="BE10" s="1142"/>
      <c r="BI10" s="271" t="s">
        <v>271</v>
      </c>
      <c r="BJ10" s="880"/>
      <c r="BK10" s="880"/>
      <c r="BL10" s="632"/>
      <c r="BM10" s="632"/>
      <c r="BN10" s="660"/>
      <c r="BO10" s="632"/>
      <c r="BP10" s="632"/>
      <c r="BQ10" s="632"/>
      <c r="BR10" s="632"/>
      <c r="BS10" s="632"/>
      <c r="BT10" s="880"/>
      <c r="BU10" s="880"/>
      <c r="BV10" s="880"/>
      <c r="BX10" s="271"/>
    </row>
    <row r="11" spans="2:76" ht="15" customHeight="1">
      <c r="B11" s="1143"/>
      <c r="C11" s="1144"/>
      <c r="D11" s="1144"/>
      <c r="E11" s="1144"/>
      <c r="F11" s="1144"/>
      <c r="G11" s="1144"/>
      <c r="H11" s="1144"/>
      <c r="I11" s="1144"/>
      <c r="J11" s="1144"/>
      <c r="K11" s="1144"/>
      <c r="L11" s="1144"/>
      <c r="M11" s="1144"/>
      <c r="N11" s="1144"/>
      <c r="O11" s="1144"/>
      <c r="P11" s="1144"/>
      <c r="Q11" s="1144"/>
      <c r="R11" s="1144"/>
      <c r="S11" s="1144"/>
      <c r="T11" s="1144"/>
      <c r="U11" s="1144"/>
      <c r="V11" s="1144"/>
      <c r="W11" s="1144"/>
      <c r="X11" s="1144"/>
      <c r="Y11" s="1144"/>
      <c r="Z11" s="1144"/>
      <c r="AA11" s="1144"/>
      <c r="AB11" s="1145"/>
      <c r="AE11" s="1143"/>
      <c r="AF11" s="1144"/>
      <c r="AG11" s="1144"/>
      <c r="AH11" s="1144"/>
      <c r="AI11" s="1144"/>
      <c r="AJ11" s="1144"/>
      <c r="AK11" s="1144"/>
      <c r="AL11" s="1144"/>
      <c r="AM11" s="1144"/>
      <c r="AN11" s="1144"/>
      <c r="AO11" s="1144"/>
      <c r="AP11" s="1144"/>
      <c r="AQ11" s="1144"/>
      <c r="AR11" s="1144"/>
      <c r="AS11" s="1144"/>
      <c r="AT11" s="1144"/>
      <c r="AU11" s="1144"/>
      <c r="AV11" s="1144"/>
      <c r="AW11" s="1144"/>
      <c r="AX11" s="1144"/>
      <c r="AY11" s="1144"/>
      <c r="AZ11" s="1144"/>
      <c r="BA11" s="1144"/>
      <c r="BB11" s="1144"/>
      <c r="BC11" s="1144"/>
      <c r="BD11" s="1144"/>
      <c r="BE11" s="1145"/>
      <c r="BI11" s="271" t="s">
        <v>272</v>
      </c>
      <c r="BJ11" s="880"/>
      <c r="BK11" s="880"/>
      <c r="BL11" s="632"/>
      <c r="BM11" s="632"/>
      <c r="BN11" s="660"/>
      <c r="BO11" s="632"/>
      <c r="BP11" s="632"/>
      <c r="BQ11" s="632"/>
      <c r="BR11" s="632"/>
      <c r="BS11" s="632"/>
      <c r="BT11" s="880"/>
      <c r="BU11" s="880"/>
      <c r="BV11" s="880"/>
      <c r="BX11" s="271"/>
    </row>
    <row r="12" spans="2:76" ht="15" customHeight="1">
      <c r="BI12" s="271" t="s">
        <v>273</v>
      </c>
      <c r="BJ12" s="880"/>
      <c r="BK12" s="880"/>
      <c r="BL12" s="632"/>
      <c r="BM12" s="632"/>
      <c r="BN12" s="632"/>
      <c r="BO12" s="632"/>
      <c r="BP12" s="632"/>
      <c r="BQ12" s="632"/>
      <c r="BR12" s="632"/>
      <c r="BS12" s="632"/>
      <c r="BT12" s="880"/>
      <c r="BU12" s="880"/>
      <c r="BV12" s="880"/>
      <c r="BX12" s="271"/>
    </row>
    <row r="13" spans="2:76" ht="15" customHeight="1">
      <c r="B13" s="531" t="s">
        <v>14</v>
      </c>
      <c r="C13" s="533"/>
      <c r="D13" s="533"/>
      <c r="E13" s="533"/>
      <c r="F13" s="532"/>
      <c r="G13" s="532"/>
      <c r="H13" s="532"/>
      <c r="I13" s="532"/>
      <c r="J13" s="532"/>
      <c r="K13" s="532"/>
      <c r="L13" s="532"/>
      <c r="M13" s="532"/>
      <c r="N13" s="532"/>
      <c r="O13" s="532"/>
      <c r="P13" s="532"/>
      <c r="Q13" s="532"/>
      <c r="R13" s="532"/>
      <c r="S13" s="532"/>
      <c r="T13" s="532"/>
      <c r="U13" s="532"/>
      <c r="V13" s="532"/>
      <c r="W13" s="532"/>
      <c r="X13" s="532"/>
      <c r="Y13" s="532"/>
      <c r="Z13" s="532"/>
      <c r="AA13" s="532"/>
      <c r="AB13" s="532"/>
      <c r="AE13" s="534" t="s">
        <v>59</v>
      </c>
      <c r="AF13" s="534"/>
      <c r="AG13" s="540"/>
      <c r="AH13" s="533"/>
      <c r="AI13" s="532"/>
      <c r="AJ13" s="532"/>
      <c r="AK13" s="532"/>
      <c r="AL13" s="532"/>
      <c r="AM13" s="532"/>
      <c r="AN13" s="532"/>
      <c r="AO13" s="532"/>
      <c r="AP13" s="532"/>
      <c r="AQ13" s="532"/>
      <c r="AR13" s="532"/>
      <c r="AS13" s="532"/>
      <c r="AT13" s="532"/>
      <c r="AU13" s="532"/>
      <c r="AV13" s="532"/>
      <c r="AW13" s="532"/>
      <c r="AX13" s="532"/>
      <c r="AY13" s="532"/>
      <c r="AZ13" s="532"/>
      <c r="BA13" s="532"/>
      <c r="BB13" s="532"/>
      <c r="BC13" s="532"/>
      <c r="BD13" s="532"/>
      <c r="BE13" s="532"/>
      <c r="BI13" s="271" t="s">
        <v>274</v>
      </c>
      <c r="BJ13" s="880"/>
      <c r="BK13" s="880"/>
      <c r="BL13" s="632"/>
      <c r="BM13" s="632"/>
      <c r="BN13" s="632"/>
      <c r="BO13" s="632"/>
      <c r="BP13" s="632"/>
      <c r="BQ13" s="635"/>
      <c r="BR13" s="632"/>
      <c r="BS13" s="632"/>
      <c r="BT13" s="880"/>
      <c r="BU13" s="880"/>
      <c r="BV13" s="880"/>
      <c r="BX13" s="271"/>
    </row>
    <row r="14" spans="2:76" ht="15" customHeight="1">
      <c r="B14" s="302"/>
      <c r="C14" s="302"/>
      <c r="D14" s="302"/>
      <c r="E14" s="302"/>
      <c r="F14" s="302"/>
      <c r="G14" s="302"/>
      <c r="H14" s="302"/>
      <c r="I14" s="303"/>
      <c r="J14" s="303"/>
      <c r="K14" s="304"/>
      <c r="L14" s="302"/>
      <c r="M14" s="302"/>
      <c r="N14" s="305"/>
      <c r="O14" s="302"/>
      <c r="P14" s="302"/>
      <c r="Q14" s="302"/>
      <c r="R14" s="302"/>
      <c r="S14" s="302"/>
      <c r="T14" s="302"/>
      <c r="U14" s="302"/>
      <c r="V14" s="1132"/>
      <c r="W14" s="1132"/>
      <c r="X14" s="302"/>
      <c r="Y14" s="302"/>
      <c r="Z14" s="302"/>
      <c r="AA14" s="302"/>
      <c r="AB14" s="302"/>
      <c r="AE14" s="306"/>
      <c r="AF14" s="302"/>
      <c r="AG14" s="302"/>
      <c r="AH14" s="302"/>
      <c r="AI14" s="302"/>
      <c r="AJ14" s="302"/>
      <c r="AK14" s="307"/>
      <c r="AL14" s="307"/>
      <c r="AM14" s="307"/>
      <c r="AN14" s="307"/>
      <c r="AO14" s="308"/>
      <c r="AP14" s="309"/>
      <c r="AQ14" s="309"/>
      <c r="AR14" s="309"/>
      <c r="AS14" s="307"/>
      <c r="AT14" s="308"/>
      <c r="AU14" s="307"/>
      <c r="AV14" s="307"/>
      <c r="AW14" s="307"/>
      <c r="AX14" s="302"/>
      <c r="AY14" s="302"/>
      <c r="AZ14" s="302"/>
      <c r="BA14" s="302"/>
      <c r="BB14" s="302"/>
      <c r="BC14" s="302"/>
      <c r="BD14" s="302"/>
      <c r="BE14" s="302"/>
      <c r="BI14" s="271" t="s">
        <v>41</v>
      </c>
      <c r="BJ14" s="275">
        <f t="shared" ref="BJ14:BO14" si="1">SUM(BJ6:BJ13)</f>
        <v>15</v>
      </c>
      <c r="BK14" s="275">
        <f t="shared" si="1"/>
        <v>17</v>
      </c>
      <c r="BL14" s="275">
        <f t="shared" si="1"/>
        <v>17</v>
      </c>
      <c r="BM14" s="275">
        <f t="shared" si="1"/>
        <v>17</v>
      </c>
      <c r="BN14" s="275">
        <f t="shared" si="1"/>
        <v>17</v>
      </c>
      <c r="BO14" s="275">
        <f t="shared" si="1"/>
        <v>17</v>
      </c>
      <c r="BP14" s="275">
        <f t="shared" ref="BP14:BV14" si="2">SUM(BP6:BP13)</f>
        <v>17</v>
      </c>
      <c r="BQ14" s="275">
        <f t="shared" si="2"/>
        <v>17</v>
      </c>
      <c r="BR14" s="275">
        <f t="shared" si="2"/>
        <v>17</v>
      </c>
      <c r="BS14" s="275">
        <f t="shared" si="2"/>
        <v>17</v>
      </c>
      <c r="BT14" s="275">
        <f t="shared" si="2"/>
        <v>17</v>
      </c>
      <c r="BU14" s="275">
        <f t="shared" si="2"/>
        <v>17</v>
      </c>
      <c r="BV14" s="275">
        <f t="shared" si="2"/>
        <v>17</v>
      </c>
      <c r="BX14" s="271"/>
    </row>
    <row r="15" spans="2:76" ht="15" customHeight="1">
      <c r="B15" s="1128" t="s">
        <v>185</v>
      </c>
      <c r="C15" s="1128"/>
      <c r="D15" s="1128"/>
      <c r="E15" s="1128"/>
      <c r="F15" s="1128"/>
      <c r="G15" s="1128"/>
      <c r="I15" s="1128" t="s">
        <v>275</v>
      </c>
      <c r="J15" s="1134"/>
      <c r="K15" s="1134"/>
      <c r="L15" s="1134"/>
      <c r="M15" s="1134"/>
      <c r="N15" s="1134"/>
      <c r="O15" s="1134"/>
      <c r="P15" s="1134"/>
      <c r="Q15" s="1134"/>
      <c r="R15" s="1134"/>
      <c r="S15" s="1134"/>
      <c r="T15" s="1134"/>
      <c r="U15" s="1134"/>
      <c r="V15" s="1134"/>
      <c r="W15" s="310"/>
      <c r="X15" s="1135" t="s">
        <v>360</v>
      </c>
      <c r="Y15" s="1136"/>
      <c r="Z15" s="1136"/>
      <c r="AA15" s="1136"/>
      <c r="AB15" s="1136"/>
      <c r="AE15" s="1128" t="s">
        <v>277</v>
      </c>
      <c r="AF15" s="1128"/>
      <c r="AG15" s="1128"/>
      <c r="AH15" s="1128"/>
      <c r="AI15" s="1128"/>
      <c r="AJ15" s="1128"/>
      <c r="AK15" s="311"/>
      <c r="AL15" s="1129" t="s">
        <v>62</v>
      </c>
      <c r="AM15" s="1129"/>
      <c r="AN15" s="1129"/>
      <c r="AO15" s="1129"/>
      <c r="AP15" s="1128" t="str">
        <f>CONCATENATE(Cover!M36,"+",12-Cover!M36)</f>
        <v>1+11</v>
      </c>
      <c r="AQ15" s="1128"/>
      <c r="AR15" s="311"/>
      <c r="AS15" s="1128" t="s">
        <v>278</v>
      </c>
      <c r="AT15" s="1128"/>
      <c r="AU15" s="1128"/>
      <c r="AV15" s="1128"/>
      <c r="AW15" s="1128"/>
      <c r="AX15" s="1128"/>
      <c r="AY15" s="311"/>
      <c r="AZ15" s="1128" t="s">
        <v>279</v>
      </c>
      <c r="BA15" s="1128"/>
      <c r="BB15" s="1128"/>
      <c r="BC15" s="1128"/>
      <c r="BD15" s="1128"/>
      <c r="BE15" s="1128"/>
      <c r="BT15" s="270"/>
      <c r="BU15" s="393"/>
      <c r="BV15" s="37"/>
    </row>
    <row r="16" spans="2:76" ht="15" customHeight="1">
      <c r="E16" s="312" t="s">
        <v>263</v>
      </c>
      <c r="G16" s="313">
        <f>SUMIF(BJ4:BV4,BE5,BJ6:BV6)</f>
        <v>15</v>
      </c>
      <c r="I16" s="1112" t="s">
        <v>280</v>
      </c>
      <c r="J16" s="1113"/>
      <c r="K16" s="1113"/>
      <c r="L16" s="1114"/>
      <c r="N16" s="1112" t="s">
        <v>281</v>
      </c>
      <c r="O16" s="1113"/>
      <c r="P16" s="1113"/>
      <c r="Q16" s="1114"/>
      <c r="S16" s="1112" t="s">
        <v>282</v>
      </c>
      <c r="T16" s="1113"/>
      <c r="U16" s="1113"/>
      <c r="V16" s="1114"/>
      <c r="X16" s="314" t="s">
        <v>361</v>
      </c>
      <c r="Y16" s="315"/>
      <c r="Z16" s="316"/>
      <c r="AA16" s="314"/>
      <c r="AB16" s="314"/>
      <c r="AE16" s="311"/>
      <c r="AF16" s="311"/>
      <c r="AG16" s="311"/>
      <c r="AI16" s="311"/>
      <c r="AJ16" s="103" t="s">
        <v>61</v>
      </c>
      <c r="AK16" s="311"/>
      <c r="AL16" s="311"/>
      <c r="AM16" s="311"/>
      <c r="AN16" s="311"/>
      <c r="AO16" s="311"/>
      <c r="AP16" s="311"/>
      <c r="AQ16" s="311"/>
      <c r="AR16" s="311"/>
      <c r="AS16" s="311"/>
      <c r="AT16" s="311"/>
      <c r="AU16" s="311"/>
      <c r="AV16" s="311"/>
      <c r="AW16" s="311"/>
      <c r="AX16" s="311"/>
      <c r="AY16" s="311"/>
      <c r="AZ16" s="311"/>
      <c r="BA16" s="311"/>
      <c r="BB16" s="311"/>
      <c r="BC16" s="311"/>
      <c r="BD16" s="311"/>
      <c r="BE16" s="311"/>
      <c r="BI16" s="271" t="s">
        <v>284</v>
      </c>
      <c r="BJ16" s="635">
        <v>2</v>
      </c>
      <c r="BK16" s="635">
        <v>1</v>
      </c>
      <c r="BL16" s="635"/>
      <c r="BM16" s="635"/>
      <c r="BN16" s="635"/>
      <c r="BO16" s="635"/>
      <c r="BP16" s="635"/>
      <c r="BQ16" s="635"/>
      <c r="BR16" s="635"/>
      <c r="BS16" s="635"/>
      <c r="BT16" s="635"/>
      <c r="BU16" s="635"/>
      <c r="BV16" s="635"/>
    </row>
    <row r="17" spans="2:81" ht="15" customHeight="1">
      <c r="E17" s="312" t="s">
        <v>285</v>
      </c>
      <c r="G17" s="313">
        <f>V20</f>
        <v>2</v>
      </c>
      <c r="I17" s="317"/>
      <c r="J17" s="312" t="s">
        <v>266</v>
      </c>
      <c r="K17" s="313">
        <f>SUMIF(BJ4:BV4,BE5,BJ7:BV7)</f>
        <v>0</v>
      </c>
      <c r="L17" s="318"/>
      <c r="N17" s="317"/>
      <c r="O17" s="312" t="s">
        <v>286</v>
      </c>
      <c r="P17" s="313">
        <f>SUMIF(BJ4:BV4,BE5,BJ9:BV9)</f>
        <v>0</v>
      </c>
      <c r="Q17" s="318"/>
      <c r="S17" s="317"/>
      <c r="T17" s="312" t="s">
        <v>286</v>
      </c>
      <c r="U17" s="313">
        <f>SUMIF(BJ4:BV4,BE5,BJ11:BV11)</f>
        <v>0</v>
      </c>
      <c r="V17" s="319"/>
      <c r="X17" s="314" t="s">
        <v>287</v>
      </c>
      <c r="Y17" s="315"/>
      <c r="Z17" s="316"/>
      <c r="AA17" s="314">
        <f>SUMIF(Admin4!$B$5:$B$298,"7976",Admin4!$C$5:$C$298)</f>
        <v>0</v>
      </c>
      <c r="AB17" s="314"/>
      <c r="AE17" s="311"/>
      <c r="AF17" s="311"/>
      <c r="AG17" s="311"/>
      <c r="AI17" s="311"/>
      <c r="AJ17" s="320" t="s">
        <v>63</v>
      </c>
      <c r="AK17" s="311"/>
      <c r="AL17" s="311"/>
      <c r="AM17" s="311"/>
      <c r="AN17" s="1127">
        <f>SUMIF(Admin3!C8:O8,AR!BE5,Admin3!C12:O12)</f>
        <v>0</v>
      </c>
      <c r="AO17" s="1127"/>
      <c r="AP17" s="1127"/>
      <c r="AQ17" s="1127"/>
      <c r="AR17" s="311"/>
      <c r="AS17" s="311"/>
      <c r="AT17" s="311"/>
      <c r="AU17" s="1127">
        <f>SUMIF(Admin3!C8:O8,AR!BE5,Admin3!C16:O16)-SUMIF(Admin3!C8:O8,AR!BE5,Admin3!C12:O12)</f>
        <v>0</v>
      </c>
      <c r="AV17" s="1127"/>
      <c r="AW17" s="1127"/>
      <c r="AX17" s="1127"/>
      <c r="AY17" s="311"/>
      <c r="AZ17" s="311"/>
      <c r="BA17" s="311"/>
      <c r="BB17" s="1127">
        <f>SUMIF(Admin3!C8:O8,AR!BE5,Admin3!C20:O20)-SUMIF(Admin3!C8:O8,AR!BE5,Admin3!C12:O12)</f>
        <v>0</v>
      </c>
      <c r="BC17" s="1127"/>
      <c r="BD17" s="1127"/>
      <c r="BE17" s="1127"/>
      <c r="BI17" s="291"/>
      <c r="BJ17" s="257"/>
      <c r="BK17" s="257"/>
      <c r="BL17" s="257"/>
      <c r="BM17" s="257"/>
      <c r="BN17" s="257"/>
      <c r="BO17" s="257"/>
      <c r="BP17" s="257"/>
      <c r="BQ17" s="257"/>
      <c r="BR17" s="257"/>
      <c r="BS17" s="257"/>
      <c r="BT17" s="394"/>
      <c r="BU17" s="394"/>
      <c r="BV17" s="394"/>
    </row>
    <row r="18" spans="2:81" ht="15" customHeight="1">
      <c r="E18" s="312" t="s">
        <v>240</v>
      </c>
      <c r="G18" s="313">
        <f>SUMIF(BJ4:BV4,BE5,BJ13:BV13)</f>
        <v>0</v>
      </c>
      <c r="I18" s="321"/>
      <c r="J18" s="322" t="s">
        <v>288</v>
      </c>
      <c r="K18" s="323">
        <f>SUMIF(BJ4:BV4,BE5,BJ8:BV8)</f>
        <v>2</v>
      </c>
      <c r="L18" s="324"/>
      <c r="N18" s="321"/>
      <c r="O18" s="322" t="s">
        <v>289</v>
      </c>
      <c r="P18" s="323">
        <f>SUMIF(BJ4:BV4,BE5,BJ10:BV10)</f>
        <v>0</v>
      </c>
      <c r="Q18" s="324"/>
      <c r="S18" s="321"/>
      <c r="T18" s="322" t="s">
        <v>289</v>
      </c>
      <c r="U18" s="323">
        <f>SUMIF(BJ4:BV4,BE5,BJ12:BV12)</f>
        <v>0</v>
      </c>
      <c r="V18" s="325"/>
      <c r="X18" s="314"/>
      <c r="Y18" s="315"/>
      <c r="Z18" s="316"/>
      <c r="AA18" s="314"/>
      <c r="AB18" s="314"/>
      <c r="AE18" s="311"/>
      <c r="AF18" s="311"/>
      <c r="AG18" s="311"/>
      <c r="AH18" s="311"/>
      <c r="AI18" s="326"/>
      <c r="AJ18" s="320" t="s">
        <v>64</v>
      </c>
      <c r="AK18" s="311"/>
      <c r="AL18" s="311"/>
      <c r="AM18" s="311"/>
      <c r="AN18" s="1127">
        <f>SUMIF(Admin3!C8:O8,AR!BE5,Admin3!C13:O13)</f>
        <v>0</v>
      </c>
      <c r="AO18" s="1127"/>
      <c r="AP18" s="1127"/>
      <c r="AQ18" s="1127"/>
      <c r="AR18" s="311"/>
      <c r="AS18" s="311"/>
      <c r="AT18" s="311"/>
      <c r="AU18" s="1127">
        <f>SUMIF(Admin3!C8:O8,AR!BE5,Admin3!C17:O17)-SUMIF(Admin3!C8:O8,AR!BE5,Admin3!C13:O13)</f>
        <v>0</v>
      </c>
      <c r="AV18" s="1127"/>
      <c r="AW18" s="1127"/>
      <c r="AX18" s="1127"/>
      <c r="AY18" s="311"/>
      <c r="AZ18" s="311"/>
      <c r="BA18" s="311"/>
      <c r="BB18" s="1127">
        <f>SUMIF(Admin3!C8:O8,AR!BE5,Admin3!C21:O21)-SUMIF(Admin3!C8:O8,AR!BE5,Admin3!C13:O13)</f>
        <v>0</v>
      </c>
      <c r="BC18" s="1127"/>
      <c r="BD18" s="1127"/>
      <c r="BE18" s="1127"/>
      <c r="BV18" s="393"/>
    </row>
    <row r="19" spans="2:81" ht="15" customHeight="1" thickBot="1">
      <c r="E19" s="312" t="s">
        <v>41</v>
      </c>
      <c r="G19" s="327">
        <f>SUM(G16:G18)</f>
        <v>17</v>
      </c>
      <c r="I19" s="326"/>
      <c r="J19" s="326"/>
      <c r="K19" s="326"/>
      <c r="L19" s="326"/>
      <c r="M19" s="326"/>
      <c r="N19" s="326"/>
      <c r="O19" s="326"/>
      <c r="P19" s="326"/>
      <c r="Q19" s="326"/>
      <c r="R19" s="326"/>
      <c r="S19" s="326"/>
      <c r="T19" s="326"/>
      <c r="U19" s="326"/>
      <c r="V19" s="326"/>
      <c r="W19" s="326"/>
      <c r="X19" s="314" t="s">
        <v>290</v>
      </c>
      <c r="Y19" s="315"/>
      <c r="Z19" s="316"/>
      <c r="AA19" s="328"/>
      <c r="AB19" s="328"/>
      <c r="AE19" s="311"/>
      <c r="AF19" s="311"/>
      <c r="AG19" s="311"/>
      <c r="AH19" s="311"/>
      <c r="AJ19" s="320" t="s">
        <v>65</v>
      </c>
      <c r="AN19" s="1152">
        <f>SUM(AN17:AQ18)</f>
        <v>0</v>
      </c>
      <c r="AO19" s="1152"/>
      <c r="AP19" s="1152"/>
      <c r="AQ19" s="1152"/>
      <c r="AU19" s="1152">
        <f>SUM(AU17:AX18)</f>
        <v>0</v>
      </c>
      <c r="AV19" s="1152"/>
      <c r="AW19" s="1152"/>
      <c r="AX19" s="1152"/>
      <c r="BB19" s="1152">
        <f>SUM(BB17:BE18)</f>
        <v>0</v>
      </c>
      <c r="BC19" s="1152"/>
      <c r="BD19" s="1152"/>
      <c r="BE19" s="1152"/>
      <c r="BV19" s="393"/>
    </row>
    <row r="20" spans="2:81" ht="15" customHeight="1" thickTop="1" thickBot="1">
      <c r="B20" s="267"/>
      <c r="C20" s="267"/>
      <c r="D20" s="267"/>
      <c r="E20" s="312" t="s">
        <v>39</v>
      </c>
      <c r="G20" s="313">
        <f t="array" ref="G20">SUM(IF((Admin2!$C$6:$O$6=BE5)*(Admin2!$Q$9:$Q$83=BI2)*(Admin2!$B$9:$B$83="Annual Plan"),Admin2!$C$9:$O$83,0))</f>
        <v>18</v>
      </c>
      <c r="H20" s="326"/>
      <c r="I20" s="37" t="s">
        <v>284</v>
      </c>
      <c r="K20" s="326"/>
      <c r="L20" s="326"/>
      <c r="M20" s="329">
        <f>SUMIF(BJ4:BV4,BE5,BJ16:BV16)</f>
        <v>1</v>
      </c>
      <c r="T20" s="330" t="s">
        <v>291</v>
      </c>
      <c r="U20" s="326"/>
      <c r="V20" s="329">
        <f>SUM(K17:K18,P17:P18,U17:U18)</f>
        <v>2</v>
      </c>
      <c r="X20" s="314" t="s">
        <v>287</v>
      </c>
      <c r="Y20" s="315"/>
      <c r="Z20" s="316"/>
      <c r="AA20" s="314">
        <f>SUMIF(Admin4!$B$5:$B$298,"7976",Admin4!$D$5:$D$298)</f>
        <v>0</v>
      </c>
      <c r="AB20" s="314"/>
      <c r="AC20" s="326"/>
      <c r="AD20" s="326"/>
      <c r="AE20" s="305"/>
      <c r="AF20" s="305"/>
      <c r="AG20" s="305"/>
      <c r="AH20" s="305"/>
      <c r="BI20" s="272" t="s">
        <v>245</v>
      </c>
      <c r="BJ20" s="276"/>
      <c r="BK20" s="276"/>
      <c r="BL20" s="276"/>
      <c r="BM20" s="276"/>
      <c r="BN20" s="276"/>
      <c r="BO20" s="276"/>
      <c r="BP20" s="276"/>
      <c r="BQ20" s="276"/>
      <c r="BR20" s="276"/>
      <c r="BS20" s="276"/>
      <c r="BT20" s="276"/>
      <c r="BU20" s="276"/>
      <c r="BV20" s="393"/>
    </row>
    <row r="21" spans="2:81" ht="15" customHeight="1" thickTop="1" thickBot="1">
      <c r="B21" s="267"/>
      <c r="C21" s="267"/>
      <c r="D21" s="267"/>
      <c r="E21" s="312" t="s">
        <v>40</v>
      </c>
      <c r="F21" s="326"/>
      <c r="G21" s="327">
        <f t="array" ref="G21">SUM(IF((Admin2!$C$6:$O$6=BE5)*(Admin2!$Q$9:$Q$61=BI2)*(Admin2!$B$9:$B$61="Forecast"),Admin2!$C$9:$O$61,0))</f>
        <v>18</v>
      </c>
      <c r="H21" s="326"/>
      <c r="X21" s="314"/>
      <c r="Y21" s="315"/>
      <c r="Z21" s="316"/>
      <c r="AA21" s="314"/>
      <c r="AB21" s="314"/>
      <c r="AE21" s="302"/>
      <c r="AF21" s="302"/>
      <c r="AG21" s="302"/>
      <c r="AH21" s="302"/>
      <c r="AI21" s="311"/>
      <c r="AJ21" s="103" t="s">
        <v>23</v>
      </c>
      <c r="AK21" s="311"/>
      <c r="AL21" s="311"/>
      <c r="AM21" s="311"/>
      <c r="AN21" s="311"/>
      <c r="AO21" s="311"/>
      <c r="AP21" s="311"/>
      <c r="AQ21" s="311"/>
      <c r="AR21" s="311"/>
      <c r="AS21" s="311"/>
      <c r="AT21" s="311"/>
      <c r="AU21" s="311"/>
      <c r="AV21" s="311"/>
      <c r="AW21" s="311"/>
      <c r="AX21" s="311"/>
      <c r="AY21" s="311"/>
      <c r="AZ21" s="311"/>
      <c r="BA21" s="311"/>
      <c r="BB21" s="311"/>
      <c r="BC21" s="311"/>
      <c r="BD21" s="311"/>
      <c r="BE21" s="311"/>
      <c r="BI21" s="54" t="s">
        <v>292</v>
      </c>
      <c r="BJ21" s="1116" t="s">
        <v>362</v>
      </c>
      <c r="BK21" s="1116"/>
      <c r="BL21" s="1116"/>
      <c r="BM21" s="1116"/>
      <c r="BN21" s="1116"/>
      <c r="BO21" s="1116"/>
      <c r="BP21" s="1116"/>
      <c r="BQ21" s="1116"/>
      <c r="BR21" s="1116"/>
      <c r="BS21" s="1116"/>
      <c r="BT21" s="1116"/>
      <c r="BU21" s="1116"/>
      <c r="BV21" s="393"/>
    </row>
    <row r="22" spans="2:81" ht="15" customHeight="1" thickTop="1" thickBot="1">
      <c r="B22" s="267"/>
      <c r="C22" s="267"/>
      <c r="D22" s="267"/>
      <c r="E22" s="312" t="s">
        <v>294</v>
      </c>
      <c r="F22" s="326"/>
      <c r="G22" s="327">
        <f>$G$20-$G$19</f>
        <v>1</v>
      </c>
      <c r="H22" s="326"/>
      <c r="K22" s="326"/>
      <c r="L22" s="326"/>
      <c r="U22" s="326"/>
      <c r="V22" s="326"/>
      <c r="W22" s="326"/>
      <c r="X22" s="314" t="s">
        <v>295</v>
      </c>
      <c r="Y22" s="315"/>
      <c r="Z22" s="316"/>
      <c r="AA22" s="328"/>
      <c r="AB22" s="331"/>
      <c r="AE22" s="302"/>
      <c r="AF22" s="302"/>
      <c r="AG22" s="302"/>
      <c r="AH22" s="302"/>
      <c r="AI22" s="311"/>
      <c r="AJ22" s="320" t="s">
        <v>63</v>
      </c>
      <c r="AK22" s="311"/>
      <c r="AL22" s="311"/>
      <c r="AM22" s="311"/>
      <c r="AN22" s="1127">
        <f>SUMIF(Admin3!C8:O8,AR!BE5,Admin3!C25:O25)</f>
        <v>0</v>
      </c>
      <c r="AO22" s="1127"/>
      <c r="AP22" s="1127"/>
      <c r="AQ22" s="1127"/>
      <c r="AR22" s="311"/>
      <c r="AS22" s="311"/>
      <c r="AT22" s="311"/>
      <c r="AU22" s="1127">
        <f>SUMIF(Admin3!C8:O8,AR!BE5,Admin3!C29:O29)-SUMIF(Admin3!C8:O8,AR!BE5,Admin3!C25:O25)</f>
        <v>0</v>
      </c>
      <c r="AV22" s="1127"/>
      <c r="AW22" s="1127"/>
      <c r="AX22" s="1127"/>
      <c r="AY22" s="311"/>
      <c r="AZ22" s="311"/>
      <c r="BA22" s="311"/>
      <c r="BB22" s="1127">
        <f>SUMIF(Admin3!C8:O8,AR!BE5,Admin3!C33:O33)-SUMIF(Admin3!C8:O8,AR!BE5,Admin3!C25:O25)</f>
        <v>0</v>
      </c>
      <c r="BC22" s="1127"/>
      <c r="BD22" s="1127"/>
      <c r="BE22" s="1127"/>
      <c r="BI22" s="54" t="s">
        <v>296</v>
      </c>
      <c r="BJ22" s="1116" t="s">
        <v>363</v>
      </c>
      <c r="BK22" s="1116"/>
      <c r="BL22" s="1116"/>
      <c r="BM22" s="1116"/>
      <c r="BN22" s="1116"/>
      <c r="BO22" s="1116"/>
      <c r="BP22" s="1116"/>
      <c r="BQ22" s="1116"/>
      <c r="BR22" s="1116"/>
      <c r="BS22" s="1116"/>
      <c r="BT22" s="1116"/>
      <c r="BU22" s="1116"/>
      <c r="BV22" s="393"/>
    </row>
    <row r="23" spans="2:81" ht="15" customHeight="1" thickTop="1" thickBot="1">
      <c r="B23" s="267"/>
      <c r="C23" s="267"/>
      <c r="D23" s="267"/>
      <c r="E23" s="312" t="s">
        <v>298</v>
      </c>
      <c r="F23" s="326"/>
      <c r="G23" s="327">
        <f>$G$21-$G$19</f>
        <v>1</v>
      </c>
      <c r="H23" s="326"/>
      <c r="I23" s="96"/>
      <c r="J23" s="96"/>
      <c r="K23" s="326"/>
      <c r="L23" s="326"/>
      <c r="U23" s="326"/>
      <c r="V23" s="326"/>
      <c r="W23" s="326"/>
      <c r="X23" s="314" t="s">
        <v>299</v>
      </c>
      <c r="Y23" s="315"/>
      <c r="Z23" s="316"/>
      <c r="AA23" s="314">
        <f>SUMIF(Admin4!$L$5:$L$298,"7976",Admin4!$N$5:$N$298)</f>
        <v>0</v>
      </c>
      <c r="AB23" s="331"/>
      <c r="AE23" s="302"/>
      <c r="AF23" s="302"/>
      <c r="AG23" s="302"/>
      <c r="AH23" s="302"/>
      <c r="AI23" s="302"/>
      <c r="AJ23" s="320" t="s">
        <v>64</v>
      </c>
      <c r="AK23" s="311"/>
      <c r="AL23" s="311"/>
      <c r="AM23" s="311"/>
      <c r="AN23" s="1127">
        <f>SUMIF(Admin3!C8:O8,AR!BE5,Admin3!C26:O26)</f>
        <v>0</v>
      </c>
      <c r="AO23" s="1127"/>
      <c r="AP23" s="1127"/>
      <c r="AQ23" s="1127"/>
      <c r="AR23" s="311"/>
      <c r="AS23" s="311"/>
      <c r="AT23" s="311"/>
      <c r="AU23" s="1127">
        <f>SUMIF(Admin3!C8:O8,AR!BE5,Admin3!C30:O30)-SUMIF(Admin3!C8:O8,AR!BE5,Admin3!C26:O26)</f>
        <v>0</v>
      </c>
      <c r="AV23" s="1127"/>
      <c r="AW23" s="1127"/>
      <c r="AX23" s="1127"/>
      <c r="AY23" s="311"/>
      <c r="AZ23" s="311"/>
      <c r="BA23" s="311"/>
      <c r="BB23" s="1127">
        <f>SUMIF(Admin3!C8:O8,AR!BE5,Admin3!C34:O34)-SUMIF(Admin3!C8:O8,AR!BE5,Admin3!C26:O26)</f>
        <v>0</v>
      </c>
      <c r="BC23" s="1127"/>
      <c r="BD23" s="1127"/>
      <c r="BE23" s="1127"/>
      <c r="BI23" s="54" t="s">
        <v>300</v>
      </c>
      <c r="BJ23" s="1116" t="s">
        <v>364</v>
      </c>
      <c r="BK23" s="1116"/>
      <c r="BL23" s="1116"/>
      <c r="BM23" s="1116"/>
      <c r="BN23" s="1116"/>
      <c r="BO23" s="1116"/>
      <c r="BP23" s="1116"/>
      <c r="BQ23" s="1116"/>
      <c r="BR23" s="1116"/>
      <c r="BS23" s="1116"/>
      <c r="BT23" s="1116"/>
      <c r="BU23" s="1116"/>
      <c r="BV23" s="393"/>
    </row>
    <row r="24" spans="2:81" ht="15" customHeight="1" thickTop="1" thickBot="1">
      <c r="B24" s="267"/>
      <c r="C24" s="267"/>
      <c r="D24" s="267"/>
      <c r="E24" s="312"/>
      <c r="F24" s="326"/>
      <c r="G24" s="95"/>
      <c r="H24" s="326"/>
      <c r="I24" s="96"/>
      <c r="J24" s="96"/>
      <c r="K24" s="326"/>
      <c r="L24" s="326"/>
      <c r="U24" s="326"/>
      <c r="V24" s="326"/>
      <c r="W24" s="326"/>
      <c r="X24" s="239"/>
      <c r="Y24" s="239"/>
      <c r="Z24" s="240"/>
      <c r="AA24" s="239"/>
      <c r="AB24" s="241"/>
      <c r="AE24" s="302"/>
      <c r="AF24" s="302"/>
      <c r="AG24" s="302"/>
      <c r="AH24" s="302"/>
      <c r="AI24" s="302"/>
      <c r="AJ24" s="320" t="s">
        <v>65</v>
      </c>
      <c r="AK24" s="311"/>
      <c r="AL24" s="311"/>
      <c r="AM24" s="311"/>
      <c r="AN24" s="1152">
        <f>SUM(AN22:AQ23)</f>
        <v>0</v>
      </c>
      <c r="AO24" s="1152"/>
      <c r="AP24" s="1152"/>
      <c r="AQ24" s="1152"/>
      <c r="AR24" s="311"/>
      <c r="AS24" s="311"/>
      <c r="AT24" s="311"/>
      <c r="AU24" s="1152">
        <f>SUM(AU22:AX23)</f>
        <v>0</v>
      </c>
      <c r="AV24" s="1152"/>
      <c r="AW24" s="1152"/>
      <c r="AX24" s="1152"/>
      <c r="AY24" s="311"/>
      <c r="AZ24" s="311"/>
      <c r="BA24" s="311"/>
      <c r="BB24" s="1152">
        <f>SUM(BB22:BE23)</f>
        <v>0</v>
      </c>
      <c r="BC24" s="1152"/>
      <c r="BD24" s="1152"/>
      <c r="BE24" s="1152"/>
      <c r="BI24" s="277"/>
      <c r="BL24" s="1148" t="s">
        <v>302</v>
      </c>
      <c r="BM24" s="1149"/>
      <c r="BN24" s="1149"/>
      <c r="BO24" s="1149"/>
      <c r="BP24" s="1151"/>
      <c r="BQ24" s="1148" t="s">
        <v>719</v>
      </c>
      <c r="BR24" s="1149"/>
      <c r="BS24" s="1149"/>
      <c r="BT24" s="1149"/>
      <c r="BU24" s="1150"/>
      <c r="BV24" s="393"/>
      <c r="BW24" s="1148" t="s">
        <v>303</v>
      </c>
      <c r="BX24" s="1149"/>
      <c r="BY24" s="1149"/>
      <c r="BZ24" s="1149"/>
      <c r="CA24" s="1149"/>
      <c r="CB24" s="1149"/>
      <c r="CC24" s="1150"/>
    </row>
    <row r="25" spans="2:81" ht="15" customHeight="1" thickTop="1">
      <c r="B25" s="267"/>
      <c r="C25" s="267"/>
      <c r="D25" s="267"/>
      <c r="E25" s="312"/>
      <c r="F25" s="326"/>
      <c r="G25" s="95">
        <f>G26-SUM($G$16:$G$18)</f>
        <v>0</v>
      </c>
      <c r="H25" s="326"/>
      <c r="I25" s="96" t="str">
        <f>IF(G25&lt;&gt;0,"There is a variance in reported ending EEs.","")</f>
        <v/>
      </c>
      <c r="J25" s="96"/>
      <c r="K25" s="326"/>
      <c r="L25" s="326"/>
      <c r="U25" s="326"/>
      <c r="V25" s="326"/>
      <c r="W25" s="326"/>
      <c r="X25" s="326"/>
      <c r="Y25" s="326"/>
      <c r="Z25" s="320"/>
      <c r="AA25" s="326"/>
      <c r="AB25" s="332"/>
      <c r="AE25" s="302"/>
      <c r="AF25" s="302"/>
      <c r="AG25" s="302"/>
      <c r="AH25" s="302"/>
      <c r="AI25" s="302"/>
      <c r="AJ25" s="320"/>
      <c r="AK25" s="311"/>
      <c r="AL25" s="311"/>
      <c r="AM25" s="311"/>
      <c r="AN25" s="333"/>
      <c r="AO25" s="333"/>
      <c r="AP25" s="333"/>
      <c r="AQ25" s="333"/>
      <c r="AR25" s="311"/>
      <c r="AS25" s="311"/>
      <c r="AT25" s="311"/>
      <c r="AU25" s="333"/>
      <c r="AV25" s="333"/>
      <c r="AW25" s="333"/>
      <c r="AX25" s="333"/>
      <c r="AY25" s="311"/>
      <c r="AZ25" s="311"/>
      <c r="BA25" s="311"/>
      <c r="BB25" s="333"/>
      <c r="BC25" s="333"/>
      <c r="BD25" s="333"/>
      <c r="BE25" s="333"/>
      <c r="BI25" s="636" t="s">
        <v>23</v>
      </c>
      <c r="BJ25" s="636" t="s">
        <v>37</v>
      </c>
      <c r="BK25" s="636" t="s">
        <v>304</v>
      </c>
      <c r="BL25" s="637" t="s">
        <v>305</v>
      </c>
      <c r="BM25" s="637" t="s">
        <v>310</v>
      </c>
      <c r="BN25" s="637" t="s">
        <v>311</v>
      </c>
      <c r="BO25" s="278" t="s">
        <v>312</v>
      </c>
      <c r="BP25" s="637" t="s">
        <v>313</v>
      </c>
      <c r="BQ25" s="637" t="s">
        <v>305</v>
      </c>
      <c r="BR25" s="637" t="s">
        <v>715</v>
      </c>
      <c r="BS25" s="637" t="s">
        <v>716</v>
      </c>
      <c r="BT25" s="278" t="s">
        <v>717</v>
      </c>
      <c r="BU25" s="637" t="s">
        <v>718</v>
      </c>
      <c r="BW25" s="279" t="s">
        <v>314</v>
      </c>
      <c r="BX25" s="279" t="s">
        <v>23</v>
      </c>
      <c r="BY25" s="279" t="s">
        <v>315</v>
      </c>
      <c r="BZ25" s="279" t="s">
        <v>122</v>
      </c>
      <c r="CA25" s="279" t="s">
        <v>316</v>
      </c>
      <c r="CB25" s="279" t="s">
        <v>317</v>
      </c>
      <c r="CC25" s="279" t="s">
        <v>318</v>
      </c>
    </row>
    <row r="26" spans="2:81" ht="15" customHeight="1">
      <c r="B26" s="267"/>
      <c r="C26" s="267"/>
      <c r="D26" s="267"/>
      <c r="E26" s="312"/>
      <c r="F26" s="326"/>
      <c r="G26" s="95">
        <f t="array" ref="G26">SUM(IF((Admin2!$C$6:$O$6=$BE$5)*(Admin2!$Q$9:$Q$61=$BI$2)*(Admin2!$B$9:$B$61="Ending EEs"),Admin2!$C$9:$O$61,0))</f>
        <v>17</v>
      </c>
      <c r="H26" s="326"/>
      <c r="I26" s="96" t="str">
        <f>IF(G26&lt;&gt;0,"Ending headcount per Kronos/HCMS.","")</f>
        <v>Ending headcount per Kronos/HCMS.</v>
      </c>
      <c r="J26" s="96"/>
      <c r="K26" s="326"/>
      <c r="L26" s="326"/>
      <c r="U26" s="326"/>
      <c r="V26" s="326"/>
      <c r="W26" s="326"/>
      <c r="X26" s="326"/>
      <c r="Y26" s="326"/>
      <c r="Z26" s="320"/>
      <c r="AA26" s="326"/>
      <c r="AB26" s="332"/>
      <c r="AE26" s="302"/>
      <c r="AF26" s="302"/>
      <c r="AG26" s="302"/>
      <c r="AH26" s="302"/>
      <c r="AI26" s="302"/>
      <c r="AJ26" s="320"/>
      <c r="AK26" s="311"/>
      <c r="AL26" s="311"/>
      <c r="AM26" s="311"/>
      <c r="AN26" s="333"/>
      <c r="AO26" s="333"/>
      <c r="AP26" s="333"/>
      <c r="AQ26" s="333"/>
      <c r="AR26" s="311"/>
      <c r="AS26" s="311"/>
      <c r="AT26" s="311"/>
      <c r="AU26" s="333"/>
      <c r="AV26" s="333"/>
      <c r="AW26" s="333"/>
      <c r="AX26" s="333"/>
      <c r="AY26" s="311"/>
      <c r="AZ26" s="311"/>
      <c r="BA26" s="311"/>
      <c r="BB26" s="333"/>
      <c r="BC26" s="333"/>
      <c r="BD26" s="333"/>
      <c r="BE26" s="333"/>
      <c r="BI26" s="638" t="s">
        <v>319</v>
      </c>
      <c r="BJ26" s="638">
        <v>1</v>
      </c>
      <c r="BK26" s="638" t="s">
        <v>320</v>
      </c>
      <c r="BL26" s="687">
        <v>5.3150000000000004</v>
      </c>
      <c r="BM26" s="677">
        <v>5.3410000000000002</v>
      </c>
      <c r="BN26" s="842">
        <f>IF(BM26="","",BL26/BM26)</f>
        <v>0.9951319977532298</v>
      </c>
      <c r="BO26" s="833">
        <f>IF(SUM(BM26:BM28)=0,0,SUM(BL26:BL28)/SUM(BM26:BM28))</f>
        <v>0.9924612508292624</v>
      </c>
      <c r="BP26" s="821">
        <v>0.95</v>
      </c>
      <c r="BQ26" s="687">
        <v>4.556</v>
      </c>
      <c r="BR26" s="677">
        <v>5.6710000000000003</v>
      </c>
      <c r="BS26" s="842">
        <f>IF(BR26="","",BQ26/BR26)</f>
        <v>0.80338564627049902</v>
      </c>
      <c r="BT26" s="833">
        <f>IF(SUM(BR26:BR28)=0,0,SUM(BQ26:BQ28)/SUM(BR26:BR28))</f>
        <v>0.80338564627049902</v>
      </c>
      <c r="BU26" s="821">
        <v>0.95</v>
      </c>
      <c r="BX26" s="642" t="str">
        <f t="shared" ref="BX26:BX37" si="3">TEXT(CONCATENATE(CC26,"/01/20",CB26),"MMM")</f>
        <v>Oct</v>
      </c>
      <c r="BY26" s="643">
        <f>IF(CB26=$CB38,SUMIF($BI26:$BI37,$BX26,$BR26:$BR37),SUMIF($BI26:$BI37,$BX26,$BM26:$BM37))</f>
        <v>5.3410000000000002</v>
      </c>
      <c r="BZ26" s="821">
        <f>IF(IF(CB26=CB38,SUMIF(BI26:BI37,$BX26,BU26:BU37),SUMIF(BI26:BI37,$BX26,BP26:BP37))=0,NA(),IF(CB26=CB38,SUMIF(BI26:BI37,$BX26,BU26:BU37),SUMIF(BI26:BI37,$BX26,BP26:BP37)))</f>
        <v>0.95</v>
      </c>
      <c r="CA26" s="644">
        <f>IF(IF(CB26=CB38,SUMIF(BI26:BI37,$BX26,BS26:BS37),SUMIF(BI26:BI37,$BX26,BN26:BN37))=0,NA(),IF(CB26=CB38,SUMIF(BI26:BI37,$BX26,BS26:BS37),SUMIF(BI26:BI37,$BX26,BN26:BN37)))</f>
        <v>0.9951319977532298</v>
      </c>
      <c r="CB26" s="645">
        <v>23</v>
      </c>
      <c r="CC26" s="645">
        <f t="shared" ref="CC26:CC36" si="4">IF(CC27-1&lt;1,CC27+11,CC27-1)</f>
        <v>10</v>
      </c>
    </row>
    <row r="27" spans="2:81" ht="15" customHeight="1">
      <c r="B27" s="267"/>
      <c r="C27" s="267"/>
      <c r="D27" s="267"/>
      <c r="E27" s="312"/>
      <c r="F27" s="326"/>
      <c r="G27" s="662"/>
      <c r="H27" s="326"/>
      <c r="I27" s="96"/>
      <c r="J27" s="96"/>
      <c r="K27" s="326"/>
      <c r="L27" s="326"/>
      <c r="U27" s="326"/>
      <c r="V27" s="326"/>
      <c r="W27" s="326"/>
      <c r="X27" s="326"/>
      <c r="Y27" s="326"/>
      <c r="Z27" s="320"/>
      <c r="AA27" s="326"/>
      <c r="AB27" s="332"/>
      <c r="AE27" s="302"/>
      <c r="AF27" s="302"/>
      <c r="AG27" s="302"/>
      <c r="AH27" s="302"/>
      <c r="AI27" s="302"/>
      <c r="AJ27" s="320"/>
      <c r="AK27" s="311"/>
      <c r="AL27" s="311"/>
      <c r="AM27" s="311"/>
      <c r="AN27" s="333"/>
      <c r="AO27" s="333"/>
      <c r="AP27" s="333"/>
      <c r="AQ27" s="333"/>
      <c r="AR27" s="311"/>
      <c r="AS27" s="311"/>
      <c r="AT27" s="311"/>
      <c r="AU27" s="333"/>
      <c r="AV27" s="333"/>
      <c r="AW27" s="333"/>
      <c r="AX27" s="333"/>
      <c r="AY27" s="311"/>
      <c r="AZ27" s="311"/>
      <c r="BA27" s="311"/>
      <c r="BB27" s="333"/>
      <c r="BC27" s="333"/>
      <c r="BD27" s="333"/>
      <c r="BE27" s="333"/>
      <c r="BI27" s="638" t="s">
        <v>321</v>
      </c>
      <c r="BJ27" s="638">
        <v>2</v>
      </c>
      <c r="BK27" s="638" t="s">
        <v>320</v>
      </c>
      <c r="BL27" s="687">
        <v>4.4109999999999996</v>
      </c>
      <c r="BM27" s="677">
        <v>4.4459999999999997</v>
      </c>
      <c r="BN27" s="842">
        <f t="shared" ref="BN27:BN37" si="5">IF(BM27="","",BL27/BM27)</f>
        <v>0.99212775528565</v>
      </c>
      <c r="BO27" s="290"/>
      <c r="BP27" s="821">
        <v>0.95</v>
      </c>
      <c r="BQ27" s="687"/>
      <c r="BR27" s="677"/>
      <c r="BS27" s="842" t="str">
        <f t="shared" ref="BS27:BS37" si="6">IF(BR27="","",BQ27/BR27)</f>
        <v/>
      </c>
      <c r="BT27" s="290"/>
      <c r="BU27" s="821">
        <v>0.95</v>
      </c>
      <c r="BX27" s="642" t="str">
        <f t="shared" si="3"/>
        <v>Nov</v>
      </c>
      <c r="BY27" s="643">
        <f>IF(CB27=$CB38,SUMIF($BI26:$BI37,$BX27,$BR26:$BR37),SUMIF($BI26:$BI37,$BX27,$BM26:$BM37))</f>
        <v>4.4459999999999997</v>
      </c>
      <c r="BZ27" s="821">
        <f>IF(IF(CB27=CB38,SUMIF(BI26:BI37,$BX27,BU26:BU37),SUMIF(BI26:BI37,$BX27,BP26:BP37))=0,NA(),IF(CB27=CB38,SUMIF(BI26:BI37,$BX27,BU26:BU37),SUMIF(BI26:BI37,$BX27,BP26:BP37)))</f>
        <v>0.95</v>
      </c>
      <c r="CA27" s="644">
        <f>IF(IF(CB27=CB38,SUMIF(BI26:BI37,$BX27,BS26:BS37),SUMIF(BI26:BI37,$BX27,BN26:BN37))=0,NA(),IF(CB27=CB38,SUMIF(BI26:BI37,$BX27,BS26:BS37),SUMIF(BI26:BI37,$BX27,BN26:BN37)))</f>
        <v>0.99212775528565</v>
      </c>
      <c r="CB27" s="645">
        <v>23</v>
      </c>
      <c r="CC27" s="645">
        <f t="shared" si="4"/>
        <v>11</v>
      </c>
    </row>
    <row r="28" spans="2:81" ht="15" customHeight="1">
      <c r="B28" s="267" t="s">
        <v>242</v>
      </c>
      <c r="C28" s="267"/>
      <c r="D28" s="267"/>
      <c r="E28" s="334"/>
      <c r="F28" s="326"/>
      <c r="G28" s="326"/>
      <c r="H28" s="326"/>
      <c r="I28" s="326"/>
      <c r="J28" s="326"/>
      <c r="K28" s="326"/>
      <c r="L28" s="326"/>
      <c r="M28" s="326"/>
      <c r="N28" s="326"/>
      <c r="O28" s="326"/>
      <c r="P28" s="326"/>
      <c r="Q28" s="326"/>
      <c r="R28" s="326"/>
      <c r="S28" s="326"/>
      <c r="T28" s="326"/>
      <c r="U28" s="326"/>
      <c r="V28" s="326"/>
      <c r="W28" s="326"/>
      <c r="X28" s="326"/>
      <c r="Y28" s="326"/>
      <c r="Z28" s="326"/>
      <c r="AA28" s="326"/>
      <c r="AB28" s="326"/>
      <c r="AE28" s="267" t="s">
        <v>242</v>
      </c>
      <c r="AF28" s="267"/>
      <c r="AG28" s="267"/>
      <c r="AH28" s="334"/>
      <c r="AI28" s="326"/>
      <c r="AJ28" s="326"/>
      <c r="AK28" s="326"/>
      <c r="AL28" s="326"/>
      <c r="AM28" s="326"/>
      <c r="AN28" s="326"/>
      <c r="AO28" s="326"/>
      <c r="AP28" s="326"/>
      <c r="AQ28" s="326"/>
      <c r="AR28" s="326"/>
      <c r="AS28" s="326"/>
      <c r="AT28" s="326"/>
      <c r="AU28" s="326"/>
      <c r="AV28" s="326"/>
      <c r="AW28" s="326"/>
      <c r="AX28" s="326"/>
      <c r="AY28" s="326"/>
      <c r="AZ28" s="326"/>
      <c r="BA28" s="326"/>
      <c r="BB28" s="326"/>
      <c r="BC28" s="326"/>
      <c r="BD28" s="326"/>
      <c r="BE28" s="326"/>
      <c r="BI28" s="638" t="s">
        <v>322</v>
      </c>
      <c r="BJ28" s="638">
        <v>3</v>
      </c>
      <c r="BK28" s="638" t="s">
        <v>320</v>
      </c>
      <c r="BL28" s="687">
        <v>6.73</v>
      </c>
      <c r="BM28" s="677">
        <v>6.7939999999999996</v>
      </c>
      <c r="BN28" s="842">
        <f t="shared" si="5"/>
        <v>0.99057992346187829</v>
      </c>
      <c r="BO28" s="290"/>
      <c r="BP28" s="821">
        <v>0.95</v>
      </c>
      <c r="BQ28" s="687"/>
      <c r="BR28" s="677"/>
      <c r="BS28" s="842" t="str">
        <f t="shared" si="6"/>
        <v/>
      </c>
      <c r="BT28" s="290"/>
      <c r="BU28" s="821">
        <v>0.95</v>
      </c>
      <c r="BX28" s="642" t="str">
        <f t="shared" si="3"/>
        <v>Dec</v>
      </c>
      <c r="BY28" s="643">
        <f>IF(CB28=$CB38,SUMIF($BI26:$BI37,$BX28,$BR26:$BR37),SUMIF($BI26:$BI37,$BX28,$BM26:$BM37))</f>
        <v>6.7939999999999996</v>
      </c>
      <c r="BZ28" s="821">
        <f>IF(IF(CB28=CB38,SUMIF(BI26:BI37,$BX28,BU26:BU37),SUMIF(BI26:BI37,$BX28,BP26:BP37))=0,NA(),IF(CB28=CB38,SUMIF(BI26:BI37,$BX28,BU26:BU37),SUMIF(BI26:BI37,$BX28,BP26:BP37)))</f>
        <v>0.95</v>
      </c>
      <c r="CA28" s="644">
        <f>IF(IF(CB28=CB38,SUMIF(BI26:BI37,$BX28,BS26:BS37),SUMIF(BI26:BI37,$BX28,BN26:BN37))=0,NA(),IF(CB28=CB38,SUMIF(BI26:BI37,$BX28,BS26:BS37),SUMIF(BI26:BI37,$BX28,BN26:BN37)))</f>
        <v>0.99057992346187829</v>
      </c>
      <c r="CB28" s="645">
        <v>23</v>
      </c>
      <c r="CC28" s="645">
        <f t="shared" si="4"/>
        <v>12</v>
      </c>
    </row>
    <row r="29" spans="2:81" ht="15" customHeight="1">
      <c r="B29" s="1165"/>
      <c r="C29" s="1166"/>
      <c r="D29" s="1166"/>
      <c r="E29" s="1166"/>
      <c r="F29" s="1166"/>
      <c r="G29" s="1166"/>
      <c r="H29" s="1166"/>
      <c r="I29" s="1166"/>
      <c r="J29" s="1166"/>
      <c r="K29" s="1166"/>
      <c r="L29" s="1166"/>
      <c r="M29" s="1166"/>
      <c r="N29" s="1166"/>
      <c r="O29" s="1166"/>
      <c r="P29" s="1166"/>
      <c r="Q29" s="1166"/>
      <c r="R29" s="1166"/>
      <c r="S29" s="1166"/>
      <c r="T29" s="1166"/>
      <c r="U29" s="1166"/>
      <c r="V29" s="1166"/>
      <c r="W29" s="1166"/>
      <c r="X29" s="1166"/>
      <c r="Y29" s="1166"/>
      <c r="Z29" s="1166"/>
      <c r="AA29" s="1166"/>
      <c r="AB29" s="1167"/>
      <c r="AC29"/>
      <c r="AD29"/>
      <c r="AE29" s="1165"/>
      <c r="AF29" s="1166"/>
      <c r="AG29" s="1166"/>
      <c r="AH29" s="1166"/>
      <c r="AI29" s="1166"/>
      <c r="AJ29" s="1166"/>
      <c r="AK29" s="1166"/>
      <c r="AL29" s="1166"/>
      <c r="AM29" s="1166"/>
      <c r="AN29" s="1166"/>
      <c r="AO29" s="1166"/>
      <c r="AP29" s="1166"/>
      <c r="AQ29" s="1166"/>
      <c r="AR29" s="1166"/>
      <c r="AS29" s="1166"/>
      <c r="AT29" s="1166"/>
      <c r="AU29" s="1166"/>
      <c r="AV29" s="1166"/>
      <c r="AW29" s="1166"/>
      <c r="AX29" s="1166"/>
      <c r="AY29" s="1166"/>
      <c r="AZ29" s="1166"/>
      <c r="BA29" s="1166"/>
      <c r="BB29" s="1166"/>
      <c r="BC29" s="1166"/>
      <c r="BD29" s="1166"/>
      <c r="BE29" s="1167"/>
      <c r="BI29" s="638" t="s">
        <v>323</v>
      </c>
      <c r="BJ29" s="638">
        <v>4</v>
      </c>
      <c r="BK29" s="638" t="s">
        <v>324</v>
      </c>
      <c r="BL29" s="687">
        <v>5.1550000000000002</v>
      </c>
      <c r="BM29" s="677">
        <v>5.2309999999999999</v>
      </c>
      <c r="BN29" s="842">
        <f t="shared" si="5"/>
        <v>0.98547122921047603</v>
      </c>
      <c r="BO29" s="833">
        <f>IF(SUM(BM29:BM31)=0,0,SUM(BL29:BL31)/SUM(BM29:BM31))</f>
        <v>0.98967551622418903</v>
      </c>
      <c r="BP29" s="821">
        <v>0.95</v>
      </c>
      <c r="BQ29" s="687"/>
      <c r="BR29" s="677"/>
      <c r="BS29" s="842" t="str">
        <f t="shared" si="6"/>
        <v/>
      </c>
      <c r="BT29" s="833">
        <f>IF(SUM(BR29:BR31)=0,0,SUM(BQ29:BQ31)/SUM(BR29:BR31))</f>
        <v>0</v>
      </c>
      <c r="BU29" s="821">
        <v>0.95</v>
      </c>
      <c r="BX29" s="642" t="str">
        <f t="shared" si="3"/>
        <v>Jan</v>
      </c>
      <c r="BY29" s="643">
        <f>IF(CB29=$CB38,SUMIF($BI26:$BI37,$BX29,$BR26:$BR37),SUMIF($BI26:$BI37,$BX29,$BM26:$BM37))</f>
        <v>5.2309999999999999</v>
      </c>
      <c r="BZ29" s="821">
        <f>IF(IF(CB29=CB38,SUMIF(BI26:BI37,$BX29,BU26:BU37),SUMIF(BI26:BI37,$BX29,BP26:BP37))=0,NA(),IF(CB29=CB38,SUMIF(BI26:BI37,$BX29,BU26:BU37),SUMIF(BI26:BI37,$BX29,BP26:BP37)))</f>
        <v>0.95</v>
      </c>
      <c r="CA29" s="644">
        <f>IF(IF(CB29=CB38,SUMIF(BI26:BI37,$BX29,BS26:BS37),SUMIF(BI26:BI37,$BX29,BN26:BN37))=0,NA(),IF(CB29=CB38,SUMIF(BI26:BI37,$BX29,BS26:BS37),SUMIF(BI26:BI37,$BX29,BN26:BN37)))</f>
        <v>0.98547122921047603</v>
      </c>
      <c r="CB29" s="645">
        <v>23</v>
      </c>
      <c r="CC29" s="645">
        <f t="shared" si="4"/>
        <v>1</v>
      </c>
    </row>
    <row r="30" spans="2:81" ht="15" customHeight="1">
      <c r="B30" s="1168"/>
      <c r="C30" s="1169"/>
      <c r="D30" s="1169"/>
      <c r="E30" s="1169"/>
      <c r="F30" s="1169"/>
      <c r="G30" s="1169"/>
      <c r="H30" s="1169"/>
      <c r="I30" s="1169"/>
      <c r="J30" s="1169"/>
      <c r="K30" s="1169"/>
      <c r="L30" s="1169"/>
      <c r="M30" s="1169"/>
      <c r="N30" s="1169"/>
      <c r="O30" s="1169"/>
      <c r="P30" s="1169"/>
      <c r="Q30" s="1169"/>
      <c r="R30" s="1169"/>
      <c r="S30" s="1169"/>
      <c r="T30" s="1169"/>
      <c r="U30" s="1169"/>
      <c r="V30" s="1169"/>
      <c r="W30" s="1169"/>
      <c r="X30" s="1169"/>
      <c r="Y30" s="1169"/>
      <c r="Z30" s="1169"/>
      <c r="AA30" s="1169"/>
      <c r="AB30" s="1170"/>
      <c r="AC30"/>
      <c r="AD30"/>
      <c r="AE30" s="1168"/>
      <c r="AF30" s="1169"/>
      <c r="AG30" s="1169"/>
      <c r="AH30" s="1169"/>
      <c r="AI30" s="1169"/>
      <c r="AJ30" s="1169"/>
      <c r="AK30" s="1169"/>
      <c r="AL30" s="1169"/>
      <c r="AM30" s="1169"/>
      <c r="AN30" s="1169"/>
      <c r="AO30" s="1169"/>
      <c r="AP30" s="1169"/>
      <c r="AQ30" s="1169"/>
      <c r="AR30" s="1169"/>
      <c r="AS30" s="1169"/>
      <c r="AT30" s="1169"/>
      <c r="AU30" s="1169"/>
      <c r="AV30" s="1169"/>
      <c r="AW30" s="1169"/>
      <c r="AX30" s="1169"/>
      <c r="AY30" s="1169"/>
      <c r="AZ30" s="1169"/>
      <c r="BA30" s="1169"/>
      <c r="BB30" s="1169"/>
      <c r="BC30" s="1169"/>
      <c r="BD30" s="1169"/>
      <c r="BE30" s="1170"/>
      <c r="BI30" s="638" t="s">
        <v>325</v>
      </c>
      <c r="BJ30" s="638">
        <v>5</v>
      </c>
      <c r="BK30" s="638" t="s">
        <v>324</v>
      </c>
      <c r="BL30" s="687">
        <v>5.6779999999999999</v>
      </c>
      <c r="BM30" s="677">
        <v>5.7329999999999997</v>
      </c>
      <c r="BN30" s="842">
        <f t="shared" si="5"/>
        <v>0.99040641897784765</v>
      </c>
      <c r="BO30" s="290"/>
      <c r="BP30" s="821">
        <v>0.95</v>
      </c>
      <c r="BQ30" s="687"/>
      <c r="BR30" s="677"/>
      <c r="BS30" s="842" t="str">
        <f t="shared" si="6"/>
        <v/>
      </c>
      <c r="BT30" s="290"/>
      <c r="BU30" s="821">
        <v>0.95</v>
      </c>
      <c r="BX30" s="642" t="str">
        <f t="shared" si="3"/>
        <v>Feb</v>
      </c>
      <c r="BY30" s="643">
        <f>IF(CB30=$CB38,SUMIF($BI26:$BI37,$BX30,$BR26:$BR37),SUMIF($BI26:$BI37,$BX30,$BM26:$BM37))</f>
        <v>5.7329999999999997</v>
      </c>
      <c r="BZ30" s="821">
        <f>IF(IF(CB30=CB38,SUMIF(BI26:BI37,$BX30,BU26:BU37),SUMIF(BI26:BI37,$BX30,BP26:BP37))=0,NA(),IF(CB30=CB38,SUMIF(BI26:BI37,$BX30,BU26:BU37),SUMIF(BI26:BI37,$BX30,BP26:BP37)))</f>
        <v>0.95</v>
      </c>
      <c r="CA30" s="644">
        <f>IF(IF(CB30=CB38,SUMIF(BI26:BI37,$BX30,BS26:BS37),SUMIF(BI26:BI37,$BX30,BN26:BN37))=0,NA(),IF(CB30=CB38,SUMIF(BI26:BI37,$BX30,BS26:BS37),SUMIF(BI26:BI37,$BX30,BN26:BN37)))</f>
        <v>0.99040641897784765</v>
      </c>
      <c r="CB30" s="645">
        <v>23</v>
      </c>
      <c r="CC30" s="645">
        <f t="shared" si="4"/>
        <v>2</v>
      </c>
    </row>
    <row r="31" spans="2:81" ht="15" customHeight="1">
      <c r="B31" s="1168"/>
      <c r="C31" s="1169"/>
      <c r="D31" s="1169"/>
      <c r="E31" s="1169"/>
      <c r="F31" s="1169"/>
      <c r="G31" s="1169"/>
      <c r="H31" s="1169"/>
      <c r="I31" s="1169"/>
      <c r="J31" s="1169"/>
      <c r="K31" s="1169"/>
      <c r="L31" s="1169"/>
      <c r="M31" s="1169"/>
      <c r="N31" s="1169"/>
      <c r="O31" s="1169"/>
      <c r="P31" s="1169"/>
      <c r="Q31" s="1169"/>
      <c r="R31" s="1169"/>
      <c r="S31" s="1169"/>
      <c r="T31" s="1169"/>
      <c r="U31" s="1169"/>
      <c r="V31" s="1169"/>
      <c r="W31" s="1169"/>
      <c r="X31" s="1169"/>
      <c r="Y31" s="1169"/>
      <c r="Z31" s="1169"/>
      <c r="AA31" s="1169"/>
      <c r="AB31" s="1170"/>
      <c r="AC31"/>
      <c r="AD31"/>
      <c r="AE31" s="1168"/>
      <c r="AF31" s="1169"/>
      <c r="AG31" s="1169"/>
      <c r="AH31" s="1169"/>
      <c r="AI31" s="1169"/>
      <c r="AJ31" s="1169"/>
      <c r="AK31" s="1169"/>
      <c r="AL31" s="1169"/>
      <c r="AM31" s="1169"/>
      <c r="AN31" s="1169"/>
      <c r="AO31" s="1169"/>
      <c r="AP31" s="1169"/>
      <c r="AQ31" s="1169"/>
      <c r="AR31" s="1169"/>
      <c r="AS31" s="1169"/>
      <c r="AT31" s="1169"/>
      <c r="AU31" s="1169"/>
      <c r="AV31" s="1169"/>
      <c r="AW31" s="1169"/>
      <c r="AX31" s="1169"/>
      <c r="AY31" s="1169"/>
      <c r="AZ31" s="1169"/>
      <c r="BA31" s="1169"/>
      <c r="BB31" s="1169"/>
      <c r="BC31" s="1169"/>
      <c r="BD31" s="1169"/>
      <c r="BE31" s="1170"/>
      <c r="BI31" s="638" t="s">
        <v>326</v>
      </c>
      <c r="BJ31" s="638">
        <v>6</v>
      </c>
      <c r="BK31" s="638" t="s">
        <v>324</v>
      </c>
      <c r="BL31" s="687">
        <v>7.2839999999999998</v>
      </c>
      <c r="BM31" s="677">
        <v>7.3419999999999996</v>
      </c>
      <c r="BN31" s="842">
        <f t="shared" si="5"/>
        <v>0.99210024516480522</v>
      </c>
      <c r="BO31" s="290"/>
      <c r="BP31" s="821">
        <v>0.95</v>
      </c>
      <c r="BQ31" s="687"/>
      <c r="BR31" s="677"/>
      <c r="BS31" s="842" t="str">
        <f t="shared" si="6"/>
        <v/>
      </c>
      <c r="BT31" s="290"/>
      <c r="BU31" s="821">
        <v>0.95</v>
      </c>
      <c r="BX31" s="642" t="str">
        <f t="shared" si="3"/>
        <v>Mar</v>
      </c>
      <c r="BY31" s="643">
        <f>IF(CB31=$CB38,SUMIF($BI26:$BI37,$BX31,$BR26:$BR37),SUMIF($BI26:$BI37,$BX31,$BM26:$BM37))</f>
        <v>7.3419999999999996</v>
      </c>
      <c r="BZ31" s="821">
        <f>IF(IF(CB31=CB38,SUMIF(BI26:BI37,$BX31,BU26:BU37),SUMIF(BI26:BI37,$BX31,BP26:BP37))=0,NA(),IF(CB31=CB38,SUMIF(BI26:BI37,$BX31,BU26:BU37),SUMIF(BI26:BI37,$BX31,BP26:BP37)))</f>
        <v>0.95</v>
      </c>
      <c r="CA31" s="644">
        <f>IF(IF(CB31=CB38,SUMIF(BI26:BI37,$BX31,BS26:BS37),SUMIF(BI26:BI37,$BX31,BN26:BN37))=0,NA(),IF(CB31=CB38,SUMIF(BI26:BI37,$BX31,BS26:BS37),SUMIF(BI26:BI37,$BX31,BN26:BN37)))</f>
        <v>0.99210024516480522</v>
      </c>
      <c r="CB31" s="645">
        <v>23</v>
      </c>
      <c r="CC31" s="645">
        <f t="shared" si="4"/>
        <v>3</v>
      </c>
    </row>
    <row r="32" spans="2:81" ht="15" customHeight="1">
      <c r="B32" s="1171"/>
      <c r="C32" s="1172"/>
      <c r="D32" s="1172"/>
      <c r="E32" s="1172"/>
      <c r="F32" s="1172"/>
      <c r="G32" s="1172"/>
      <c r="H32" s="1172"/>
      <c r="I32" s="1172"/>
      <c r="J32" s="1172"/>
      <c r="K32" s="1172"/>
      <c r="L32" s="1172"/>
      <c r="M32" s="1172"/>
      <c r="N32" s="1172"/>
      <c r="O32" s="1172"/>
      <c r="P32" s="1172"/>
      <c r="Q32" s="1172"/>
      <c r="R32" s="1172"/>
      <c r="S32" s="1172"/>
      <c r="T32" s="1172"/>
      <c r="U32" s="1172"/>
      <c r="V32" s="1172"/>
      <c r="W32" s="1172"/>
      <c r="X32" s="1172"/>
      <c r="Y32" s="1172"/>
      <c r="Z32" s="1172"/>
      <c r="AA32" s="1172"/>
      <c r="AB32" s="1173"/>
      <c r="AC32"/>
      <c r="AD32"/>
      <c r="AE32" s="1171"/>
      <c r="AF32" s="1172"/>
      <c r="AG32" s="1172"/>
      <c r="AH32" s="1172"/>
      <c r="AI32" s="1172"/>
      <c r="AJ32" s="1172"/>
      <c r="AK32" s="1172"/>
      <c r="AL32" s="1172"/>
      <c r="AM32" s="1172"/>
      <c r="AN32" s="1172"/>
      <c r="AO32" s="1172"/>
      <c r="AP32" s="1172"/>
      <c r="AQ32" s="1172"/>
      <c r="AR32" s="1172"/>
      <c r="AS32" s="1172"/>
      <c r="AT32" s="1172"/>
      <c r="AU32" s="1172"/>
      <c r="AV32" s="1172"/>
      <c r="AW32" s="1172"/>
      <c r="AX32" s="1172"/>
      <c r="AY32" s="1172"/>
      <c r="AZ32" s="1172"/>
      <c r="BA32" s="1172"/>
      <c r="BB32" s="1172"/>
      <c r="BC32" s="1172"/>
      <c r="BD32" s="1172"/>
      <c r="BE32" s="1173"/>
      <c r="BI32" s="638" t="s">
        <v>327</v>
      </c>
      <c r="BJ32" s="638">
        <v>7</v>
      </c>
      <c r="BK32" s="638" t="s">
        <v>328</v>
      </c>
      <c r="BL32" s="687">
        <v>5.5720000000000001</v>
      </c>
      <c r="BM32" s="677">
        <v>5.65</v>
      </c>
      <c r="BN32" s="842">
        <f t="shared" si="5"/>
        <v>0.98619469026548667</v>
      </c>
      <c r="BO32" s="833">
        <f>IF(SUM(BM32:BM34)=0,0,SUM(BL32:BL34)/SUM(BM32:BM34))</f>
        <v>0.99016166773027026</v>
      </c>
      <c r="BP32" s="821">
        <v>0.95</v>
      </c>
      <c r="BQ32" s="687"/>
      <c r="BR32" s="677"/>
      <c r="BS32" s="842" t="str">
        <f t="shared" si="6"/>
        <v/>
      </c>
      <c r="BT32" s="833">
        <f>IF(SUM(BR32:BR34)=0,0,SUM(BQ32:BQ34)/SUM(BR32:BR34))</f>
        <v>0</v>
      </c>
      <c r="BU32" s="821">
        <v>0.95</v>
      </c>
      <c r="BX32" s="642" t="str">
        <f t="shared" si="3"/>
        <v>Apr</v>
      </c>
      <c r="BY32" s="643">
        <f>IF(CB32=$CB38,SUMIF($BI26:$BI37,$BX32,$BR26:$BR37),SUMIF($BI26:$BI37,$BX32,$BM26:$BM37))</f>
        <v>5.65</v>
      </c>
      <c r="BZ32" s="821">
        <f>IF(IF(CB32=CB38,SUMIF(BI26:BI37,$BX32,BU26:BU37),SUMIF(BI26:BI37,$BX32,BP26:BP37))=0,NA(),IF(CB32=CB38,SUMIF(BI26:BI37,$BX32,BU26:BU37),SUMIF(BI26:BI37,$BX32,BP26:BP37)))</f>
        <v>0.95</v>
      </c>
      <c r="CA32" s="644">
        <f>IF(IF(CB32=CB38,SUMIF(BI26:BI37,$BX32,BS26:BS37),SUMIF(BI26:BI37,$BX32,BN26:BN37))=0,NA(),IF(CB32=CB38,SUMIF(BI26:BI37,$BX32,BS26:BS37),SUMIF(BI26:BI37,$BX32,BN26:BN37)))</f>
        <v>0.98619469026548667</v>
      </c>
      <c r="CB32" s="645">
        <v>23</v>
      </c>
      <c r="CC32" s="645">
        <f t="shared" si="4"/>
        <v>4</v>
      </c>
    </row>
    <row r="33" spans="1:81" ht="15" customHeight="1">
      <c r="BI33" s="638" t="s">
        <v>329</v>
      </c>
      <c r="BJ33" s="638">
        <v>8</v>
      </c>
      <c r="BK33" s="638" t="s">
        <v>328</v>
      </c>
      <c r="BL33" s="687">
        <v>5.9770000000000003</v>
      </c>
      <c r="BM33" s="677">
        <v>6.024</v>
      </c>
      <c r="BN33" s="842">
        <f t="shared" si="5"/>
        <v>0.99219787516600266</v>
      </c>
      <c r="BO33" s="290"/>
      <c r="BP33" s="821">
        <v>0.95</v>
      </c>
      <c r="BQ33" s="687"/>
      <c r="BR33" s="677"/>
      <c r="BS33" s="842" t="str">
        <f t="shared" si="6"/>
        <v/>
      </c>
      <c r="BT33" s="290"/>
      <c r="BU33" s="821">
        <v>0.95</v>
      </c>
      <c r="BX33" s="642" t="str">
        <f t="shared" si="3"/>
        <v>May</v>
      </c>
      <c r="BY33" s="643">
        <f>IF(CB33=$CB38,SUMIF($BI26:$BI37,$BX33,$BR26:$BR37),SUMIF($BI26:$BI37,$BX33,$BM26:$BM37))</f>
        <v>6.024</v>
      </c>
      <c r="BZ33" s="821">
        <f>IF(IF(CB33=CB38,SUMIF(BI26:BI37,$BX33,BU26:BU37),SUMIF(BI26:BI37,$BX33,BP26:BP37))=0,NA(),IF(CB33=CB38,SUMIF(BI26:BI37,$BX33,BU26:BU37),SUMIF(BI26:BI37,$BX33,BP26:BP37)))</f>
        <v>0.95</v>
      </c>
      <c r="CA33" s="644">
        <f>IF(IF(CB33=CB38,SUMIF(BI26:BI37,$BX33,BS26:BS37),SUMIF(BI26:BI37,$BX33,BN26:BN37))=0,NA(),IF(CB33=CB38,SUMIF(BI26:BI37,$BX33,BS26:BS37),SUMIF(BI26:BI37,$BX33,BN26:BN37)))</f>
        <v>0.99219787516600266</v>
      </c>
      <c r="CB33" s="645">
        <v>23</v>
      </c>
      <c r="CC33" s="645">
        <f t="shared" si="4"/>
        <v>5</v>
      </c>
    </row>
    <row r="34" spans="1:81" ht="15" customHeight="1">
      <c r="B34" s="531" t="s">
        <v>330</v>
      </c>
      <c r="C34" s="533"/>
      <c r="D34" s="533"/>
      <c r="E34" s="533"/>
      <c r="F34" s="533"/>
      <c r="G34" s="532"/>
      <c r="H34" s="532"/>
      <c r="I34" s="532"/>
      <c r="J34" s="532"/>
      <c r="K34" s="532"/>
      <c r="L34" s="539"/>
      <c r="M34" s="533"/>
      <c r="N34" s="533"/>
      <c r="O34" s="532"/>
      <c r="P34" s="532"/>
      <c r="Q34" s="532"/>
      <c r="R34" s="532"/>
      <c r="S34" s="532"/>
      <c r="T34" s="532"/>
      <c r="U34" s="532"/>
      <c r="V34" s="532"/>
      <c r="W34" s="532"/>
      <c r="X34" s="532"/>
      <c r="Y34" s="532"/>
      <c r="Z34" s="532"/>
      <c r="AA34" s="532"/>
      <c r="AB34" s="532"/>
      <c r="AC34" s="532"/>
      <c r="AD34" s="532"/>
      <c r="AE34" s="532"/>
      <c r="AF34" s="532"/>
      <c r="AG34" s="532"/>
      <c r="AH34" s="532"/>
      <c r="AI34" s="532"/>
      <c r="AJ34" s="532"/>
      <c r="AK34" s="532"/>
      <c r="AL34" s="532"/>
      <c r="AM34" s="532"/>
      <c r="AN34" s="532"/>
      <c r="AO34" s="532"/>
      <c r="AP34" s="532"/>
      <c r="AQ34" s="532"/>
      <c r="AR34" s="532"/>
      <c r="AS34" s="532"/>
      <c r="AT34" s="532"/>
      <c r="AU34" s="532"/>
      <c r="AV34" s="532"/>
      <c r="AW34" s="532"/>
      <c r="AX34" s="532"/>
      <c r="AY34" s="532"/>
      <c r="AZ34" s="532"/>
      <c r="BA34" s="532"/>
      <c r="BB34" s="532"/>
      <c r="BC34" s="532"/>
      <c r="BD34" s="532"/>
      <c r="BE34" s="532"/>
      <c r="BI34" s="638" t="s">
        <v>331</v>
      </c>
      <c r="BJ34" s="638">
        <v>9</v>
      </c>
      <c r="BK34" s="638" t="s">
        <v>328</v>
      </c>
      <c r="BL34" s="687">
        <v>7.07</v>
      </c>
      <c r="BM34" s="677">
        <v>7.13</v>
      </c>
      <c r="BN34" s="842">
        <f t="shared" si="5"/>
        <v>0.99158485273492292</v>
      </c>
      <c r="BO34" s="290"/>
      <c r="BP34" s="821">
        <v>0.95</v>
      </c>
      <c r="BQ34" s="687"/>
      <c r="BR34" s="677"/>
      <c r="BS34" s="842" t="str">
        <f t="shared" si="6"/>
        <v/>
      </c>
      <c r="BT34" s="290"/>
      <c r="BU34" s="821">
        <v>0.95</v>
      </c>
      <c r="BX34" s="642" t="str">
        <f t="shared" si="3"/>
        <v>Jun</v>
      </c>
      <c r="BY34" s="643">
        <f>IF(CB34=$CB38,SUMIF($BI26:$BI37,$BX34,$BR26:$BR37),SUMIF($BI26:$BI37,$BX34,$BM26:$BM37))</f>
        <v>7.13</v>
      </c>
      <c r="BZ34" s="821">
        <f>IF(IF(CB34=CB38,SUMIF(BI26:BI37,$BX34,BU26:BU37),SUMIF(BI26:BI37,$BX34,BP26:BP37))=0,NA(),IF(CB34=CB38,SUMIF(BI26:BI37,$BX34,BU26:BU37),SUMIF(BI26:BI37,$BX34,BP26:BP37)))</f>
        <v>0.95</v>
      </c>
      <c r="CA34" s="644">
        <f>IF(IF(CB34=CB38,SUMIF(BI26:BI37,$BX34,BS26:BS37),SUMIF(BI26:BI37,$BX34,BN26:BN37))=0,NA(),IF(CB34=CB38,SUMIF(BI26:BI37,$BX34,BS26:BS37),SUMIF(BI26:BI37,$BX34,BN26:BN37)))</f>
        <v>0.99158485273492292</v>
      </c>
      <c r="CB34" s="645">
        <v>23</v>
      </c>
      <c r="CC34" s="645">
        <f t="shared" si="4"/>
        <v>6</v>
      </c>
    </row>
    <row r="35" spans="1:81" ht="15" customHeight="1">
      <c r="B35" s="1124" t="s">
        <v>332</v>
      </c>
      <c r="C35" s="1124"/>
      <c r="D35" s="1124"/>
      <c r="E35" s="1124"/>
      <c r="F35" s="1124"/>
      <c r="G35" s="1124"/>
      <c r="H35" s="1124"/>
      <c r="I35" s="1124"/>
      <c r="J35" s="1124"/>
      <c r="K35" s="1124" t="s">
        <v>335</v>
      </c>
      <c r="L35" s="1124"/>
      <c r="M35" s="1124"/>
      <c r="N35" s="1124"/>
      <c r="O35" s="1124"/>
      <c r="P35" s="1124"/>
      <c r="Q35" s="1123" t="s">
        <v>713</v>
      </c>
      <c r="R35" s="1123"/>
      <c r="S35" s="1123"/>
      <c r="T35" s="1124" t="s">
        <v>712</v>
      </c>
      <c r="U35" s="1124"/>
      <c r="V35" s="1124"/>
      <c r="W35" s="1124"/>
      <c r="X35" s="1124"/>
      <c r="Y35" s="1124"/>
      <c r="Z35" s="1124"/>
      <c r="AA35" s="1124"/>
      <c r="AB35" s="1124"/>
      <c r="AC35" s="1153" t="s">
        <v>365</v>
      </c>
      <c r="AD35" s="1154"/>
      <c r="AE35" s="1154"/>
      <c r="AF35" s="1154"/>
      <c r="AG35" s="1154"/>
      <c r="AH35" s="1154"/>
      <c r="AI35" s="1154"/>
      <c r="AJ35" s="1154"/>
      <c r="AK35" s="1154"/>
      <c r="AL35" s="1154"/>
      <c r="AM35" s="1154"/>
      <c r="AN35" s="1154"/>
      <c r="AO35" s="1154"/>
      <c r="AP35" s="1154"/>
      <c r="AQ35" s="1154"/>
      <c r="AR35" s="1154"/>
      <c r="AS35" s="1154"/>
      <c r="AT35" s="1154"/>
      <c r="AU35" s="1154"/>
      <c r="AV35" s="1154"/>
      <c r="AW35" s="1154"/>
      <c r="AX35" s="1154"/>
      <c r="AY35" s="1154"/>
      <c r="AZ35" s="1154"/>
      <c r="BA35" s="1154"/>
      <c r="BB35" s="1154"/>
      <c r="BC35" s="1154"/>
      <c r="BD35" s="1154"/>
      <c r="BE35" s="1155"/>
      <c r="BH35" s="223"/>
      <c r="BI35" s="638" t="s">
        <v>337</v>
      </c>
      <c r="BJ35" s="638">
        <v>10</v>
      </c>
      <c r="BK35" s="638" t="s">
        <v>338</v>
      </c>
      <c r="BL35" s="687">
        <v>5.1120000000000001</v>
      </c>
      <c r="BM35" s="677">
        <v>5.1340000000000003</v>
      </c>
      <c r="BN35" s="842">
        <f t="shared" si="5"/>
        <v>0.99571484222828199</v>
      </c>
      <c r="BO35" s="833">
        <f>IF(SUM(BM35:BM37)=0,0,SUM(BL35:BL37)/SUM(BM35:BM37))</f>
        <v>0.97219233165316876</v>
      </c>
      <c r="BP35" s="821">
        <v>0.95</v>
      </c>
      <c r="BQ35" s="687"/>
      <c r="BR35" s="677"/>
      <c r="BS35" s="842" t="str">
        <f t="shared" si="6"/>
        <v/>
      </c>
      <c r="BT35" s="833">
        <f>IF(SUM(BR35:BR37)=0,0,SUM(BQ35:BQ37)/SUM(BR35:BR37))</f>
        <v>0</v>
      </c>
      <c r="BU35" s="821">
        <v>0.95</v>
      </c>
      <c r="BX35" s="642" t="str">
        <f t="shared" si="3"/>
        <v>Jul</v>
      </c>
      <c r="BY35" s="643">
        <f>IF(CB35=$CB38,SUMIF($BI26:$BI37,$BX35,$BR26:$BR37),SUMIF($BI26:$BI37,$BX35,$BM26:$BM37))</f>
        <v>5.1340000000000003</v>
      </c>
      <c r="BZ35" s="821">
        <f>IF(IF(CB35=CB38,SUMIF(BI26:BI37,$BX35,BU26:BU37),SUMIF(BI26:BI37,$BX35,BP26:BP37))=0,NA(),IF(CB35=CB38,SUMIF(BI26:BI37,$BX35,BU26:BU37),SUMIF(BI26:BI37,$BX35,BP26:BP37)))</f>
        <v>0.95</v>
      </c>
      <c r="CA35" s="644">
        <f>IF(IF(CB35=CB38,SUMIF(BI26:BI37,$BX35,BS26:BS37),SUMIF(BI26:BI37,$BX35,BN26:BN37))=0,NA(),IF(CB35=CB38,SUMIF(BI26:BI37,$BX35,BS26:BS37),SUMIF(BI26:BI37,$BX35,BN26:BN37)))</f>
        <v>0.99571484222828199</v>
      </c>
      <c r="CB35" s="645">
        <v>23</v>
      </c>
      <c r="CC35" s="645">
        <f t="shared" si="4"/>
        <v>7</v>
      </c>
    </row>
    <row r="36" spans="1:81" ht="15" customHeight="1">
      <c r="B36" s="1124"/>
      <c r="C36" s="1124"/>
      <c r="D36" s="1124"/>
      <c r="E36" s="1124"/>
      <c r="F36" s="1124"/>
      <c r="G36" s="1124"/>
      <c r="H36" s="1124"/>
      <c r="I36" s="1124"/>
      <c r="J36" s="1124"/>
      <c r="K36" s="1124" t="s">
        <v>23</v>
      </c>
      <c r="L36" s="1124"/>
      <c r="M36" s="1124"/>
      <c r="N36" s="1124" t="s">
        <v>339</v>
      </c>
      <c r="O36" s="1124"/>
      <c r="P36" s="1124"/>
      <c r="Q36" s="1123"/>
      <c r="R36" s="1123"/>
      <c r="S36" s="1123"/>
      <c r="T36" s="1123" t="s">
        <v>340</v>
      </c>
      <c r="U36" s="1123"/>
      <c r="V36" s="1123"/>
      <c r="W36" s="1123" t="s">
        <v>341</v>
      </c>
      <c r="X36" s="1123"/>
      <c r="Y36" s="1123"/>
      <c r="Z36" s="1123" t="s">
        <v>342</v>
      </c>
      <c r="AA36" s="1123"/>
      <c r="AB36" s="1123"/>
      <c r="AC36" s="1156"/>
      <c r="AD36" s="1157"/>
      <c r="AE36" s="1157"/>
      <c r="AF36" s="1157"/>
      <c r="AG36" s="1157"/>
      <c r="AH36" s="1157"/>
      <c r="AI36" s="1157"/>
      <c r="AJ36" s="1157"/>
      <c r="AK36" s="1157"/>
      <c r="AL36" s="1157"/>
      <c r="AM36" s="1157"/>
      <c r="AN36" s="1157"/>
      <c r="AO36" s="1157"/>
      <c r="AP36" s="1157"/>
      <c r="AQ36" s="1157"/>
      <c r="AR36" s="1157"/>
      <c r="AS36" s="1157"/>
      <c r="AT36" s="1157"/>
      <c r="AU36" s="1157"/>
      <c r="AV36" s="1157"/>
      <c r="AW36" s="1157"/>
      <c r="AX36" s="1157"/>
      <c r="AY36" s="1157"/>
      <c r="AZ36" s="1157"/>
      <c r="BA36" s="1157"/>
      <c r="BB36" s="1157"/>
      <c r="BC36" s="1157"/>
      <c r="BD36" s="1157"/>
      <c r="BE36" s="1158"/>
      <c r="BH36" s="223"/>
      <c r="BI36" s="638" t="s">
        <v>343</v>
      </c>
      <c r="BJ36" s="638">
        <v>11</v>
      </c>
      <c r="BK36" s="638" t="s">
        <v>338</v>
      </c>
      <c r="BL36" s="687">
        <v>5.3650000000000002</v>
      </c>
      <c r="BM36" s="677">
        <v>5.4210000000000003</v>
      </c>
      <c r="BN36" s="842">
        <f t="shared" si="5"/>
        <v>0.98966980261944293</v>
      </c>
      <c r="BO36" s="873"/>
      <c r="BP36" s="821">
        <v>0.95</v>
      </c>
      <c r="BQ36" s="687"/>
      <c r="BR36" s="677"/>
      <c r="BS36" s="842" t="str">
        <f t="shared" si="6"/>
        <v/>
      </c>
      <c r="BT36" s="873"/>
      <c r="BU36" s="821">
        <v>0.95</v>
      </c>
      <c r="BX36" s="642" t="str">
        <f t="shared" si="3"/>
        <v>Aug</v>
      </c>
      <c r="BY36" s="643">
        <f>IF(CB36=$CB38,SUMIF($BI26:$BI37,$BX36,$BR26:$BR37),SUMIF($BI26:$BI37,$BX36,$BM26:$BM37))</f>
        <v>5.4210000000000003</v>
      </c>
      <c r="BZ36" s="821">
        <f>IF(IF(CB36=CB38,SUMIF(BI26:BI37,$BX36,BU26:BU37),SUMIF(BI26:BI37,$BX36,BP26:BP37))=0,NA(),IF(CB36=CB38,SUMIF(BI26:BI37,$BX36,BU26:BU37),SUMIF(BI26:BI37,$BX36,BP26:BP37)))</f>
        <v>0.95</v>
      </c>
      <c r="CA36" s="644">
        <f>IF(IF(CB36=CB38,SUMIF(BI26:BI37,$BX36,BS26:BS37),SUMIF(BI26:BI37,$BX36,BN26:BN37))=0,NA(),IF(CB36=CB38,SUMIF(BI26:BI37,$BX36,BS26:BS37),SUMIF(BI26:BI37,$BX36,BN26:BN37)))</f>
        <v>0.98966980261944293</v>
      </c>
      <c r="CB36" s="645">
        <v>23</v>
      </c>
      <c r="CC36" s="645">
        <f t="shared" si="4"/>
        <v>8</v>
      </c>
    </row>
    <row r="37" spans="1:81" ht="15" customHeight="1">
      <c r="B37" s="1124"/>
      <c r="C37" s="1124"/>
      <c r="D37" s="1124"/>
      <c r="E37" s="1124"/>
      <c r="F37" s="1124"/>
      <c r="G37" s="1124"/>
      <c r="H37" s="1124"/>
      <c r="I37" s="1124"/>
      <c r="J37" s="1124"/>
      <c r="K37" s="1124"/>
      <c r="L37" s="1124"/>
      <c r="M37" s="1124"/>
      <c r="N37" s="1124"/>
      <c r="O37" s="1124"/>
      <c r="P37" s="1124"/>
      <c r="Q37" s="1123"/>
      <c r="R37" s="1123"/>
      <c r="S37" s="1123"/>
      <c r="T37" s="1123"/>
      <c r="U37" s="1123"/>
      <c r="V37" s="1123"/>
      <c r="W37" s="1123"/>
      <c r="X37" s="1123"/>
      <c r="Y37" s="1123"/>
      <c r="Z37" s="1123"/>
      <c r="AA37" s="1123"/>
      <c r="AB37" s="1123"/>
      <c r="AC37" s="1159"/>
      <c r="AD37" s="1160"/>
      <c r="AE37" s="1160"/>
      <c r="AF37" s="1160"/>
      <c r="AG37" s="1160"/>
      <c r="AH37" s="1160"/>
      <c r="AI37" s="1160"/>
      <c r="AJ37" s="1160"/>
      <c r="AK37" s="1160"/>
      <c r="AL37" s="1160"/>
      <c r="AM37" s="1160"/>
      <c r="AN37" s="1160"/>
      <c r="AO37" s="1160"/>
      <c r="AP37" s="1160"/>
      <c r="AQ37" s="1160"/>
      <c r="AR37" s="1160"/>
      <c r="AS37" s="1160"/>
      <c r="AT37" s="1160"/>
      <c r="AU37" s="1160"/>
      <c r="AV37" s="1160"/>
      <c r="AW37" s="1160"/>
      <c r="AX37" s="1160"/>
      <c r="AY37" s="1160"/>
      <c r="AZ37" s="1160"/>
      <c r="BA37" s="1160"/>
      <c r="BB37" s="1160"/>
      <c r="BC37" s="1160"/>
      <c r="BD37" s="1160"/>
      <c r="BE37" s="1161"/>
      <c r="BH37" s="223"/>
      <c r="BI37" s="638" t="s">
        <v>344</v>
      </c>
      <c r="BJ37" s="638">
        <v>12</v>
      </c>
      <c r="BK37" s="638" t="s">
        <v>338</v>
      </c>
      <c r="BL37" s="687">
        <v>6.6890000000000001</v>
      </c>
      <c r="BM37" s="677">
        <v>7.1020000000000003</v>
      </c>
      <c r="BN37" s="842">
        <f t="shared" si="5"/>
        <v>0.94184736693889037</v>
      </c>
      <c r="BO37" s="873"/>
      <c r="BP37" s="821">
        <v>0.95</v>
      </c>
      <c r="BQ37" s="687"/>
      <c r="BR37" s="677"/>
      <c r="BS37" s="842" t="str">
        <f t="shared" si="6"/>
        <v/>
      </c>
      <c r="BT37" s="873"/>
      <c r="BU37" s="821">
        <v>0.95</v>
      </c>
      <c r="BX37" s="642" t="str">
        <f t="shared" si="3"/>
        <v>Sep</v>
      </c>
      <c r="BY37" s="643">
        <f>IF(CB37=$CB38,SUMIF($BI26:$BI37,$BX37,$BR26:$BR37),SUMIF($BI26:$BI37,$BX37,$BM26:$BM37))</f>
        <v>7.1020000000000003</v>
      </c>
      <c r="BZ37" s="821">
        <f>IF(IF(CB37=CB38,SUMIF(BI26:BI37,$BX37,BU26:BU37),SUMIF(BI26:BI37,$BX37,BP26:BP37))=0,NA(),IF(CB37=CB38,SUMIF(BI26:BI37,$BX37,BU26:BU37),SUMIF(BI26:BI37,$BX37,BP26:BP37)))</f>
        <v>0.95</v>
      </c>
      <c r="CA37" s="644">
        <f>IF(IF(CB37=CB38,SUMIF(BI26:BI37,$BX37,BS26:BS37),SUMIF(BI26:BI37,$BX37,BN26:BN37))=0,NA(),IF(CB37=CB38,SUMIF(BI26:BI37,$BX37,BS26:BS37),SUMIF(BI26:BI37,$BX37,BN26:BN37)))</f>
        <v>0.94184736693889037</v>
      </c>
      <c r="CB37" s="645">
        <v>23</v>
      </c>
      <c r="CC37" s="645">
        <f>IF(CC38-1&lt;1,CC38+11,CC38-1)</f>
        <v>9</v>
      </c>
    </row>
    <row r="38" spans="1:81" ht="45" customHeight="1">
      <c r="B38" s="1126" t="s">
        <v>366</v>
      </c>
      <c r="C38" s="1126"/>
      <c r="D38" s="1126"/>
      <c r="E38" s="1126"/>
      <c r="F38" s="1126"/>
      <c r="G38" s="1126"/>
      <c r="H38" s="1126"/>
      <c r="I38" s="1126"/>
      <c r="J38" s="1126"/>
      <c r="K38" s="1125">
        <f>SUMIF(AR!$BJ$26:$BJ$37,Cover!$M$36,AR!$BN$26:$BN$37)</f>
        <v>0.9951319977532298</v>
      </c>
      <c r="L38" s="1125"/>
      <c r="M38" s="1125"/>
      <c r="N38" s="1125">
        <f>SUMIF(AR!$BK$26:$BK$37,Cover!$M$35,AR!$BO$26:$BO$37)</f>
        <v>0.9924612508292624</v>
      </c>
      <c r="O38" s="1125"/>
      <c r="P38" s="1125"/>
      <c r="Q38" s="1174">
        <f>SUMIF(AR!$BJ$26:$BJ$37,Cover!$M$36,AR!$BU$26:$BU$37)</f>
        <v>0.95</v>
      </c>
      <c r="R38" s="1175"/>
      <c r="S38" s="1175"/>
      <c r="T38" s="1125">
        <f>IF(Cover!$M$36=1,SUMIF($BJ$26:$BJ$37,12,$BN$26:$BN$37),SUMIF(AR!$BJ$26:$BJ$37,Cover!$M$36-1,AR!$BS$26:$BS$37))</f>
        <v>0.94184736693889037</v>
      </c>
      <c r="U38" s="1125"/>
      <c r="V38" s="1125"/>
      <c r="W38" s="1125">
        <f>SUMIF(AR!$BJ$26:$BJ$37,Cover!$M$36,AR!$BS$26:$BS$37)</f>
        <v>0.80338564627049902</v>
      </c>
      <c r="X38" s="1125"/>
      <c r="Y38" s="1125"/>
      <c r="Z38" s="1125">
        <f>SUMIF(AR!$BK$26:$BK$37,Cover!$M$35,AR!$BT$26:$BT$37)</f>
        <v>0.80338564627049902</v>
      </c>
      <c r="AA38" s="1125"/>
      <c r="AB38" s="1125"/>
      <c r="AC38" s="1185" t="s">
        <v>775</v>
      </c>
      <c r="AD38" s="1186"/>
      <c r="AE38" s="1186"/>
      <c r="AF38" s="1186"/>
      <c r="AG38" s="1186"/>
      <c r="AH38" s="1186"/>
      <c r="AI38" s="1186"/>
      <c r="AJ38" s="1186"/>
      <c r="AK38" s="1186"/>
      <c r="AL38" s="1186"/>
      <c r="AM38" s="1186"/>
      <c r="AN38" s="1186"/>
      <c r="AO38" s="1186"/>
      <c r="AP38" s="1186"/>
      <c r="AQ38" s="1186"/>
      <c r="AR38" s="1186"/>
      <c r="AS38" s="1186"/>
      <c r="AT38" s="1186"/>
      <c r="AU38" s="1186"/>
      <c r="AV38" s="1186"/>
      <c r="AW38" s="1186"/>
      <c r="AX38" s="1186"/>
      <c r="AY38" s="1186"/>
      <c r="AZ38" s="1186"/>
      <c r="BA38" s="1186"/>
      <c r="BB38" s="1186"/>
      <c r="BC38" s="1186"/>
      <c r="BD38" s="1186"/>
      <c r="BE38" s="1187"/>
      <c r="BH38" s="160">
        <f>IF(Q38=0,4,IF(W38=0,0,IF(Q38="","",IF(W38&gt;=Q38,1,IF(W38&lt;Q38*0.9,3,2)))))</f>
        <v>3</v>
      </c>
      <c r="BW38" s="647" t="str">
        <f>Cover!$M$34</f>
        <v>OCT FY-24</v>
      </c>
      <c r="BX38" s="642" t="str">
        <f>TEXT(CONCATENATE(CC38,"/01/20",CB38),"MMM")</f>
        <v>Oct</v>
      </c>
      <c r="BY38" s="643">
        <f>SUMIF($BI26:$BI37,$BX38,$BR26:$BR37)</f>
        <v>5.6710000000000003</v>
      </c>
      <c r="BZ38" s="821">
        <f>IF(IF(CB38=CB38,SUMIF(BI26:BI37,$BX38,BU26:BU37),SUMIF(BI26:BI37,$BX38,BP26:BP37))=0,NA(),IF(CB38=CB38,SUMIF(BI26:BI37,$BX38,BU26:BU37),SUMIF(BI26:BI37,$BX38,BP26:BP37)))</f>
        <v>0.95</v>
      </c>
      <c r="CA38" s="644">
        <f>IF(SUMIF($BI26:$BI37,$BX38,$BS26:$BS37)=0,NA(),SUMIF($BI26:$BI37,$BX38,$BS26:$BS37))</f>
        <v>0.80338564627049902</v>
      </c>
      <c r="CB38" s="645">
        <v>24</v>
      </c>
      <c r="CC38" s="645">
        <f>MONTH(DATEVALUE(LEFT(BW38,3)&amp;" 1"))</f>
        <v>10</v>
      </c>
    </row>
    <row r="39" spans="1:81" ht="45" customHeight="1">
      <c r="B39" s="1177" t="s">
        <v>367</v>
      </c>
      <c r="C39" s="1178"/>
      <c r="D39" s="1178"/>
      <c r="E39" s="1178"/>
      <c r="F39" s="1178"/>
      <c r="G39" s="1178"/>
      <c r="H39" s="1178"/>
      <c r="I39" s="1178"/>
      <c r="J39" s="1178"/>
      <c r="K39" s="1181">
        <f>SUMIF(AR!$BJ$45:$BJ$56,Cover!$M$36,AR!$BN$45:$BN$56)</f>
        <v>1.9092046207714618E-2</v>
      </c>
      <c r="L39" s="1181"/>
      <c r="M39" s="1181"/>
      <c r="N39" s="1181">
        <f>SUMIF(AR!$BK$45:$BK$56,Cover!$M$35,AR!$BO$45:$BO$56)</f>
        <v>1.9092797504196651E-2</v>
      </c>
      <c r="O39" s="1181"/>
      <c r="P39" s="1181"/>
      <c r="Q39" s="1176">
        <f>SUMIF(AR!$BJ$45:$BJ$56,Cover!$M$36,AR!$BU$45:$BU$56)</f>
        <v>0.02</v>
      </c>
      <c r="R39" s="1176"/>
      <c r="S39" s="1176"/>
      <c r="T39" s="1181">
        <f>IF(Cover!$M$36=1,SUMIF($BJ$45:$BJ$56,12,$BN$45:$BN$56),SUMIF(AR!$BJ$45:$BJ$56,Cover!$M$36-1,AR!$BS$45:$BS$56))</f>
        <v>2.725605598883327E-2</v>
      </c>
      <c r="U39" s="1181"/>
      <c r="V39" s="1181"/>
      <c r="W39" s="1181">
        <f>SUMIF(AR!$BJ$45:$BJ$56,Cover!$M$36,AR!$BS$45:$BS$56)</f>
        <v>3.5742392932749299E-2</v>
      </c>
      <c r="X39" s="1181"/>
      <c r="Y39" s="1181"/>
      <c r="Z39" s="1181">
        <f>SUMIF(AR!$BK$45:$BK$56,Cover!$M$35,AR!$BT$45:$BT$56)</f>
        <v>3.5742392932749299E-2</v>
      </c>
      <c r="AA39" s="1181"/>
      <c r="AB39" s="1181"/>
      <c r="AC39" s="1197" t="s">
        <v>776</v>
      </c>
      <c r="AD39" s="1198"/>
      <c r="AE39" s="1198"/>
      <c r="AF39" s="1198"/>
      <c r="AG39" s="1198"/>
      <c r="AH39" s="1198"/>
      <c r="AI39" s="1198"/>
      <c r="AJ39" s="1198"/>
      <c r="AK39" s="1198"/>
      <c r="AL39" s="1198"/>
      <c r="AM39" s="1198"/>
      <c r="AN39" s="1198"/>
      <c r="AO39" s="1198"/>
      <c r="AP39" s="1198"/>
      <c r="AQ39" s="1198"/>
      <c r="AR39" s="1198"/>
      <c r="AS39" s="1198"/>
      <c r="AT39" s="1198"/>
      <c r="AU39" s="1198"/>
      <c r="AV39" s="1198"/>
      <c r="AW39" s="1198"/>
      <c r="AX39" s="1198"/>
      <c r="AY39" s="1198"/>
      <c r="AZ39" s="1198"/>
      <c r="BA39" s="1198"/>
      <c r="BB39" s="1198"/>
      <c r="BC39" s="1198"/>
      <c r="BD39" s="1198"/>
      <c r="BE39" s="1199"/>
      <c r="BH39" s="160">
        <f>IF(Q39=0,4,IF(W39=0,0,IF(Q39="","",IF(W39&lt;=Q39,1,IF(W39&gt;Q39*0.9,3,2)))))</f>
        <v>3</v>
      </c>
      <c r="BI39" s="37"/>
      <c r="BJ39" s="37"/>
      <c r="BK39" s="37"/>
      <c r="BL39" s="37"/>
      <c r="BM39" s="37"/>
      <c r="BN39" s="37"/>
      <c r="BO39" s="37"/>
      <c r="BP39" s="37"/>
      <c r="BQ39" s="37"/>
      <c r="BR39" s="37"/>
      <c r="BS39" s="37"/>
      <c r="BT39" s="37"/>
      <c r="BU39" s="37"/>
      <c r="BV39" s="37"/>
    </row>
    <row r="40" spans="1:81" customFormat="1" ht="45" customHeight="1">
      <c r="A40" s="6"/>
      <c r="B40" s="1179" t="s">
        <v>368</v>
      </c>
      <c r="C40" s="1180"/>
      <c r="D40" s="1180"/>
      <c r="E40" s="1180"/>
      <c r="F40" s="1180"/>
      <c r="G40" s="1180"/>
      <c r="H40" s="1180"/>
      <c r="I40" s="1180"/>
      <c r="J40" s="1180"/>
      <c r="K40" s="1117">
        <f>SUMIF(AR!$BJ$64:$BJ$75,Cover!$M$36,AR!$BN$64:$BN$75)</f>
        <v>6.5425265791119447</v>
      </c>
      <c r="L40" s="1117"/>
      <c r="M40" s="1117"/>
      <c r="N40" s="1200">
        <f>SUMIF(AR!$BK$64:$BK$75,Cover!$M$35,AR!$BO$64:$BO$75)</f>
        <v>6.2357987037743037</v>
      </c>
      <c r="O40" s="1200"/>
      <c r="P40" s="1200"/>
      <c r="Q40" s="1201">
        <f>SUMIF(AR!$BJ$64:$BJ$75,Cover!$M$36,AR!$BU$64:$BU$75)</f>
        <v>0</v>
      </c>
      <c r="R40" s="1201"/>
      <c r="S40" s="1201"/>
      <c r="T40" s="1189">
        <f>IF(Cover!$M$36=1,SUMIF($BJ$64:$BJ$75,12,$BN$64:$BN$75),SUMIF(AR!$BJ$64:$BJ$75,Cover!$M$36-1,AR!$BS$64:$BS$75))</f>
        <v>6.0382527147087863</v>
      </c>
      <c r="U40" s="1189"/>
      <c r="V40" s="1189"/>
      <c r="W40" s="1162">
        <f>SUMIF(AR!$BJ$64:$BJ$75,Cover!$M$36,AR!$BS$64:$BS$75)</f>
        <v>6.0400602409638555</v>
      </c>
      <c r="X40" s="1163"/>
      <c r="Y40" s="1164"/>
      <c r="Z40" s="1190">
        <f>SUMIF(AR!$BK$64:$BK$75,Cover!$M$35,AR!$BT$64:$BT$75)</f>
        <v>6.0400602409638555</v>
      </c>
      <c r="AA40" s="1190"/>
      <c r="AB40" s="1190"/>
      <c r="AC40" s="1185" t="s">
        <v>777</v>
      </c>
      <c r="AD40" s="1186"/>
      <c r="AE40" s="1186"/>
      <c r="AF40" s="1186"/>
      <c r="AG40" s="1186"/>
      <c r="AH40" s="1186"/>
      <c r="AI40" s="1186"/>
      <c r="AJ40" s="1186"/>
      <c r="AK40" s="1186"/>
      <c r="AL40" s="1186"/>
      <c r="AM40" s="1186"/>
      <c r="AN40" s="1186"/>
      <c r="AO40" s="1186"/>
      <c r="AP40" s="1186"/>
      <c r="AQ40" s="1186"/>
      <c r="AR40" s="1186"/>
      <c r="AS40" s="1186"/>
      <c r="AT40" s="1186"/>
      <c r="AU40" s="1186"/>
      <c r="AV40" s="1186"/>
      <c r="AW40" s="1186"/>
      <c r="AX40" s="1186"/>
      <c r="AY40" s="1186"/>
      <c r="AZ40" s="1186"/>
      <c r="BA40" s="1186"/>
      <c r="BB40" s="1186"/>
      <c r="BC40" s="1186"/>
      <c r="BD40" s="1186"/>
      <c r="BE40" s="1187"/>
      <c r="BF40" s="6"/>
      <c r="BG40" s="6"/>
      <c r="BH40" s="160">
        <f>IF(Q40=0,4,IF(W40=0,0,IF(Q40="","",IF(W40&gt;=Q40,1,IF(W40&lt;Q40*0.9,3,2)))))</f>
        <v>4</v>
      </c>
      <c r="BI40" s="54" t="s">
        <v>292</v>
      </c>
      <c r="BJ40" s="1116" t="s">
        <v>369</v>
      </c>
      <c r="BK40" s="1116"/>
      <c r="BL40" s="1116"/>
      <c r="BM40" s="1116"/>
      <c r="BN40" s="1116"/>
      <c r="BO40" s="1116"/>
      <c r="BP40" s="1116"/>
      <c r="BQ40" s="1116"/>
      <c r="BR40" s="1116"/>
      <c r="BS40" s="1116"/>
      <c r="BT40" s="1116"/>
      <c r="BU40" s="1116"/>
      <c r="BV40" s="270"/>
      <c r="BW40" s="37"/>
      <c r="BX40" s="37"/>
      <c r="BY40" s="270"/>
      <c r="BZ40" s="270"/>
      <c r="CA40" s="270"/>
      <c r="CB40" s="270"/>
      <c r="CC40" s="270"/>
    </row>
    <row r="41" spans="1:81" ht="45" customHeight="1">
      <c r="B41" s="1195" t="s">
        <v>370</v>
      </c>
      <c r="C41" s="1196"/>
      <c r="D41" s="1196"/>
      <c r="E41" s="1196"/>
      <c r="F41" s="1196"/>
      <c r="G41" s="1196"/>
      <c r="H41" s="1196"/>
      <c r="I41" s="1196"/>
      <c r="J41" s="1196"/>
      <c r="K41" s="1118">
        <f>SUMIF(AR!$BJ$83:$BJ$94,Cover!$M$36,AR!$BN$83:$BN$94)</f>
        <v>4.7337577232727952</v>
      </c>
      <c r="L41" s="1118"/>
      <c r="M41" s="1118"/>
      <c r="N41" s="1118">
        <f>SUMIF(AR!$BK$83:$BK$94,Cover!$M$35,AR!$BO$83:$BO$94)</f>
        <v>4.6341595802424465</v>
      </c>
      <c r="O41" s="1118"/>
      <c r="P41" s="1118"/>
      <c r="Q41" s="1119">
        <f>SUMIF(AR!$BJ$83:$BJ$94,Cover!$M$36,AR!$BU$83:$BU$94)</f>
        <v>0</v>
      </c>
      <c r="R41" s="1119"/>
      <c r="S41" s="1119"/>
      <c r="T41" s="1118">
        <f>IF(Cover!$M$36=1,SUMIF($BJ$83:$BJ$94,12,$BN$83:$BN$94),SUMIF(AR!$BJ$83:$BJ$94,Cover!$M$36-1,AR!$BS$83:$BS$94))</f>
        <v>4.1226415094339623</v>
      </c>
      <c r="U41" s="1118"/>
      <c r="V41" s="1118"/>
      <c r="W41" s="1120">
        <f>SUMIF(AR!$BJ$83:$BJ$94,Cover!$M$36,AR!$BS$83:$BS$94)</f>
        <v>4.8827367307353198</v>
      </c>
      <c r="X41" s="1121"/>
      <c r="Y41" s="1122"/>
      <c r="Z41" s="1118">
        <f>SUMIF(AR!$BK$83:$BK$94,Cover!$M$35,AR!$BT$83:$BT$94)</f>
        <v>4.8827367307353198</v>
      </c>
      <c r="AA41" s="1118"/>
      <c r="AB41" s="1118"/>
      <c r="AC41" s="1182" t="s">
        <v>778</v>
      </c>
      <c r="AD41" s="1183"/>
      <c r="AE41" s="1183"/>
      <c r="AF41" s="1183"/>
      <c r="AG41" s="1183"/>
      <c r="AH41" s="1183"/>
      <c r="AI41" s="1183"/>
      <c r="AJ41" s="1183"/>
      <c r="AK41" s="1183"/>
      <c r="AL41" s="1183"/>
      <c r="AM41" s="1183"/>
      <c r="AN41" s="1183"/>
      <c r="AO41" s="1183"/>
      <c r="AP41" s="1183"/>
      <c r="AQ41" s="1183"/>
      <c r="AR41" s="1183"/>
      <c r="AS41" s="1183"/>
      <c r="AT41" s="1183"/>
      <c r="AU41" s="1183"/>
      <c r="AV41" s="1183"/>
      <c r="AW41" s="1183"/>
      <c r="AX41" s="1183"/>
      <c r="AY41" s="1183"/>
      <c r="AZ41" s="1183"/>
      <c r="BA41" s="1183"/>
      <c r="BB41" s="1183"/>
      <c r="BC41" s="1183"/>
      <c r="BD41" s="1183"/>
      <c r="BE41" s="1184"/>
      <c r="BF41"/>
      <c r="BG41"/>
      <c r="BH41" s="160">
        <f>IF(Q41=0,4,IF(W41=0,0,IF(Q41="","",IF(W41&gt;=Q41,1,IF(W41&lt;Q41*0.9,3,2)))))</f>
        <v>4</v>
      </c>
      <c r="BI41" s="54" t="s">
        <v>296</v>
      </c>
      <c r="BJ41" s="287" t="s">
        <v>371</v>
      </c>
      <c r="BK41" s="287"/>
      <c r="BL41" s="287"/>
      <c r="BM41" s="287"/>
      <c r="BN41" s="287"/>
      <c r="BO41" s="287"/>
      <c r="BP41" s="287"/>
      <c r="BQ41" s="287"/>
      <c r="BR41" s="287"/>
      <c r="BS41" s="287"/>
      <c r="BT41" s="287"/>
      <c r="BU41" s="287"/>
      <c r="BW41" s="270"/>
      <c r="BX41" s="270"/>
    </row>
    <row r="42" spans="1:81" customFormat="1" ht="15" customHeight="1" thickBot="1">
      <c r="B42" s="1193"/>
      <c r="C42" s="1194"/>
      <c r="D42" s="1194"/>
      <c r="E42" s="1194"/>
      <c r="F42" s="1194"/>
      <c r="G42" s="1194"/>
      <c r="H42" s="1194"/>
      <c r="I42" s="1194"/>
      <c r="J42" s="1194"/>
      <c r="K42" s="1192"/>
      <c r="L42" s="1192"/>
      <c r="M42" s="1192"/>
      <c r="N42" s="1192"/>
      <c r="O42" s="1192"/>
      <c r="P42" s="1192"/>
      <c r="Q42" s="1205"/>
      <c r="R42" s="1205"/>
      <c r="S42" s="1205"/>
      <c r="T42" s="1192"/>
      <c r="U42" s="1192"/>
      <c r="V42" s="1192"/>
      <c r="W42" s="1192"/>
      <c r="X42" s="1192"/>
      <c r="Y42" s="1192"/>
      <c r="Z42" s="1192"/>
      <c r="AA42" s="1192"/>
      <c r="AB42" s="1192"/>
      <c r="AC42" s="1202"/>
      <c r="AD42" s="1203"/>
      <c r="AE42" s="1203"/>
      <c r="AF42" s="1203"/>
      <c r="AG42" s="1203"/>
      <c r="AH42" s="1203"/>
      <c r="AI42" s="1203"/>
      <c r="AJ42" s="1203"/>
      <c r="AK42" s="1203"/>
      <c r="AL42" s="1203"/>
      <c r="AM42" s="1203"/>
      <c r="AN42" s="1203"/>
      <c r="AO42" s="1203"/>
      <c r="AP42" s="1203"/>
      <c r="AQ42" s="1203"/>
      <c r="AR42" s="1203"/>
      <c r="AS42" s="1203"/>
      <c r="AT42" s="1203"/>
      <c r="AU42" s="1203"/>
      <c r="AV42" s="1203"/>
      <c r="AW42" s="1203"/>
      <c r="AX42" s="1203"/>
      <c r="AY42" s="1203"/>
      <c r="AZ42" s="1203"/>
      <c r="BA42" s="1203"/>
      <c r="BB42" s="1203"/>
      <c r="BC42" s="1203"/>
      <c r="BD42" s="1203"/>
      <c r="BE42" s="1204"/>
      <c r="BF42" s="6"/>
      <c r="BG42" s="6"/>
      <c r="BH42" s="6"/>
      <c r="BI42" s="54" t="s">
        <v>300</v>
      </c>
      <c r="BJ42" s="287" t="s">
        <v>372</v>
      </c>
      <c r="BK42" s="287"/>
      <c r="BL42" s="287"/>
      <c r="BM42" s="287"/>
      <c r="BN42" s="287"/>
      <c r="BO42" s="287"/>
      <c r="BP42" s="287"/>
      <c r="BQ42" s="287"/>
      <c r="BR42" s="287"/>
      <c r="BS42" s="287"/>
      <c r="BT42" s="287"/>
      <c r="BU42" s="287"/>
      <c r="BV42" s="270"/>
      <c r="BW42" s="37"/>
      <c r="BX42" s="37"/>
      <c r="BY42" s="270"/>
      <c r="BZ42" s="270"/>
      <c r="CA42" s="270"/>
      <c r="CB42" s="270"/>
      <c r="CC42" s="270"/>
    </row>
    <row r="43" spans="1:81" ht="15" customHeight="1" thickBot="1">
      <c r="B43" s="531" t="s">
        <v>350</v>
      </c>
      <c r="C43" s="533"/>
      <c r="D43" s="533"/>
      <c r="E43" s="533"/>
      <c r="F43" s="533"/>
      <c r="G43" s="532"/>
      <c r="H43" s="532"/>
      <c r="I43" s="532"/>
      <c r="J43" s="532"/>
      <c r="K43" s="532"/>
      <c r="L43" s="539"/>
      <c r="M43" s="533"/>
      <c r="N43" s="533"/>
      <c r="O43" s="532"/>
      <c r="P43" s="532"/>
      <c r="Q43" s="532"/>
      <c r="R43" s="532"/>
      <c r="S43" s="532"/>
      <c r="T43" s="532"/>
      <c r="U43" s="532"/>
      <c r="V43" s="532"/>
      <c r="W43" s="532"/>
      <c r="X43" s="532"/>
      <c r="Y43" s="532"/>
      <c r="Z43" s="532"/>
      <c r="AA43" s="532"/>
      <c r="AB43" s="532"/>
      <c r="AC43" s="532"/>
      <c r="AD43" s="532"/>
      <c r="AE43" s="532"/>
      <c r="AF43" s="532"/>
      <c r="AG43" s="532"/>
      <c r="AH43" s="532"/>
      <c r="AI43" s="532"/>
      <c r="AJ43" s="532"/>
      <c r="AK43" s="532"/>
      <c r="AL43" s="532"/>
      <c r="AM43" s="532"/>
      <c r="AN43" s="532"/>
      <c r="AO43" s="532"/>
      <c r="AP43" s="532"/>
      <c r="AQ43" s="532"/>
      <c r="AR43" s="532"/>
      <c r="AS43" s="532"/>
      <c r="AT43" s="532"/>
      <c r="AU43" s="532"/>
      <c r="AV43" s="532"/>
      <c r="AW43" s="532"/>
      <c r="AX43" s="532"/>
      <c r="AY43" s="532"/>
      <c r="AZ43" s="532"/>
      <c r="BA43" s="532"/>
      <c r="BB43" s="532"/>
      <c r="BC43" s="532"/>
      <c r="BD43" s="532"/>
      <c r="BE43" s="532"/>
      <c r="BF43"/>
      <c r="BH43" s="249"/>
      <c r="BI43" s="277"/>
      <c r="BL43" s="1148" t="s">
        <v>302</v>
      </c>
      <c r="BM43" s="1149"/>
      <c r="BN43" s="1149"/>
      <c r="BO43" s="1149"/>
      <c r="BP43" s="1151"/>
      <c r="BQ43" s="1148" t="s">
        <v>719</v>
      </c>
      <c r="BR43" s="1149"/>
      <c r="BS43" s="1149"/>
      <c r="BT43" s="1149"/>
      <c r="BU43" s="1150"/>
      <c r="BW43" s="1148" t="s">
        <v>303</v>
      </c>
      <c r="BX43" s="1149"/>
      <c r="BY43" s="1149"/>
      <c r="BZ43" s="1149"/>
      <c r="CA43" s="1149"/>
      <c r="CB43" s="1149"/>
      <c r="CC43" s="1150"/>
    </row>
    <row r="44" spans="1:81" ht="15" customHeight="1">
      <c r="A44"/>
      <c r="B44" s="336"/>
      <c r="C44" s="336"/>
      <c r="D44" s="336"/>
      <c r="E44" s="336"/>
      <c r="F44" s="336"/>
      <c r="G44" s="336"/>
      <c r="H44" s="336"/>
      <c r="I44" s="336"/>
      <c r="J44" s="336"/>
      <c r="K44" s="336"/>
      <c r="L44" s="336"/>
      <c r="M44" s="336"/>
      <c r="N44" s="336"/>
      <c r="O44" s="336"/>
      <c r="P44" s="336"/>
      <c r="Q44" s="336"/>
      <c r="R44" s="336"/>
      <c r="S44" s="336"/>
      <c r="T44" s="336"/>
      <c r="U44" s="336"/>
      <c r="V44" s="336"/>
      <c r="W44" s="336"/>
      <c r="X44" s="336"/>
      <c r="Y44" s="336"/>
      <c r="Z44" s="336"/>
      <c r="AA44" s="336"/>
      <c r="AB44" s="336"/>
      <c r="AC44" s="336"/>
      <c r="AD44" s="336"/>
      <c r="AE44" s="336"/>
      <c r="AF44" s="336"/>
      <c r="AG44" s="336"/>
      <c r="AH44" s="336"/>
      <c r="AI44" s="336"/>
      <c r="AJ44" s="336"/>
      <c r="AK44" s="336"/>
      <c r="AL44" s="336"/>
      <c r="AM44" s="336"/>
      <c r="AN44" s="336"/>
      <c r="AO44" s="336"/>
      <c r="AP44" s="336"/>
      <c r="AQ44" s="336"/>
      <c r="AR44" s="336"/>
      <c r="AS44" s="336"/>
      <c r="AT44" s="336"/>
      <c r="AU44" s="336"/>
      <c r="AV44" s="336"/>
      <c r="AW44" s="336"/>
      <c r="AX44" s="336"/>
      <c r="AY44" s="336"/>
      <c r="AZ44" s="336"/>
      <c r="BA44" s="336"/>
      <c r="BB44" s="336"/>
      <c r="BC44" s="336"/>
      <c r="BD44" s="336"/>
      <c r="BE44" s="336"/>
      <c r="BI44" s="636" t="s">
        <v>23</v>
      </c>
      <c r="BJ44" s="636" t="s">
        <v>37</v>
      </c>
      <c r="BK44" s="636" t="s">
        <v>304</v>
      </c>
      <c r="BL44" s="637" t="s">
        <v>305</v>
      </c>
      <c r="BM44" s="637" t="s">
        <v>310</v>
      </c>
      <c r="BN44" s="637" t="s">
        <v>311</v>
      </c>
      <c r="BO44" s="278" t="s">
        <v>312</v>
      </c>
      <c r="BP44" s="637" t="s">
        <v>313</v>
      </c>
      <c r="BQ44" s="637" t="s">
        <v>305</v>
      </c>
      <c r="BR44" s="637" t="s">
        <v>715</v>
      </c>
      <c r="BS44" s="637" t="s">
        <v>716</v>
      </c>
      <c r="BT44" s="278" t="s">
        <v>717</v>
      </c>
      <c r="BU44" s="637" t="s">
        <v>718</v>
      </c>
      <c r="BW44" s="279" t="s">
        <v>314</v>
      </c>
      <c r="BX44" s="279" t="s">
        <v>23</v>
      </c>
      <c r="BY44" s="279" t="s">
        <v>315</v>
      </c>
      <c r="BZ44" s="279" t="s">
        <v>122</v>
      </c>
      <c r="CA44" s="279" t="s">
        <v>316</v>
      </c>
      <c r="CB44" s="279" t="s">
        <v>317</v>
      </c>
      <c r="CC44" s="279" t="s">
        <v>318</v>
      </c>
    </row>
    <row r="45" spans="1:81" ht="15" customHeight="1">
      <c r="B45" s="52"/>
      <c r="F45" s="337"/>
      <c r="G45" s="338"/>
      <c r="AD45" s="336"/>
      <c r="BI45" s="638" t="s">
        <v>319</v>
      </c>
      <c r="BJ45" s="638">
        <v>1</v>
      </c>
      <c r="BK45" s="638" t="s">
        <v>320</v>
      </c>
      <c r="BL45" s="690">
        <v>18.059598999999999</v>
      </c>
      <c r="BM45" s="822">
        <v>945.92265299999997</v>
      </c>
      <c r="BN45" s="653">
        <f>IF(BM45="","",BL45/BM45)</f>
        <v>1.9092046207714618E-2</v>
      </c>
      <c r="BO45" s="833">
        <f>IF(SUM(BM45:BM47=0),0,SUM(BL45:BL47)/SUM(BM45:BM47))</f>
        <v>1.9092797504196651E-2</v>
      </c>
      <c r="BP45" s="821">
        <v>0.02</v>
      </c>
      <c r="BQ45" s="690">
        <v>36.912118999999997</v>
      </c>
      <c r="BR45" s="822">
        <v>1032.726574</v>
      </c>
      <c r="BS45" s="653">
        <f>IF(BR45="","",BQ45/BR45)</f>
        <v>3.5742392932749299E-2</v>
      </c>
      <c r="BT45" s="833">
        <f>IF(SUM(BR45:BR47=0),0,SUM(BQ45:BQ47)/SUM(BR45:BR47))</f>
        <v>3.5742392932749299E-2</v>
      </c>
      <c r="BU45" s="821">
        <v>0.02</v>
      </c>
      <c r="BX45" s="642" t="str">
        <f t="shared" ref="BX45:BX56" si="7">TEXT(CONCATENATE(CC45,"/01/20",CB45),"MMM")</f>
        <v>Oct</v>
      </c>
      <c r="BY45" s="643">
        <f>IF(CB45=$CB57,SUMIF($BI45:$BI56,$BX45,$BR45:$BR56),SUMIF($BI45:$BI56,$BX45,$BM45:$BM56))</f>
        <v>945.92265299999997</v>
      </c>
      <c r="BZ45" s="821">
        <f>IF(IF(CB45=CB57,SUMIF(BI45:BI56,$BX45,BU45:BU56),SUMIF(BI45:BI56,$BX45,BP45:BP56))=0,NA(),IF(CB45=CB57,SUMIF(BI45:BI56,$BX45,BU45:BU56),SUMIF(BI45:BI56,$BX45,BP45:BP56)))</f>
        <v>0.02</v>
      </c>
      <c r="CA45" s="644">
        <f>IF(IF(CB45=CB57,SUMIF(BI45:BI56,$BX45,BS45:BS56),SUMIF(BI45:BI56,$BX45,BN45:BN56))=0,NA(),IF(CB45=CB57,SUMIF(BI45:BI56,$BX45,BS45:BS56),SUMIF(BI45:BI56,$BX45,BN45:BN56)))</f>
        <v>1.9092046207714618E-2</v>
      </c>
      <c r="CB45" s="645">
        <f>CB26</f>
        <v>23</v>
      </c>
      <c r="CC45" s="645">
        <f t="shared" ref="CC45:CC55" si="8">IF(CC46-1&lt;1,CC46+11,CC46-1)</f>
        <v>10</v>
      </c>
    </row>
    <row r="46" spans="1:81" ht="15" customHeight="1">
      <c r="F46" s="337"/>
      <c r="G46" s="338"/>
      <c r="BI46" s="638" t="s">
        <v>321</v>
      </c>
      <c r="BJ46" s="638">
        <v>2</v>
      </c>
      <c r="BK46" s="638" t="s">
        <v>320</v>
      </c>
      <c r="BL46" s="690">
        <v>19.89753</v>
      </c>
      <c r="BM46" s="822">
        <v>955.23008400000003</v>
      </c>
      <c r="BN46" s="653">
        <f t="shared" ref="BN46:BN56" si="9">IF(BM46="","",BL46/BM46)</f>
        <v>2.0830091444230519E-2</v>
      </c>
      <c r="BO46" s="290"/>
      <c r="BP46" s="821">
        <v>0.02</v>
      </c>
      <c r="BQ46" s="690"/>
      <c r="BR46" s="822"/>
      <c r="BS46" s="653" t="str">
        <f t="shared" ref="BS46:BS56" si="10">IF(BR46="","",BQ46/BR46)</f>
        <v/>
      </c>
      <c r="BT46" s="290"/>
      <c r="BU46" s="821">
        <v>0.02</v>
      </c>
      <c r="BX46" s="642" t="str">
        <f t="shared" si="7"/>
        <v>Nov</v>
      </c>
      <c r="BY46" s="643">
        <f>IF(CB46=$CB57,SUMIF($BI45:$BI56,$BX46,$BR45:$BR56),SUMIF($BI45:$BI56,$BX46,$BM45:$BM56))</f>
        <v>955.23008400000003</v>
      </c>
      <c r="BZ46" s="821">
        <f>IF(IF(CB46=CB57,SUMIF(BI45:BI56,$BX46,BU45:BU56),SUMIF(BI45:BI56,$BX46,BP45:BP56))=0,NA(),IF(CB46=CB57,SUMIF(BI45:BI56,$BX46,BU45:BU56),SUMIF(BI45:BI56,$BX46,BP45:BP56)))</f>
        <v>0.02</v>
      </c>
      <c r="CA46" s="644">
        <f>IF(IF(CB46=CB57,SUMIF(BI45:BI56,$BX46,BS45:BS56),SUMIF(BI45:BI56,$BX46,BN45:BN56))=0,NA(),IF(CB46=CB57,SUMIF(BI45:BI56,$BX46,BS45:BS56),SUMIF(BI45:BI56,$BX46,BN45:BN56)))</f>
        <v>2.0830091444230519E-2</v>
      </c>
      <c r="CB46" s="645">
        <f t="shared" ref="CB46:CB57" si="11">CB27</f>
        <v>23</v>
      </c>
      <c r="CC46" s="645">
        <f t="shared" si="8"/>
        <v>11</v>
      </c>
    </row>
    <row r="47" spans="1:81" ht="15" customHeight="1">
      <c r="F47" s="337"/>
      <c r="G47" s="338"/>
      <c r="BI47" s="638" t="s">
        <v>322</v>
      </c>
      <c r="BJ47" s="638">
        <v>3</v>
      </c>
      <c r="BK47" s="638" t="s">
        <v>320</v>
      </c>
      <c r="BL47" s="690">
        <v>14.086031</v>
      </c>
      <c r="BM47" s="822">
        <v>824.647921</v>
      </c>
      <c r="BN47" s="653">
        <f t="shared" si="9"/>
        <v>1.708126661244563E-2</v>
      </c>
      <c r="BO47" s="290"/>
      <c r="BP47" s="821">
        <v>0.02</v>
      </c>
      <c r="BQ47" s="690"/>
      <c r="BR47" s="822"/>
      <c r="BS47" s="653" t="str">
        <f t="shared" si="10"/>
        <v/>
      </c>
      <c r="BT47" s="290"/>
      <c r="BU47" s="821">
        <v>0.02</v>
      </c>
      <c r="BX47" s="642" t="str">
        <f t="shared" si="7"/>
        <v>Dec</v>
      </c>
      <c r="BY47" s="643">
        <f>IF(CB47=$CB57,SUMIF($BI45:$BI56,$BX47,$BR45:$BR56),SUMIF($BI45:$BI56,$BX47,$BM45:$BM56))</f>
        <v>824.647921</v>
      </c>
      <c r="BZ47" s="821">
        <f>IF(IF(CB47=CB57,SUMIF(BI45:BI56,$BX47,BU45:BU56),SUMIF(BI45:BI56,$BX47,BP45:BP56))=0,NA(),IF(CB47=CB57,SUMIF(BI45:BI56,$BX47,BU45:BU56),SUMIF(BI45:BI56,$BX47,BP45:BP56)))</f>
        <v>0.02</v>
      </c>
      <c r="CA47" s="644">
        <f>IF(IF(CB47=CB57,SUMIF(BI45:BI56,$BX47,BS45:BS56),SUMIF(BI45:BI56,$BX47,BN45:BN56))=0,NA(),IF(CB47=CB57,SUMIF(BI45:BI56,$BX47,BS45:BS56),SUMIF(BI45:BI56,$BX47,BN45:BN56)))</f>
        <v>1.708126661244563E-2</v>
      </c>
      <c r="CB47" s="645">
        <f t="shared" si="11"/>
        <v>23</v>
      </c>
      <c r="CC47" s="645">
        <f t="shared" si="8"/>
        <v>12</v>
      </c>
    </row>
    <row r="48" spans="1:81" ht="15" customHeight="1">
      <c r="B48" s="1188"/>
      <c r="C48" s="1188"/>
      <c r="D48" s="1188"/>
      <c r="E48" s="1188"/>
      <c r="F48" s="337"/>
      <c r="G48" s="338"/>
      <c r="BI48" s="638" t="s">
        <v>323</v>
      </c>
      <c r="BJ48" s="638">
        <v>4</v>
      </c>
      <c r="BK48" s="638" t="s">
        <v>324</v>
      </c>
      <c r="BL48" s="690">
        <v>16.807210999999999</v>
      </c>
      <c r="BM48" s="822">
        <v>863.47940800000003</v>
      </c>
      <c r="BN48" s="653">
        <f t="shared" si="9"/>
        <v>1.9464518602625436E-2</v>
      </c>
      <c r="BO48" s="833">
        <f>IF(SUM(BM48:BM50=0),0,SUM(BL48:BL50)/SUM(BM48:BM50))</f>
        <v>1.9135573793165401E-2</v>
      </c>
      <c r="BP48" s="821">
        <v>0.02</v>
      </c>
      <c r="BQ48" s="690"/>
      <c r="BR48" s="822"/>
      <c r="BS48" s="653" t="str">
        <f t="shared" si="10"/>
        <v/>
      </c>
      <c r="BT48" s="833">
        <f>IF(SUM(BR48:BR50=0),0,SUM(BQ48:BQ50)/SUM(BR48:BR50))</f>
        <v>0</v>
      </c>
      <c r="BU48" s="821">
        <v>0.02</v>
      </c>
      <c r="BX48" s="642" t="str">
        <f t="shared" si="7"/>
        <v>Jan</v>
      </c>
      <c r="BY48" s="643">
        <f>IF(CB48=$CB57,SUMIF($BI45:$BI56,$BX48,$BR45:$BR56),SUMIF($BI45:$BI56,$BX48,$BM45:$BM56))</f>
        <v>863.47940800000003</v>
      </c>
      <c r="BZ48" s="821">
        <f>IF(IF(CB48=CB57,SUMIF(BI45:BI56,$BX48,BU45:BU56),SUMIF(BI45:BI56,$BX48,BP45:BP56))=0,NA(),IF(CB48=CB57,SUMIF(BI45:BI56,$BX48,BU45:BU56),SUMIF(BI45:BI56,$BX48,BP45:BP56)))</f>
        <v>0.02</v>
      </c>
      <c r="CA48" s="644">
        <f>IF(IF(CB48=CB57,SUMIF(BI45:BI56,$BX48,BS45:BS56),SUMIF(BI45:BI56,$BX48,BN45:BN56))=0,NA(),IF(CB48=CB57,SUMIF(BI45:BI56,$BX48,BS45:BS56),SUMIF(BI45:BI56,$BX48,BN45:BN56)))</f>
        <v>1.9464518602625436E-2</v>
      </c>
      <c r="CB48" s="645">
        <f t="shared" si="11"/>
        <v>23</v>
      </c>
      <c r="CC48" s="645">
        <f t="shared" si="8"/>
        <v>1</v>
      </c>
    </row>
    <row r="49" spans="2:81" ht="15" customHeight="1">
      <c r="BI49" s="638" t="s">
        <v>325</v>
      </c>
      <c r="BJ49" s="638">
        <v>5</v>
      </c>
      <c r="BK49" s="638" t="s">
        <v>324</v>
      </c>
      <c r="BL49" s="690">
        <v>16.364891</v>
      </c>
      <c r="BM49" s="822">
        <v>887.72550699999999</v>
      </c>
      <c r="BN49" s="653">
        <f t="shared" si="9"/>
        <v>1.8434629703616257E-2</v>
      </c>
      <c r="BO49" s="290"/>
      <c r="BP49" s="821">
        <v>0.02</v>
      </c>
      <c r="BQ49" s="690"/>
      <c r="BR49" s="822"/>
      <c r="BS49" s="653" t="str">
        <f t="shared" si="10"/>
        <v/>
      </c>
      <c r="BT49" s="290"/>
      <c r="BU49" s="821">
        <v>0.02</v>
      </c>
      <c r="BX49" s="642" t="str">
        <f t="shared" si="7"/>
        <v>Feb</v>
      </c>
      <c r="BY49" s="643">
        <f>IF(CB49=$CB57,SUMIF($BI45:$BI56,$BX49,$BR45:$BR56),SUMIF($BI45:$BI56,$BX49,$BM45:$BM56))</f>
        <v>887.72550699999999</v>
      </c>
      <c r="BZ49" s="821">
        <f>IF(IF(CB49=CB57,SUMIF(BI45:BI56,$BX49,BU45:BU56),SUMIF(BI45:BI56,$BX49,BP45:BP56))=0,NA(),IF(CB49=CB57,SUMIF(BI45:BI56,$BX49,BU45:BU56),SUMIF(BI45:BI56,$BX49,BP45:BP56)))</f>
        <v>0.02</v>
      </c>
      <c r="CA49" s="644">
        <f>IF(IF(CB49=CB57,SUMIF(BI45:BI56,$BX49,BS45:BS56),SUMIF(BI45:BI56,$BX49,BN45:BN56))=0,NA(),IF(CB49=CB57,SUMIF(BI45:BI56,$BX49,BS45:BS56),SUMIF(BI45:BI56,$BX49,BN45:BN56)))</f>
        <v>1.8434629703616257E-2</v>
      </c>
      <c r="CB49" s="645">
        <f t="shared" si="11"/>
        <v>23</v>
      </c>
      <c r="CC49" s="645">
        <f t="shared" si="8"/>
        <v>2</v>
      </c>
    </row>
    <row r="50" spans="2:81" ht="15" customHeight="1">
      <c r="BI50" s="638" t="s">
        <v>326</v>
      </c>
      <c r="BJ50" s="638">
        <v>6</v>
      </c>
      <c r="BK50" s="638" t="s">
        <v>324</v>
      </c>
      <c r="BL50" s="690">
        <v>16.723824</v>
      </c>
      <c r="BM50" s="822">
        <v>856.29076499999996</v>
      </c>
      <c r="BN50" s="653">
        <f t="shared" si="9"/>
        <v>1.9530543459732399E-2</v>
      </c>
      <c r="BO50" s="290"/>
      <c r="BP50" s="821">
        <v>0.02</v>
      </c>
      <c r="BQ50" s="690"/>
      <c r="BR50" s="822"/>
      <c r="BS50" s="653" t="str">
        <f t="shared" si="10"/>
        <v/>
      </c>
      <c r="BT50" s="290"/>
      <c r="BU50" s="821">
        <v>0.02</v>
      </c>
      <c r="BX50" s="642" t="str">
        <f t="shared" si="7"/>
        <v>Mar</v>
      </c>
      <c r="BY50" s="643">
        <f>IF(CB50=$CB57,SUMIF($BI45:$BI56,$BX50,$BR45:$BR56),SUMIF($BI45:$BI56,$BX50,$BM45:$BM56))</f>
        <v>856.29076499999996</v>
      </c>
      <c r="BZ50" s="821">
        <f>IF(IF(CB50=CB57,SUMIF(BI45:BI56,$BX50,BU45:BU56),SUMIF(BI45:BI56,$BX50,BP45:BP56))=0,NA(),IF(CB50=CB57,SUMIF(BI45:BI56,$BX50,BU45:BU56),SUMIF(BI45:BI56,$BX50,BP45:BP56)))</f>
        <v>0.02</v>
      </c>
      <c r="CA50" s="644">
        <f>IF(IF(CB50=CB57,SUMIF(BI45:BI56,$BX50,BS45:BS56),SUMIF(BI45:BI56,$BX50,BN45:BN56))=0,NA(),IF(CB50=CB57,SUMIF(BI45:BI56,$BX50,BS45:BS56),SUMIF(BI45:BI56,$BX50,BN45:BN56)))</f>
        <v>1.9530543459732399E-2</v>
      </c>
      <c r="CB50" s="645">
        <f t="shared" si="11"/>
        <v>23</v>
      </c>
      <c r="CC50" s="645">
        <f t="shared" si="8"/>
        <v>3</v>
      </c>
    </row>
    <row r="51" spans="2:81" ht="15" customHeight="1">
      <c r="BI51" s="638" t="s">
        <v>327</v>
      </c>
      <c r="BJ51" s="638">
        <v>7</v>
      </c>
      <c r="BK51" s="638" t="s">
        <v>328</v>
      </c>
      <c r="BL51" s="690">
        <v>15.468831</v>
      </c>
      <c r="BM51" s="822">
        <v>921.98112600000002</v>
      </c>
      <c r="BN51" s="653">
        <f t="shared" si="9"/>
        <v>1.6777817423564049E-2</v>
      </c>
      <c r="BO51" s="833">
        <f>IF(SUM(BM51:BM53=0),0,SUM(BL51:BL53)/SUM(BM51:BM53))</f>
        <v>2.0533097655341691E-2</v>
      </c>
      <c r="BP51" s="821">
        <v>0.02</v>
      </c>
      <c r="BQ51" s="690"/>
      <c r="BR51" s="822"/>
      <c r="BS51" s="653" t="str">
        <f t="shared" si="10"/>
        <v/>
      </c>
      <c r="BT51" s="833">
        <f>IF(SUM(BR51:BR53=0),0,SUM(BQ51:BQ53)/SUM(BR51:BR53))</f>
        <v>0</v>
      </c>
      <c r="BU51" s="821">
        <v>0.02</v>
      </c>
      <c r="BX51" s="642" t="str">
        <f t="shared" si="7"/>
        <v>Apr</v>
      </c>
      <c r="BY51" s="643">
        <f>IF(CB51=$CB57,SUMIF($BI45:$BI56,$BX51,$BR45:$BR56),SUMIF($BI45:$BI56,$BX51,$BM45:$BM56))</f>
        <v>921.98112600000002</v>
      </c>
      <c r="BZ51" s="821">
        <f>IF(IF(CB51=CB57,SUMIF(BI45:BI56,$BX51,BU45:BU56),SUMIF(BI45:BI56,$BX51,BP45:BP56))=0,NA(),IF(CB51=CB57,SUMIF(BI45:BI56,$BX51,BU45:BU56),SUMIF(BI45:BI56,$BX51,BP45:BP56)))</f>
        <v>0.02</v>
      </c>
      <c r="CA51" s="644">
        <f>IF(IF(CB51=CB57,SUMIF(BI45:BI56,$BX51,BS45:BS56),SUMIF(BI45:BI56,$BX51,BN45:BN56))=0,NA(),IF(CB51=CB57,SUMIF(BI45:BI56,$BX51,BS45:BS56),SUMIF(BI45:BI56,$BX51,BN45:BN56)))</f>
        <v>1.6777817423564049E-2</v>
      </c>
      <c r="CB51" s="645">
        <f t="shared" si="11"/>
        <v>23</v>
      </c>
      <c r="CC51" s="645">
        <f t="shared" si="8"/>
        <v>4</v>
      </c>
    </row>
    <row r="52" spans="2:81" ht="15" customHeight="1">
      <c r="BI52" s="638" t="s">
        <v>329</v>
      </c>
      <c r="BJ52" s="638">
        <v>8</v>
      </c>
      <c r="BK52" s="638" t="s">
        <v>328</v>
      </c>
      <c r="BL52" s="690">
        <v>20.415358999999999</v>
      </c>
      <c r="BM52" s="822">
        <v>871.520172</v>
      </c>
      <c r="BN52" s="653">
        <f t="shared" si="9"/>
        <v>2.3424998819189694E-2</v>
      </c>
      <c r="BO52" s="290"/>
      <c r="BP52" s="821">
        <v>0.02</v>
      </c>
      <c r="BQ52" s="690"/>
      <c r="BR52" s="822"/>
      <c r="BS52" s="653" t="str">
        <f t="shared" si="10"/>
        <v/>
      </c>
      <c r="BT52" s="290"/>
      <c r="BU52" s="821">
        <v>0.02</v>
      </c>
      <c r="BX52" s="642" t="str">
        <f t="shared" si="7"/>
        <v>May</v>
      </c>
      <c r="BY52" s="643">
        <f>IF(CB52=$CB57,SUMIF($BI45:$BI56,$BX52,$BR45:$BR56),SUMIF($BI45:$BI56,$BX52,$BM45:$BM56))</f>
        <v>871.520172</v>
      </c>
      <c r="BZ52" s="821">
        <f>IF(IF(CB52=CB57,SUMIF(BI45:BI56,$BX52,BU45:BU56),SUMIF(BI45:BI56,$BX52,BP45:BP56))=0,NA(),IF(CB52=CB57,SUMIF(BI45:BI56,$BX52,BU45:BU56),SUMIF(BI45:BI56,$BX52,BP45:BP56)))</f>
        <v>0.02</v>
      </c>
      <c r="CA52" s="644">
        <f>IF(IF(CB52=CB57,SUMIF(BI45:BI56,$BX52,BS45:BS56),SUMIF(BI45:BI56,$BX52,BN45:BN56))=0,NA(),IF(CB52=CB57,SUMIF(BI45:BI56,$BX52,BS45:BS56),SUMIF(BI45:BI56,$BX52,BN45:BN56)))</f>
        <v>2.3424998819189694E-2</v>
      </c>
      <c r="CB52" s="645">
        <f t="shared" si="11"/>
        <v>23</v>
      </c>
      <c r="CC52" s="645">
        <f t="shared" si="8"/>
        <v>5</v>
      </c>
    </row>
    <row r="53" spans="2:81" ht="15" customHeight="1">
      <c r="BI53" s="638" t="s">
        <v>331</v>
      </c>
      <c r="BJ53" s="638">
        <v>9</v>
      </c>
      <c r="BK53" s="638" t="s">
        <v>328</v>
      </c>
      <c r="BL53" s="690">
        <v>16.499770999999999</v>
      </c>
      <c r="BM53" s="822">
        <v>757.69491600000003</v>
      </c>
      <c r="BN53" s="653">
        <f t="shared" si="9"/>
        <v>2.1776272549253847E-2</v>
      </c>
      <c r="BO53" s="290"/>
      <c r="BP53" s="821">
        <v>0.02</v>
      </c>
      <c r="BQ53" s="690"/>
      <c r="BR53" s="822"/>
      <c r="BS53" s="653" t="str">
        <f t="shared" si="10"/>
        <v/>
      </c>
      <c r="BT53" s="290"/>
      <c r="BU53" s="821">
        <v>0.02</v>
      </c>
      <c r="BX53" s="642" t="str">
        <f t="shared" si="7"/>
        <v>Jun</v>
      </c>
      <c r="BY53" s="643">
        <f>IF(CB53=$CB57,SUMIF($BI45:$BI56,$BX53,$BR45:$BR56),SUMIF($BI45:$BI56,$BX53,$BM45:$BM56))</f>
        <v>757.69491600000003</v>
      </c>
      <c r="BZ53" s="821">
        <f>IF(IF(CB53=CB57,SUMIF(BI45:BI56,$BX53,BU45:BU56),SUMIF(BI45:BI56,$BX53,BP45:BP56))=0,NA(),IF(CB53=CB57,SUMIF(BI45:BI56,$BX53,BU45:BU56),SUMIF(BI45:BI56,$BX53,BP45:BP56)))</f>
        <v>0.02</v>
      </c>
      <c r="CA53" s="644">
        <f>IF(IF(CB53=CB57,SUMIF(BI45:BI56,$BX53,BS45:BS56),SUMIF(BI45:BI56,$BX53,BN45:BN56))=0,NA(),IF(CB53=CB57,SUMIF(BI45:BI56,$BX53,BS45:BS56),SUMIF(BI45:BI56,$BX53,BN45:BN56)))</f>
        <v>2.1776272549253847E-2</v>
      </c>
      <c r="CB53" s="645">
        <f t="shared" si="11"/>
        <v>23</v>
      </c>
      <c r="CC53" s="645">
        <f t="shared" si="8"/>
        <v>6</v>
      </c>
    </row>
    <row r="54" spans="2:81" ht="15" customHeight="1">
      <c r="BI54" s="638" t="s">
        <v>337</v>
      </c>
      <c r="BJ54" s="638">
        <v>10</v>
      </c>
      <c r="BK54" s="638" t="s">
        <v>338</v>
      </c>
      <c r="BL54" s="690">
        <v>16.997798</v>
      </c>
      <c r="BM54" s="822">
        <v>746.59340099999997</v>
      </c>
      <c r="BN54" s="653">
        <f t="shared" si="9"/>
        <v>2.2767142031034374E-2</v>
      </c>
      <c r="BO54" s="833">
        <f>IF(SUM(BM54:BM56=0),0,SUM(BL54:BL56)/SUM(BM54:BM56))</f>
        <v>3.1194284750599745E-2</v>
      </c>
      <c r="BP54" s="821">
        <v>0.02</v>
      </c>
      <c r="BQ54" s="690"/>
      <c r="BR54" s="822"/>
      <c r="BS54" s="653" t="str">
        <f t="shared" si="10"/>
        <v/>
      </c>
      <c r="BT54" s="833">
        <f>IF(SUM(BR54:BR56=0),0,SUM(BQ54:BQ56)/SUM(BR54:BR56))</f>
        <v>0</v>
      </c>
      <c r="BU54" s="821">
        <v>0.02</v>
      </c>
      <c r="BX54" s="642" t="str">
        <f t="shared" si="7"/>
        <v>Jul</v>
      </c>
      <c r="BY54" s="643">
        <f>IF(CB54=$CB57,SUMIF($BI45:$BI56,$BX54,$BR45:$BR56),SUMIF($BI45:$BI56,$BX54,$BM45:$BM56))</f>
        <v>746.59340099999997</v>
      </c>
      <c r="BZ54" s="821">
        <f>IF(IF(CB54=CB57,SUMIF(BI45:BI56,$BX54,BU45:BU56),SUMIF(BI45:BI56,$BX54,BP45:BP56))=0,NA(),IF(CB54=CB57,SUMIF(BI45:BI56,$BX54,BU45:BU56),SUMIF(BI45:BI56,$BX54,BP45:BP56)))</f>
        <v>0.02</v>
      </c>
      <c r="CA54" s="644">
        <f>IF(IF(CB54=CB57,SUMIF(BI45:BI56,$BX54,BS45:BS56),SUMIF(BI45:BI56,$BX54,BN45:BN56))=0,NA(),IF(CB54=CB57,SUMIF(BI45:BI56,$BX54,BS45:BS56),SUMIF(BI45:BI56,$BX54,BN45:BN56)))</f>
        <v>2.2767142031034374E-2</v>
      </c>
      <c r="CB54" s="645">
        <f t="shared" si="11"/>
        <v>23</v>
      </c>
      <c r="CC54" s="645">
        <f t="shared" si="8"/>
        <v>7</v>
      </c>
    </row>
    <row r="55" spans="2:81" ht="15" customHeight="1">
      <c r="BI55" s="638" t="s">
        <v>343</v>
      </c>
      <c r="BJ55" s="638">
        <v>11</v>
      </c>
      <c r="BK55" s="638" t="s">
        <v>338</v>
      </c>
      <c r="BL55" s="690">
        <v>34.162534999999998</v>
      </c>
      <c r="BM55" s="822">
        <v>782.04072099999996</v>
      </c>
      <c r="BN55" s="653">
        <f t="shared" si="9"/>
        <v>4.3683831394759301E-2</v>
      </c>
      <c r="BO55" s="290"/>
      <c r="BP55" s="821">
        <v>0.02</v>
      </c>
      <c r="BQ55" s="690"/>
      <c r="BR55" s="822"/>
      <c r="BS55" s="653" t="str">
        <f t="shared" si="10"/>
        <v/>
      </c>
      <c r="BT55" s="290"/>
      <c r="BU55" s="821">
        <v>0.02</v>
      </c>
      <c r="BX55" s="642" t="str">
        <f t="shared" si="7"/>
        <v>Aug</v>
      </c>
      <c r="BY55" s="643">
        <f>IF(CB55=$CB57,SUMIF($BI45:$BI56,$BX55,$BR45:$BR56),SUMIF($BI45:$BI56,$BX55,$BM45:$BM56))</f>
        <v>782.04072099999996</v>
      </c>
      <c r="BZ55" s="821">
        <f>IF(IF(CB55=CB57,SUMIF(BI45:BI56,$BX55,BU45:BU56),SUMIF(BI45:BI56,$BX55,BP45:BP56))=0,NA(),IF(CB55=CB57,SUMIF(BI45:BI56,$BX55,BU45:BU56),SUMIF(BI45:BI56,$BX55,BP45:BP56)))</f>
        <v>0.02</v>
      </c>
      <c r="CA55" s="644">
        <f>IF(IF(CB55=CB57,SUMIF(BI45:BI56,$BX55,BS45:BS56),SUMIF(BI45:BI56,$BX55,BN45:BN56))=0,NA(),IF(CB55=CB57,SUMIF(BI45:BI56,$BX55,BS45:BS56),SUMIF(BI45:BI56,$BX55,BN45:BN56)))</f>
        <v>4.3683831394759301E-2</v>
      </c>
      <c r="CB55" s="645">
        <f>CB36</f>
        <v>23</v>
      </c>
      <c r="CC55" s="645">
        <f t="shared" si="8"/>
        <v>8</v>
      </c>
    </row>
    <row r="56" spans="2:81" ht="15" customHeight="1">
      <c r="BI56" s="638" t="s">
        <v>344</v>
      </c>
      <c r="BJ56" s="638">
        <v>12</v>
      </c>
      <c r="BK56" s="638" t="s">
        <v>338</v>
      </c>
      <c r="BL56" s="690">
        <v>24.054839999999999</v>
      </c>
      <c r="BM56" s="822">
        <v>882.55028570000002</v>
      </c>
      <c r="BN56" s="653">
        <f t="shared" si="9"/>
        <v>2.725605598883327E-2</v>
      </c>
      <c r="BO56" s="290"/>
      <c r="BP56" s="821">
        <v>0.02</v>
      </c>
      <c r="BQ56" s="690"/>
      <c r="BR56" s="822"/>
      <c r="BS56" s="653" t="str">
        <f t="shared" si="10"/>
        <v/>
      </c>
      <c r="BT56" s="290"/>
      <c r="BU56" s="821">
        <v>0.02</v>
      </c>
      <c r="BX56" s="642" t="str">
        <f t="shared" si="7"/>
        <v>Sep</v>
      </c>
      <c r="BY56" s="643">
        <f>IF(CB56=$CB57,SUMIF($BI45:$BI56,$BX56,$BR45:$BR56),SUMIF($BI45:$BI56,$BX56,$BM45:$BM56))</f>
        <v>882.55028570000002</v>
      </c>
      <c r="BZ56" s="821">
        <f>IF(IF(CB56=CB57,SUMIF(BI45:BI56,$BX56,BU45:BU56),SUMIF(BI45:BI56,$BX56,BP45:BP56))=0,NA(),IF(CB56=CB57,SUMIF(BI45:BI56,$BX56,BU45:BU56),SUMIF(BI45:BI56,$BX56,BP45:BP56)))</f>
        <v>0.02</v>
      </c>
      <c r="CA56" s="644">
        <f>IF(IF(CB56=CB57,SUMIF(BI45:BI56,$BX56,BS45:BS56),SUMIF(BI45:BI56,$BX56,BN45:BN56))=0,NA(),IF(CB56=CB57,SUMIF(BI45:BI56,$BX56,BS45:BS56),SUMIF(BI45:BI56,$BX56,BN45:BN56)))</f>
        <v>2.725605598883327E-2</v>
      </c>
      <c r="CB56" s="645">
        <f t="shared" si="11"/>
        <v>23</v>
      </c>
      <c r="CC56" s="645">
        <f>IF(CC57-1&lt;1,CC57+11,CC57-1)</f>
        <v>9</v>
      </c>
    </row>
    <row r="57" spans="2:81" ht="15" customHeight="1">
      <c r="BW57" s="647" t="str">
        <f>Cover!$M$34</f>
        <v>OCT FY-24</v>
      </c>
      <c r="BX57" s="642" t="str">
        <f>TEXT(CONCATENATE(CC57,"/01/20",CB57),"MMM")</f>
        <v>Oct</v>
      </c>
      <c r="BY57" s="643">
        <f>SUMIF($BI45:$BI56,$BX57,$BR45:$BR56)</f>
        <v>1032.726574</v>
      </c>
      <c r="BZ57" s="821">
        <f>IF(IF(CB57=CB57,SUMIF(BI45:BI56,$BX57,BU45:BU56),SUMIF(BI45:BI56,$BX57,BP45:BP56))=0,NA(),IF(CB57=CB57,SUMIF(BI45:BI56,$BX57,BU45:BU56),SUMIF(BI45:BI56,$BX57,BP45:BP56)))</f>
        <v>0.02</v>
      </c>
      <c r="CA57" s="644">
        <f>IF(SUMIF($BI45:$BI56,$BX57,$BS45:$BS56)=0,NA(),SUMIF($BI45:$BI56,$BX57,$BS45:$BS56))</f>
        <v>3.5742392932749299E-2</v>
      </c>
      <c r="CB57" s="645">
        <f t="shared" si="11"/>
        <v>24</v>
      </c>
      <c r="CC57" s="645">
        <f>MONTH(DATEVALUE(LEFT(BW57,3)&amp;" 1"))</f>
        <v>10</v>
      </c>
    </row>
    <row r="59" spans="2:81" ht="15" customHeight="1">
      <c r="BI59" s="54" t="s">
        <v>292</v>
      </c>
      <c r="BJ59" s="287" t="s">
        <v>373</v>
      </c>
      <c r="BK59" s="287"/>
      <c r="BL59" s="287"/>
      <c r="BM59" s="287"/>
      <c r="BN59" s="287"/>
      <c r="BO59" s="287"/>
      <c r="BP59" s="287"/>
      <c r="BQ59" s="287"/>
      <c r="BR59" s="287"/>
      <c r="BS59" s="287"/>
      <c r="BT59" s="287"/>
      <c r="BU59" s="287"/>
    </row>
    <row r="60" spans="2:81" ht="15" customHeight="1">
      <c r="BI60" s="54" t="s">
        <v>296</v>
      </c>
      <c r="BJ60" s="287" t="s">
        <v>374</v>
      </c>
      <c r="BK60" s="287"/>
      <c r="BL60" s="287"/>
      <c r="BM60" s="287"/>
      <c r="BN60" s="287"/>
      <c r="BO60" s="287"/>
      <c r="BP60" s="287"/>
      <c r="BQ60" s="287"/>
      <c r="BR60" s="287"/>
      <c r="BS60" s="287"/>
      <c r="BT60" s="287"/>
      <c r="BU60" s="287"/>
    </row>
    <row r="61" spans="2:81" ht="15" customHeight="1" thickBot="1">
      <c r="BI61" s="54" t="s">
        <v>300</v>
      </c>
      <c r="BJ61" s="287" t="s">
        <v>375</v>
      </c>
      <c r="BK61" s="287"/>
      <c r="BL61" s="287"/>
      <c r="BM61" s="287"/>
      <c r="BN61" s="287"/>
      <c r="BO61" s="287"/>
      <c r="BP61" s="287"/>
      <c r="BQ61" s="287"/>
      <c r="BR61" s="287"/>
      <c r="BS61" s="287"/>
      <c r="BT61" s="287"/>
      <c r="BU61" s="287"/>
    </row>
    <row r="62" spans="2:81" ht="15" customHeight="1" thickBot="1">
      <c r="B62" s="267" t="s">
        <v>242</v>
      </c>
      <c r="C62" s="267"/>
      <c r="D62" s="267"/>
      <c r="E62" s="334"/>
      <c r="F62" s="326"/>
      <c r="G62" s="326"/>
      <c r="H62" s="326"/>
      <c r="I62" s="326"/>
      <c r="J62" s="326"/>
      <c r="K62" s="326"/>
      <c r="L62" s="326"/>
      <c r="M62" s="326"/>
      <c r="N62" s="326"/>
      <c r="O62" s="326"/>
      <c r="P62" s="326"/>
      <c r="Q62" s="326"/>
      <c r="R62" s="326"/>
      <c r="S62" s="326"/>
      <c r="T62" s="326"/>
      <c r="U62" s="326"/>
      <c r="V62" s="326"/>
      <c r="W62" s="326"/>
      <c r="X62" s="326"/>
      <c r="Y62" s="326"/>
      <c r="Z62" s="326"/>
      <c r="AA62" s="326"/>
      <c r="AB62" s="326"/>
      <c r="AE62" s="267" t="s">
        <v>242</v>
      </c>
      <c r="AF62" s="267"/>
      <c r="AG62" s="267"/>
      <c r="AH62" s="334"/>
      <c r="AI62" s="326"/>
      <c r="AJ62" s="326"/>
      <c r="AK62" s="326"/>
      <c r="AL62" s="326"/>
      <c r="AM62" s="326"/>
      <c r="AN62" s="326"/>
      <c r="AO62" s="326"/>
      <c r="AP62" s="326"/>
      <c r="AQ62" s="326"/>
      <c r="AR62" s="326"/>
      <c r="AS62" s="326"/>
      <c r="AT62" s="326"/>
      <c r="AU62" s="326"/>
      <c r="AV62" s="326"/>
      <c r="AW62" s="326"/>
      <c r="AX62" s="326"/>
      <c r="AY62" s="326"/>
      <c r="AZ62" s="326"/>
      <c r="BA62" s="326"/>
      <c r="BB62" s="326"/>
      <c r="BC62" s="326"/>
      <c r="BD62" s="326"/>
      <c r="BE62" s="326"/>
      <c r="BI62" s="277"/>
      <c r="BL62" s="1148" t="s">
        <v>302</v>
      </c>
      <c r="BM62" s="1149"/>
      <c r="BN62" s="1149"/>
      <c r="BO62" s="1149"/>
      <c r="BP62" s="1150"/>
      <c r="BQ62" s="1148" t="s">
        <v>719</v>
      </c>
      <c r="BR62" s="1149"/>
      <c r="BS62" s="1149"/>
      <c r="BT62" s="1149"/>
      <c r="BU62" s="1150"/>
      <c r="BW62" s="1148" t="s">
        <v>303</v>
      </c>
      <c r="BX62" s="1149"/>
      <c r="BY62" s="1149"/>
      <c r="BZ62" s="1149"/>
      <c r="CA62" s="1149"/>
      <c r="CB62" s="1149"/>
      <c r="CC62" s="1150"/>
    </row>
    <row r="63" spans="2:81" ht="15" customHeight="1">
      <c r="B63" s="1191" t="str">
        <f>AC38</f>
        <v>Missed KPI, a result of: 1) Catching up from EOY volume 2) Training new hires</v>
      </c>
      <c r="C63" s="1138"/>
      <c r="D63" s="1138"/>
      <c r="E63" s="1138"/>
      <c r="F63" s="1138"/>
      <c r="G63" s="1138"/>
      <c r="H63" s="1138"/>
      <c r="I63" s="1138"/>
      <c r="J63" s="1138"/>
      <c r="K63" s="1138"/>
      <c r="L63" s="1138"/>
      <c r="M63" s="1138"/>
      <c r="N63" s="1138"/>
      <c r="O63" s="1138"/>
      <c r="P63" s="1138"/>
      <c r="Q63" s="1138"/>
      <c r="R63" s="1138"/>
      <c r="S63" s="1138"/>
      <c r="T63" s="1138"/>
      <c r="U63" s="1138"/>
      <c r="V63" s="1138"/>
      <c r="W63" s="1138"/>
      <c r="X63" s="1138"/>
      <c r="Y63" s="1138"/>
      <c r="Z63" s="1138"/>
      <c r="AA63" s="1138"/>
      <c r="AB63" s="1139"/>
      <c r="AE63" s="1137" t="str">
        <f>AC39</f>
        <v>Missed KPI, a result of: 1) Catching up from EOY Snow queue volume 2) Training new hires</v>
      </c>
      <c r="AF63" s="1138"/>
      <c r="AG63" s="1138"/>
      <c r="AH63" s="1138"/>
      <c r="AI63" s="1138"/>
      <c r="AJ63" s="1138"/>
      <c r="AK63" s="1138"/>
      <c r="AL63" s="1138"/>
      <c r="AM63" s="1138"/>
      <c r="AN63" s="1138"/>
      <c r="AO63" s="1138"/>
      <c r="AP63" s="1138"/>
      <c r="AQ63" s="1138"/>
      <c r="AR63" s="1138"/>
      <c r="AS63" s="1138"/>
      <c r="AT63" s="1138"/>
      <c r="AU63" s="1138"/>
      <c r="AV63" s="1138"/>
      <c r="AW63" s="1138"/>
      <c r="AX63" s="1138"/>
      <c r="AY63" s="1138"/>
      <c r="AZ63" s="1138"/>
      <c r="BA63" s="1138"/>
      <c r="BB63" s="1138"/>
      <c r="BC63" s="1138"/>
      <c r="BD63" s="1138"/>
      <c r="BE63" s="1139"/>
      <c r="BI63" s="636" t="s">
        <v>23</v>
      </c>
      <c r="BJ63" s="636" t="s">
        <v>37</v>
      </c>
      <c r="BK63" s="636" t="s">
        <v>304</v>
      </c>
      <c r="BL63" s="637" t="s">
        <v>305</v>
      </c>
      <c r="BM63" s="637" t="s">
        <v>310</v>
      </c>
      <c r="BN63" s="637" t="s">
        <v>311</v>
      </c>
      <c r="BO63" s="278" t="s">
        <v>312</v>
      </c>
      <c r="BP63" s="637" t="s">
        <v>313</v>
      </c>
      <c r="BQ63" s="637" t="s">
        <v>305</v>
      </c>
      <c r="BR63" s="637" t="s">
        <v>715</v>
      </c>
      <c r="BS63" s="637" t="s">
        <v>716</v>
      </c>
      <c r="BT63" s="278" t="s">
        <v>717</v>
      </c>
      <c r="BU63" s="637" t="s">
        <v>718</v>
      </c>
      <c r="BW63" s="279" t="s">
        <v>314</v>
      </c>
      <c r="BX63" s="279" t="s">
        <v>23</v>
      </c>
      <c r="BY63" s="279" t="s">
        <v>315</v>
      </c>
      <c r="BZ63" s="279" t="s">
        <v>122</v>
      </c>
      <c r="CA63" s="279" t="s">
        <v>316</v>
      </c>
      <c r="CB63" s="279" t="s">
        <v>317</v>
      </c>
      <c r="CC63" s="279" t="s">
        <v>318</v>
      </c>
    </row>
    <row r="64" spans="2:81" ht="15" customHeight="1">
      <c r="B64" s="1140"/>
      <c r="C64" s="1141"/>
      <c r="D64" s="1141"/>
      <c r="E64" s="1141"/>
      <c r="F64" s="1141"/>
      <c r="G64" s="1141"/>
      <c r="H64" s="1141"/>
      <c r="I64" s="1141"/>
      <c r="J64" s="1141"/>
      <c r="K64" s="1141"/>
      <c r="L64" s="1141"/>
      <c r="M64" s="1141"/>
      <c r="N64" s="1141"/>
      <c r="O64" s="1141"/>
      <c r="P64" s="1141"/>
      <c r="Q64" s="1141"/>
      <c r="R64" s="1141"/>
      <c r="S64" s="1141"/>
      <c r="T64" s="1141"/>
      <c r="U64" s="1141"/>
      <c r="V64" s="1141"/>
      <c r="W64" s="1141"/>
      <c r="X64" s="1141"/>
      <c r="Y64" s="1141"/>
      <c r="Z64" s="1141"/>
      <c r="AA64" s="1141"/>
      <c r="AB64" s="1142"/>
      <c r="AE64" s="1140"/>
      <c r="AF64" s="1141"/>
      <c r="AG64" s="1141"/>
      <c r="AH64" s="1141"/>
      <c r="AI64" s="1141"/>
      <c r="AJ64" s="1141"/>
      <c r="AK64" s="1141"/>
      <c r="AL64" s="1141"/>
      <c r="AM64" s="1141"/>
      <c r="AN64" s="1141"/>
      <c r="AO64" s="1141"/>
      <c r="AP64" s="1141"/>
      <c r="AQ64" s="1141"/>
      <c r="AR64" s="1141"/>
      <c r="AS64" s="1141"/>
      <c r="AT64" s="1141"/>
      <c r="AU64" s="1141"/>
      <c r="AV64" s="1141"/>
      <c r="AW64" s="1141"/>
      <c r="AX64" s="1141"/>
      <c r="AY64" s="1141"/>
      <c r="AZ64" s="1141"/>
      <c r="BA64" s="1141"/>
      <c r="BB64" s="1141"/>
      <c r="BC64" s="1141"/>
      <c r="BD64" s="1141"/>
      <c r="BE64" s="1142"/>
      <c r="BI64" s="638" t="s">
        <v>319</v>
      </c>
      <c r="BJ64" s="638">
        <v>1</v>
      </c>
      <c r="BK64" s="638" t="s">
        <v>320</v>
      </c>
      <c r="BL64" s="690">
        <v>20.922999999999998</v>
      </c>
      <c r="BM64" s="822">
        <v>3.198</v>
      </c>
      <c r="BN64" s="653">
        <f>IF(BM64="","",BL64/BM64)</f>
        <v>6.5425265791119447</v>
      </c>
      <c r="BO64" s="289">
        <f>IF(SUM(BM64:BM66=0),0,SUM(BL64:BL66)/SUM(BM64:BM66))</f>
        <v>6.2357987037743037</v>
      </c>
      <c r="BP64" s="641"/>
      <c r="BQ64" s="690">
        <v>20.053000000000001</v>
      </c>
      <c r="BR64" s="822">
        <v>3.32</v>
      </c>
      <c r="BS64" s="654">
        <f>IF(BR64="","",BQ64/BR64)</f>
        <v>6.0400602409638555</v>
      </c>
      <c r="BT64" s="289">
        <f>IF(SUM(BR64:BR66=0),0,SUM(BQ64:BQ66)/SUM(BR64:BR66))</f>
        <v>6.0400602409638555</v>
      </c>
      <c r="BU64" s="655"/>
      <c r="BX64" s="642" t="str">
        <f t="shared" ref="BX64:BX75" si="12">TEXT(CONCATENATE(CC64,"/01/20",CB64),"MMM")</f>
        <v>Oct</v>
      </c>
      <c r="BY64" s="643">
        <f>IF(CB64=$CB76,SUMIF($BI64:$BI75,$BX64,$BR64:$BR75),SUMIF($BI64:$BI75,$BX64,$BM64:$BM75))</f>
        <v>3.198</v>
      </c>
      <c r="BZ64" s="643" t="e">
        <f>IF(IF(CB64=CB76,SUMIF(BI64:BI75,$BX64,BU64:BU75),SUMIF(BI64:BI75,$BX64,BP64:BP75))=0,NA(),IF(CB64=CB76,SUMIF(BI64:BI75,$BX64,BU64:BU75),SUMIF(BI64:BI75,$BX64,BP64:BP75)))</f>
        <v>#N/A</v>
      </c>
      <c r="CA64" s="664">
        <f>IF(IF(CB64=CB76,SUMIF(BI64:BI75,$BX64,BS64:BS75),SUMIF(BI64:BI75,$BX64,BN64:BN75))=0,NA(),IF(CB64=CB76,SUMIF(BI64:BI75,$BX64,BS64:BS75),SUMIF(BI64:BI75,$BX64,BN64:BN75)))</f>
        <v>6.5425265791119447</v>
      </c>
      <c r="CB64" s="645">
        <f>CB45</f>
        <v>23</v>
      </c>
      <c r="CC64" s="645">
        <f t="shared" ref="CC64:CC74" si="13">IF(CC65-1&lt;1,CC65+11,CC65-1)</f>
        <v>10</v>
      </c>
    </row>
    <row r="65" spans="2:81" ht="15" customHeight="1">
      <c r="B65" s="1140"/>
      <c r="C65" s="1141"/>
      <c r="D65" s="1141"/>
      <c r="E65" s="1141"/>
      <c r="F65" s="1141"/>
      <c r="G65" s="1141"/>
      <c r="H65" s="1141"/>
      <c r="I65" s="1141"/>
      <c r="J65" s="1141"/>
      <c r="K65" s="1141"/>
      <c r="L65" s="1141"/>
      <c r="M65" s="1141"/>
      <c r="N65" s="1141"/>
      <c r="O65" s="1141"/>
      <c r="P65" s="1141"/>
      <c r="Q65" s="1141"/>
      <c r="R65" s="1141"/>
      <c r="S65" s="1141"/>
      <c r="T65" s="1141"/>
      <c r="U65" s="1141"/>
      <c r="V65" s="1141"/>
      <c r="W65" s="1141"/>
      <c r="X65" s="1141"/>
      <c r="Y65" s="1141"/>
      <c r="Z65" s="1141"/>
      <c r="AA65" s="1141"/>
      <c r="AB65" s="1142"/>
      <c r="AE65" s="1140"/>
      <c r="AF65" s="1141"/>
      <c r="AG65" s="1141"/>
      <c r="AH65" s="1141"/>
      <c r="AI65" s="1141"/>
      <c r="AJ65" s="1141"/>
      <c r="AK65" s="1141"/>
      <c r="AL65" s="1141"/>
      <c r="AM65" s="1141"/>
      <c r="AN65" s="1141"/>
      <c r="AO65" s="1141"/>
      <c r="AP65" s="1141"/>
      <c r="AQ65" s="1141"/>
      <c r="AR65" s="1141"/>
      <c r="AS65" s="1141"/>
      <c r="AT65" s="1141"/>
      <c r="AU65" s="1141"/>
      <c r="AV65" s="1141"/>
      <c r="AW65" s="1141"/>
      <c r="AX65" s="1141"/>
      <c r="AY65" s="1141"/>
      <c r="AZ65" s="1141"/>
      <c r="BA65" s="1141"/>
      <c r="BB65" s="1141"/>
      <c r="BC65" s="1141"/>
      <c r="BD65" s="1141"/>
      <c r="BE65" s="1142"/>
      <c r="BI65" s="638" t="s">
        <v>321</v>
      </c>
      <c r="BJ65" s="638">
        <v>2</v>
      </c>
      <c r="BK65" s="638" t="s">
        <v>320</v>
      </c>
      <c r="BL65" s="690">
        <v>20.687000000000001</v>
      </c>
      <c r="BM65" s="822">
        <v>3.2029999999999998</v>
      </c>
      <c r="BN65" s="653">
        <f t="shared" ref="BN65:BN75" si="14">IF(BM65="","",BL65/BM65)</f>
        <v>6.4586325320012499</v>
      </c>
      <c r="BO65" s="290"/>
      <c r="BP65" s="641"/>
      <c r="BQ65" s="690"/>
      <c r="BR65" s="822"/>
      <c r="BS65" s="654" t="str">
        <f>IF(BR65="","",BQ65/BR65)</f>
        <v/>
      </c>
      <c r="BT65" s="290"/>
      <c r="BU65" s="655"/>
      <c r="BX65" s="642" t="str">
        <f t="shared" si="12"/>
        <v>Nov</v>
      </c>
      <c r="BY65" s="643">
        <f>IF(CB65=$CB76,SUMIF($BI64:$BI75,$BX65,$BR64:$BR75),SUMIF($BI64:$BI75,$BX65,$BM64:$BM75))</f>
        <v>3.2029999999999998</v>
      </c>
      <c r="BZ65" s="643" t="e">
        <f>IF(IF(CB65=CB76,SUMIF(BI64:BI75,$BX65,BU64:BU75),SUMIF(BI64:BI75,$BX65,BP64:BP75))=0,NA(),IF(CB65=CB76,SUMIF(BI64:BI75,$BX65,BU64:BU75),SUMIF(BI64:BI75,$BX65,BP64:BP75)))</f>
        <v>#N/A</v>
      </c>
      <c r="CA65" s="664">
        <f>IF(IF(CB65=CB76,SUMIF(BI64:BI75,$BX65,BS64:BS75),SUMIF(BI64:BI75,$BX65,BN64:BN75))=0,NA(),IF(CB65=CB76,SUMIF(BI64:BI75,$BX65,BS64:BS75),SUMIF(BI64:BI75,$BX65,BN64:BN75)))</f>
        <v>6.4586325320012499</v>
      </c>
      <c r="CB65" s="645">
        <f t="shared" ref="CB65:CB76" si="15">CB46</f>
        <v>23</v>
      </c>
      <c r="CC65" s="645">
        <f t="shared" si="13"/>
        <v>11</v>
      </c>
    </row>
    <row r="66" spans="2:81" ht="15" customHeight="1">
      <c r="B66" s="1143"/>
      <c r="C66" s="1144"/>
      <c r="D66" s="1144"/>
      <c r="E66" s="1144"/>
      <c r="F66" s="1144"/>
      <c r="G66" s="1144"/>
      <c r="H66" s="1144"/>
      <c r="I66" s="1144"/>
      <c r="J66" s="1144"/>
      <c r="K66" s="1144"/>
      <c r="L66" s="1144"/>
      <c r="M66" s="1144"/>
      <c r="N66" s="1144"/>
      <c r="O66" s="1144"/>
      <c r="P66" s="1144"/>
      <c r="Q66" s="1144"/>
      <c r="R66" s="1144"/>
      <c r="S66" s="1144"/>
      <c r="T66" s="1144"/>
      <c r="U66" s="1144"/>
      <c r="V66" s="1144"/>
      <c r="W66" s="1144"/>
      <c r="X66" s="1144"/>
      <c r="Y66" s="1144"/>
      <c r="Z66" s="1144"/>
      <c r="AA66" s="1144"/>
      <c r="AB66" s="1145"/>
      <c r="AE66" s="1143"/>
      <c r="AF66" s="1144"/>
      <c r="AG66" s="1144"/>
      <c r="AH66" s="1144"/>
      <c r="AI66" s="1144"/>
      <c r="AJ66" s="1144"/>
      <c r="AK66" s="1144"/>
      <c r="AL66" s="1144"/>
      <c r="AM66" s="1144"/>
      <c r="AN66" s="1144"/>
      <c r="AO66" s="1144"/>
      <c r="AP66" s="1144"/>
      <c r="AQ66" s="1144"/>
      <c r="AR66" s="1144"/>
      <c r="AS66" s="1144"/>
      <c r="AT66" s="1144"/>
      <c r="AU66" s="1144"/>
      <c r="AV66" s="1144"/>
      <c r="AW66" s="1144"/>
      <c r="AX66" s="1144"/>
      <c r="AY66" s="1144"/>
      <c r="AZ66" s="1144"/>
      <c r="BA66" s="1144"/>
      <c r="BB66" s="1144"/>
      <c r="BC66" s="1144"/>
      <c r="BD66" s="1144"/>
      <c r="BE66" s="1145"/>
      <c r="BI66" s="638" t="s">
        <v>322</v>
      </c>
      <c r="BJ66" s="638">
        <v>3</v>
      </c>
      <c r="BK66" s="638" t="s">
        <v>320</v>
      </c>
      <c r="BL66" s="690">
        <v>23.815999999999999</v>
      </c>
      <c r="BM66" s="822">
        <v>4.0910000000000002</v>
      </c>
      <c r="BN66" s="653">
        <f t="shared" si="14"/>
        <v>5.8215595208995348</v>
      </c>
      <c r="BO66" s="290"/>
      <c r="BP66" s="641"/>
      <c r="BQ66" s="690"/>
      <c r="BR66" s="822"/>
      <c r="BS66" s="654" t="str">
        <f t="shared" ref="BS66:BS75" si="16">IF(BR66="","",BQ66/BR66)</f>
        <v/>
      </c>
      <c r="BT66" s="290"/>
      <c r="BU66" s="655"/>
      <c r="BX66" s="642" t="str">
        <f t="shared" si="12"/>
        <v>Dec</v>
      </c>
      <c r="BY66" s="643">
        <f>IF(CB66=$CB76,SUMIF($BI64:$BI75,$BX66,$BR64:$BR75),SUMIF($BI64:$BI75,$BX66,$BM64:$BM75))</f>
        <v>4.0910000000000002</v>
      </c>
      <c r="BZ66" s="643" t="e">
        <f>IF(IF(CB66=CB76,SUMIF(BI64:BI75,$BX66,BU64:BU75),SUMIF(BI64:BI75,$BX66,BP64:BP75))=0,NA(),IF(CB66=CB76,SUMIF(BI64:BI75,$BX66,BU64:BU75),SUMIF(BI64:BI75,$BX66,BP64:BP75)))</f>
        <v>#N/A</v>
      </c>
      <c r="CA66" s="664">
        <f>IF(IF(CB66=CB76,SUMIF(BI64:BI75,$BX66,BS64:BS75),SUMIF(BI64:BI75,$BX66,BN64:BN75))=0,NA(),IF(CB66=CB76,SUMIF(BI64:BI75,$BX66,BS64:BS75),SUMIF(BI64:BI75,$BX66,BN64:BN75)))</f>
        <v>5.8215595208995348</v>
      </c>
      <c r="CB66" s="645">
        <f t="shared" si="15"/>
        <v>23</v>
      </c>
      <c r="CC66" s="645">
        <f t="shared" si="13"/>
        <v>12</v>
      </c>
    </row>
    <row r="67" spans="2:81" ht="15" customHeight="1">
      <c r="BI67" s="638" t="s">
        <v>323</v>
      </c>
      <c r="BJ67" s="638">
        <v>4</v>
      </c>
      <c r="BK67" s="638" t="s">
        <v>324</v>
      </c>
      <c r="BL67" s="690">
        <v>20.91</v>
      </c>
      <c r="BM67" s="822">
        <v>2.8490000000000002</v>
      </c>
      <c r="BN67" s="653">
        <f t="shared" si="14"/>
        <v>7.3394173394173388</v>
      </c>
      <c r="BO67" s="289">
        <f>IF(SUM(BM67:BM69=0),0,SUM(BL67:BL69)/SUM(BM67:BM69))</f>
        <v>6.4348279457768509</v>
      </c>
      <c r="BP67" s="641"/>
      <c r="BQ67" s="690"/>
      <c r="BR67" s="822"/>
      <c r="BS67" s="654" t="str">
        <f t="shared" si="16"/>
        <v/>
      </c>
      <c r="BT67" s="289">
        <f>IF(SUM(BR67:BR69=0),0,SUM(BQ67:BQ69)/SUM(BR67:BR69))</f>
        <v>0</v>
      </c>
      <c r="BU67" s="655"/>
      <c r="BX67" s="642" t="str">
        <f t="shared" si="12"/>
        <v>Jan</v>
      </c>
      <c r="BY67" s="643">
        <f>IF(CB67=$CB76,SUMIF($BI64:$BI75,$BX67,$BR64:$BR75),SUMIF($BI64:$BI75,$BX67,$BM64:$BM75))</f>
        <v>2.8490000000000002</v>
      </c>
      <c r="BZ67" s="643" t="e">
        <f>IF(IF(CB67=CB76,SUMIF(BI64:BI75,$BX67,BU64:BU75),SUMIF(BI64:BI75,$BX67,BP64:BP75))=0,NA(),IF(CB67=CB76,SUMIF(BI64:BI75,$BX67,BU64:BU75),SUMIF(BI64:BI75,$BX67,BP64:BP75)))</f>
        <v>#N/A</v>
      </c>
      <c r="CA67" s="664">
        <f>IF(IF(CB67=CB76,SUMIF(BI64:BI75,$BX67,BS64:BS75),SUMIF(BI64:BI75,$BX67,BN64:BN75))=0,NA(),IF(CB67=CB76,SUMIF(BI64:BI75,$BX67,BS64:BS75),SUMIF(BI64:BI75,$BX67,BN64:BN75)))</f>
        <v>7.3394173394173388</v>
      </c>
      <c r="CB67" s="645">
        <f t="shared" si="15"/>
        <v>23</v>
      </c>
      <c r="CC67" s="645">
        <f t="shared" si="13"/>
        <v>1</v>
      </c>
    </row>
    <row r="68" spans="2:81" ht="15" customHeight="1">
      <c r="B68" s="52"/>
      <c r="AD68" s="336"/>
      <c r="BI68" s="638" t="s">
        <v>325</v>
      </c>
      <c r="BJ68" s="638">
        <v>5</v>
      </c>
      <c r="BK68" s="638" t="s">
        <v>324</v>
      </c>
      <c r="BL68" s="690">
        <v>21.632000000000001</v>
      </c>
      <c r="BM68" s="822">
        <v>3.351</v>
      </c>
      <c r="BN68" s="653">
        <f t="shared" si="14"/>
        <v>6.455386451805432</v>
      </c>
      <c r="BO68" s="290"/>
      <c r="BP68" s="641"/>
      <c r="BQ68" s="690"/>
      <c r="BR68" s="822"/>
      <c r="BS68" s="654" t="str">
        <f t="shared" si="16"/>
        <v/>
      </c>
      <c r="BT68" s="290"/>
      <c r="BU68" s="655"/>
      <c r="BX68" s="642" t="str">
        <f t="shared" si="12"/>
        <v>Feb</v>
      </c>
      <c r="BY68" s="643">
        <f>IF(CB68=$CB76,SUMIF($BI64:$BI75,$BX68,$BR64:$BR75),SUMIF($BI64:$BI75,$BX68,$BM64:$BM75))</f>
        <v>3.351</v>
      </c>
      <c r="BZ68" s="643" t="e">
        <f>IF(IF(CB68=CB76,SUMIF(BI64:BI75,$BX68,BU64:BU75),SUMIF(BI64:BI75,$BX68,BP64:BP75))=0,NA(),IF(CB68=CB76,SUMIF(BI64:BI75,$BX68,BU64:BU75),SUMIF(BI64:BI75,$BX68,BP64:BP75)))</f>
        <v>#N/A</v>
      </c>
      <c r="CA68" s="664">
        <f>IF(IF(CB68=CB76,SUMIF(BI64:BI75,$BX68,BS64:BS75),SUMIF(BI64:BI75,$BX68,BN64:BN75))=0,NA(),IF(CB68=CB76,SUMIF(BI64:BI75,$BX68,BS64:BS75),SUMIF(BI64:BI75,$BX68,BN64:BN75)))</f>
        <v>6.455386451805432</v>
      </c>
      <c r="CB68" s="645">
        <f t="shared" si="15"/>
        <v>23</v>
      </c>
      <c r="CC68" s="645">
        <f t="shared" si="13"/>
        <v>2</v>
      </c>
    </row>
    <row r="69" spans="2:81" ht="15" customHeight="1">
      <c r="BI69" s="638" t="s">
        <v>326</v>
      </c>
      <c r="BJ69" s="638">
        <v>6</v>
      </c>
      <c r="BK69" s="638" t="s">
        <v>324</v>
      </c>
      <c r="BL69" s="690">
        <v>25.338999999999999</v>
      </c>
      <c r="BM69" s="822">
        <v>4.3490000000000002</v>
      </c>
      <c r="BN69" s="653">
        <f t="shared" si="14"/>
        <v>5.8263968728443318</v>
      </c>
      <c r="BO69" s="290"/>
      <c r="BP69" s="641"/>
      <c r="BQ69" s="690"/>
      <c r="BR69" s="822"/>
      <c r="BS69" s="654" t="str">
        <f t="shared" si="16"/>
        <v/>
      </c>
      <c r="BT69" s="290"/>
      <c r="BU69" s="655"/>
      <c r="BX69" s="642" t="str">
        <f t="shared" si="12"/>
        <v>Mar</v>
      </c>
      <c r="BY69" s="643">
        <f>IF(CB69=$CB76,SUMIF($BI64:$BI75,$BX69,$BR64:$BR75),SUMIF($BI64:$BI75,$BX69,$BM64:$BM75))</f>
        <v>4.3490000000000002</v>
      </c>
      <c r="BZ69" s="643" t="e">
        <f>IF(IF(CB69=CB76,SUMIF(BI64:BI75,$BX69,BU64:BU75),SUMIF(BI64:BI75,$BX69,BP64:BP75))=0,NA(),IF(CB69=CB76,SUMIF(BI64:BI75,$BX69,BU64:BU75),SUMIF(BI64:BI75,$BX69,BP64:BP75)))</f>
        <v>#N/A</v>
      </c>
      <c r="CA69" s="664">
        <f>IF(IF(CB69=CB76,SUMIF(BI64:BI75,$BX69,BS64:BS75),SUMIF(BI64:BI75,$BX69,BN64:BN75))=0,NA(),IF(CB69=CB76,SUMIF(BI64:BI75,$BX69,BS64:BS75),SUMIF(BI64:BI75,$BX69,BN64:BN75)))</f>
        <v>5.8263968728443318</v>
      </c>
      <c r="CB69" s="645">
        <f t="shared" si="15"/>
        <v>23</v>
      </c>
      <c r="CC69" s="645">
        <f t="shared" si="13"/>
        <v>3</v>
      </c>
    </row>
    <row r="70" spans="2:81" ht="15" customHeight="1">
      <c r="BI70" s="638" t="s">
        <v>327</v>
      </c>
      <c r="BJ70" s="638">
        <v>7</v>
      </c>
      <c r="BK70" s="638" t="s">
        <v>328</v>
      </c>
      <c r="BL70" s="690">
        <v>19.579000000000001</v>
      </c>
      <c r="BM70" s="822">
        <v>3.2509999999999999</v>
      </c>
      <c r="BN70" s="653">
        <f t="shared" si="14"/>
        <v>6.0224546293448178</v>
      </c>
      <c r="BO70" s="289">
        <f>IF(SUM(BM70:BM72=0),0,SUM(BL70:BL72)/SUM(BM70:BM72))</f>
        <v>5.7666909223212661</v>
      </c>
      <c r="BP70" s="641"/>
      <c r="BQ70" s="690"/>
      <c r="BR70" s="822"/>
      <c r="BS70" s="654" t="str">
        <f t="shared" si="16"/>
        <v/>
      </c>
      <c r="BT70" s="289">
        <f>IF(SUM(BR70:BR72=0),0,SUM(BQ70:BQ72)/SUM(BR70:BR72))</f>
        <v>0</v>
      </c>
      <c r="BU70" s="655"/>
      <c r="BX70" s="642" t="str">
        <f t="shared" si="12"/>
        <v>Apr</v>
      </c>
      <c r="BY70" s="643">
        <f>IF(CB70=$CB76,SUMIF($BI64:$BI75,$BX70,$BR64:$BR75),SUMIF($BI64:$BI75,$BX70,$BM64:$BM75))</f>
        <v>3.2509999999999999</v>
      </c>
      <c r="BZ70" s="643" t="e">
        <f>IF(IF(CB70=CB76,SUMIF(BI64:BI75,$BX70,BU64:BU75),SUMIF(BI64:BI75,$BX70,BP64:BP75))=0,NA(),IF(CB70=CB76,SUMIF(BI64:BI75,$BX70,BU64:BU75),SUMIF(BI64:BI75,$BX70,BP64:BP75)))</f>
        <v>#N/A</v>
      </c>
      <c r="CA70" s="664">
        <f>IF(IF(CB70=CB76,SUMIF(BI64:BI75,$BX70,BS64:BS75),SUMIF(BI64:BI75,$BX70,BN64:BN75))=0,NA(),IF(CB70=CB76,SUMIF(BI64:BI75,$BX70,BS64:BS75),SUMIF(BI64:BI75,$BX70,BN64:BN75)))</f>
        <v>6.0224546293448178</v>
      </c>
      <c r="CB70" s="645">
        <f t="shared" si="15"/>
        <v>23</v>
      </c>
      <c r="CC70" s="645">
        <f t="shared" si="13"/>
        <v>4</v>
      </c>
    </row>
    <row r="71" spans="2:81" ht="15" customHeight="1">
      <c r="BI71" s="638" t="s">
        <v>329</v>
      </c>
      <c r="BJ71" s="638">
        <v>8</v>
      </c>
      <c r="BK71" s="638" t="s">
        <v>328</v>
      </c>
      <c r="BL71" s="690">
        <v>19.484999999999999</v>
      </c>
      <c r="BM71" s="822">
        <v>3.5049999999999999</v>
      </c>
      <c r="BN71" s="653">
        <f t="shared" si="14"/>
        <v>5.5592011412268185</v>
      </c>
      <c r="BO71" s="290"/>
      <c r="BP71" s="641"/>
      <c r="BQ71" s="690"/>
      <c r="BR71" s="822"/>
      <c r="BS71" s="654" t="str">
        <f t="shared" si="16"/>
        <v/>
      </c>
      <c r="BT71" s="290"/>
      <c r="BU71" s="655"/>
      <c r="BX71" s="642" t="str">
        <f t="shared" si="12"/>
        <v>May</v>
      </c>
      <c r="BY71" s="643">
        <f>IF(CB71=$CB76,SUMIF($BI64:$BI75,$BX71,$BR64:$BR75),SUMIF($BI64:$BI75,$BX71,$BM64:$BM75))</f>
        <v>3.5049999999999999</v>
      </c>
      <c r="BZ71" s="643" t="e">
        <f>IF(IF(CB71=CB76,SUMIF(BI64:BI75,$BX71,BU64:BU75),SUMIF(BI64:BI75,$BX71,BP64:BP75))=0,NA(),IF(CB71=CB76,SUMIF(BI64:BI75,$BX71,BU64:BU75),SUMIF(BI64:BI75,$BX71,BP64:BP75)))</f>
        <v>#N/A</v>
      </c>
      <c r="CA71" s="664">
        <f>IF(IF(CB71=CB76,SUMIF(BI64:BI75,$BX71,BS64:BS75),SUMIF(BI64:BI75,$BX71,BN64:BN75))=0,NA(),IF(CB71=CB76,SUMIF(BI64:BI75,$BX71,BS64:BS75),SUMIF(BI64:BI75,$BX71,BN64:BN75)))</f>
        <v>5.5592011412268185</v>
      </c>
      <c r="CB71" s="645">
        <f t="shared" si="15"/>
        <v>23</v>
      </c>
      <c r="CC71" s="645">
        <f t="shared" si="13"/>
        <v>5</v>
      </c>
    </row>
    <row r="72" spans="2:81" ht="15" customHeight="1">
      <c r="BI72" s="638" t="s">
        <v>331</v>
      </c>
      <c r="BJ72" s="638">
        <v>9</v>
      </c>
      <c r="BK72" s="638" t="s">
        <v>328</v>
      </c>
      <c r="BL72" s="690">
        <v>24.335000000000001</v>
      </c>
      <c r="BM72" s="822">
        <v>4.2380000000000004</v>
      </c>
      <c r="BN72" s="653">
        <f t="shared" si="14"/>
        <v>5.7420953279848979</v>
      </c>
      <c r="BO72" s="290"/>
      <c r="BP72" s="641"/>
      <c r="BQ72" s="690"/>
      <c r="BR72" s="822"/>
      <c r="BS72" s="654" t="str">
        <f t="shared" si="16"/>
        <v/>
      </c>
      <c r="BT72" s="290"/>
      <c r="BU72" s="655"/>
      <c r="BX72" s="642" t="str">
        <f t="shared" si="12"/>
        <v>Jun</v>
      </c>
      <c r="BY72" s="643">
        <f>IF(CB72=$CB76,SUMIF($BI64:$BI75,$BX72,$BR64:$BR75),SUMIF($BI64:$BI75,$BX72,$BM64:$BM75))</f>
        <v>4.2380000000000004</v>
      </c>
      <c r="BZ72" s="643" t="e">
        <f>IF(IF(CB72=CB76,SUMIF(BI64:BI75,$BX72,BU64:BU75),SUMIF(BI64:BI75,$BX72,BP64:BP75))=0,NA(),IF(CB72=CB76,SUMIF(BI64:BI75,$BX72,BU64:BU75),SUMIF(BI64:BI75,$BX72,BP64:BP75)))</f>
        <v>#N/A</v>
      </c>
      <c r="CA72" s="664">
        <f>IF(IF(CB72=CB76,SUMIF(BI64:BI75,$BX72,BS64:BS75),SUMIF(BI64:BI75,$BX72,BN64:BN75))=0,NA(),IF(CB72=CB76,SUMIF(BI64:BI75,$BX72,BS64:BS75),SUMIF(BI64:BI75,$BX72,BN64:BN75)))</f>
        <v>5.7420953279848979</v>
      </c>
      <c r="CB72" s="645">
        <f t="shared" si="15"/>
        <v>23</v>
      </c>
      <c r="CC72" s="645">
        <f t="shared" si="13"/>
        <v>6</v>
      </c>
    </row>
    <row r="73" spans="2:81" ht="15" customHeight="1">
      <c r="BI73" s="638" t="s">
        <v>337</v>
      </c>
      <c r="BJ73" s="638">
        <v>10</v>
      </c>
      <c r="BK73" s="638" t="s">
        <v>338</v>
      </c>
      <c r="BL73" s="690">
        <v>18.821999999999999</v>
      </c>
      <c r="BM73" s="822">
        <v>2.9380000000000002</v>
      </c>
      <c r="BN73" s="653">
        <f t="shared" si="14"/>
        <v>6.4063989108236887</v>
      </c>
      <c r="BO73" s="289">
        <f>IF(SUM(BM73:BM75=0),0,SUM(BL73:BL75)/SUM(BM73:BM75))</f>
        <v>6.2296993250153418</v>
      </c>
      <c r="BP73" s="641"/>
      <c r="BQ73" s="690"/>
      <c r="BR73" s="822"/>
      <c r="BS73" s="654" t="str">
        <f t="shared" si="16"/>
        <v/>
      </c>
      <c r="BT73" s="289">
        <f>IF(SUM(BR73:BR75=0),0,SUM(BQ73:BQ75)/SUM(BR73:BR75))</f>
        <v>0</v>
      </c>
      <c r="BU73" s="655"/>
      <c r="BX73" s="642" t="str">
        <f t="shared" si="12"/>
        <v>Jul</v>
      </c>
      <c r="BY73" s="643">
        <f>IF(CB73=$CB76,SUMIF($BI64:$BI75,$BX73,$BR64:$BR75),SUMIF($BI64:$BI75,$BX73,$BM64:$BM75))</f>
        <v>2.9380000000000002</v>
      </c>
      <c r="BZ73" s="643" t="e">
        <f>IF(IF(CB73=CB76,SUMIF(BI64:BI75,$BX73,BU64:BU75),SUMIF(BI64:BI75,$BX73,BP64:BP75))=0,NA(),IF(CB73=CB76,SUMIF(BI64:BI75,$BX73,BU64:BU75),SUMIF(BI64:BI75,$BX73,BP64:BP75)))</f>
        <v>#N/A</v>
      </c>
      <c r="CA73" s="664">
        <f>IF(IF(CB73=CB76,SUMIF(BI64:BI75,$BX73,BS64:BS75),SUMIF(BI64:BI75,$BX73,BN64:BN75))=0,NA(),IF(CB73=CB76,SUMIF(BI64:BI75,$BX73,BS64:BS75),SUMIF(BI64:BI75,$BX73,BN64:BN75)))</f>
        <v>6.4063989108236887</v>
      </c>
      <c r="CB73" s="645">
        <f t="shared" si="15"/>
        <v>23</v>
      </c>
      <c r="CC73" s="645">
        <f t="shared" si="13"/>
        <v>7</v>
      </c>
    </row>
    <row r="74" spans="2:81" ht="15" customHeight="1">
      <c r="BI74" s="638" t="s">
        <v>343</v>
      </c>
      <c r="BJ74" s="638">
        <v>11</v>
      </c>
      <c r="BK74" s="638" t="s">
        <v>338</v>
      </c>
      <c r="BL74" s="690">
        <v>17.625</v>
      </c>
      <c r="BM74" s="822">
        <v>2.7879999999999998</v>
      </c>
      <c r="BN74" s="653">
        <f t="shared" si="14"/>
        <v>6.3217360114777623</v>
      </c>
      <c r="BO74" s="290"/>
      <c r="BP74" s="641"/>
      <c r="BQ74" s="690"/>
      <c r="BR74" s="822"/>
      <c r="BS74" s="654" t="str">
        <f t="shared" si="16"/>
        <v/>
      </c>
      <c r="BT74" s="290"/>
      <c r="BU74" s="655"/>
      <c r="BX74" s="642" t="str">
        <f t="shared" si="12"/>
        <v>Aug</v>
      </c>
      <c r="BY74" s="643">
        <f>IF(CB74=$CB76,SUMIF($BI64:$BI75,$BX74,$BR64:$BR75),SUMIF($BI64:$BI75,$BX74,$BM64:$BM75))</f>
        <v>2.7879999999999998</v>
      </c>
      <c r="BZ74" s="643" t="e">
        <f>IF(IF(CB74=CB76,SUMIF(BI64:BI75,$BX74,BU64:BU75),SUMIF(BI64:BI75,$BX74,BP64:BP75))=0,NA(),IF(CB74=CB76,SUMIF(BI64:BI75,$BX74,BU64:BU75),SUMIF(BI64:BI75,$BX74,BP64:BP75)))</f>
        <v>#N/A</v>
      </c>
      <c r="CA74" s="664">
        <f>IF(IF(CB74=CB76,SUMIF(BI64:BI75,$BX74,BS64:BS75),SUMIF(BI64:BI75,$BX74,BN64:BN75))=0,NA(),IF(CB74=CB76,SUMIF(BI64:BI75,$BX74,BS64:BS75),SUMIF(BI64:BI75,$BX74,BN64:BN75)))</f>
        <v>6.3217360114777623</v>
      </c>
      <c r="CB74" s="645">
        <f t="shared" si="15"/>
        <v>23</v>
      </c>
      <c r="CC74" s="645">
        <f t="shared" si="13"/>
        <v>8</v>
      </c>
    </row>
    <row r="75" spans="2:81" ht="15" customHeight="1">
      <c r="BI75" s="638" t="s">
        <v>344</v>
      </c>
      <c r="BJ75" s="638">
        <v>12</v>
      </c>
      <c r="BK75" s="638" t="s">
        <v>338</v>
      </c>
      <c r="BL75" s="690">
        <v>24.466999999999999</v>
      </c>
      <c r="BM75" s="822">
        <v>4.0519999999999996</v>
      </c>
      <c r="BN75" s="653">
        <f t="shared" si="14"/>
        <v>6.0382527147087863</v>
      </c>
      <c r="BO75" s="290"/>
      <c r="BP75" s="641"/>
      <c r="BQ75" s="690"/>
      <c r="BR75" s="822"/>
      <c r="BS75" s="654" t="str">
        <f t="shared" si="16"/>
        <v/>
      </c>
      <c r="BT75" s="290"/>
      <c r="BU75" s="655"/>
      <c r="BX75" s="642" t="str">
        <f t="shared" si="12"/>
        <v>Sep</v>
      </c>
      <c r="BY75" s="643">
        <f>IF(CB75=$CB76,SUMIF($BI64:$BI75,$BX75,$BR64:$BR75),SUMIF($BI64:$BI75,$BX75,$BM64:$BM75))</f>
        <v>4.0519999999999996</v>
      </c>
      <c r="BZ75" s="643" t="e">
        <f>IF(IF(CB75=CB76,SUMIF(BI64:BI75,$BX75,BU64:BU75),SUMIF(BI64:BI75,$BX75,BP64:BP75))=0,NA(),IF(CB75=CB76,SUMIF(BI64:BI75,$BX75,BU64:BU75),SUMIF(BI64:BI75,$BX75,BP64:BP75)))</f>
        <v>#N/A</v>
      </c>
      <c r="CA75" s="664">
        <f>IF(IF(CB75=CB76,SUMIF(BI64:BI75,$BX75,BS64:BS75),SUMIF(BI64:BI75,$BX75,BN64:BN75))=0,NA(),IF(CB75=CB76,SUMIF(BI64:BI75,$BX75,BS64:BS75),SUMIF(BI64:BI75,$BX75,BN64:BN75)))</f>
        <v>6.0382527147087863</v>
      </c>
      <c r="CB75" s="645">
        <f t="shared" si="15"/>
        <v>23</v>
      </c>
      <c r="CC75" s="645">
        <f>IF(CC76-1&lt;1,CC76+11,CC76-1)</f>
        <v>9</v>
      </c>
    </row>
    <row r="76" spans="2:81" ht="15" customHeight="1">
      <c r="BW76" s="647" t="str">
        <f>Cover!$M$34</f>
        <v>OCT FY-24</v>
      </c>
      <c r="BX76" s="642" t="str">
        <f>TEXT(CONCATENATE(CC76,"/01/20",CB76),"MMM")</f>
        <v>Oct</v>
      </c>
      <c r="BY76" s="643">
        <f>SUMIF($BI64:$BI75,$BX76,$BR64:$BR75)</f>
        <v>3.32</v>
      </c>
      <c r="BZ76" s="643" t="e">
        <f>IF(IF(CB76=CB76,SUMIF(BI64:BI75,$BX76,BU64:BU75),SUMIF(BI64:BI75,$BX76,BP64:BP75))=0,NA(),IF(CB76=CB76,SUMIF(BI64:BI75,$BX76,BU64:BU75),SUMIF(BI64:BI75,$BX76,BP64:BP75)))</f>
        <v>#N/A</v>
      </c>
      <c r="CA76" s="664">
        <f>IF(SUMIF($BI64:$BI75,$BX76,$BS64:$BS75)=0,NA(),SUMIF($BI64:$BI75,$BX76,$BS64:$BS75))</f>
        <v>6.0400602409638555</v>
      </c>
      <c r="CB76" s="645">
        <f t="shared" si="15"/>
        <v>24</v>
      </c>
      <c r="CC76" s="645">
        <f>MONTH(DATEVALUE(LEFT(BW76,3)&amp;" 1"))</f>
        <v>10</v>
      </c>
    </row>
    <row r="78" spans="2:81" ht="15" customHeight="1">
      <c r="BI78" s="54" t="s">
        <v>292</v>
      </c>
      <c r="BJ78" s="287" t="s">
        <v>376</v>
      </c>
      <c r="BK78" s="287"/>
      <c r="BL78" s="287"/>
      <c r="BM78" s="287"/>
      <c r="BN78" s="287"/>
      <c r="BO78" s="287"/>
      <c r="BP78" s="287"/>
      <c r="BQ78" s="287"/>
      <c r="BR78" s="287"/>
      <c r="BS78" s="287"/>
      <c r="BT78" s="287"/>
      <c r="BU78" s="287"/>
    </row>
    <row r="79" spans="2:81" ht="15" customHeight="1">
      <c r="BI79" s="54" t="s">
        <v>296</v>
      </c>
      <c r="BJ79" s="287" t="s">
        <v>377</v>
      </c>
      <c r="BK79" s="287"/>
      <c r="BL79" s="287"/>
      <c r="BM79" s="287"/>
      <c r="BN79" s="287"/>
      <c r="BO79" s="287"/>
      <c r="BP79" s="287"/>
      <c r="BQ79" s="287"/>
      <c r="BR79" s="287"/>
      <c r="BS79" s="287"/>
      <c r="BT79" s="287"/>
      <c r="BU79" s="287"/>
    </row>
    <row r="80" spans="2:81" ht="15" customHeight="1" thickBot="1">
      <c r="BI80" s="54" t="s">
        <v>300</v>
      </c>
      <c r="BJ80" s="287" t="s">
        <v>378</v>
      </c>
      <c r="BK80" s="287"/>
      <c r="BL80" s="287"/>
      <c r="BM80" s="287"/>
      <c r="BN80" s="287"/>
      <c r="BO80" s="287"/>
      <c r="BP80" s="287"/>
      <c r="BQ80" s="287"/>
      <c r="BR80" s="287"/>
      <c r="BS80" s="287"/>
      <c r="BT80" s="287"/>
      <c r="BU80" s="287"/>
    </row>
    <row r="81" spans="2:81" ht="15" customHeight="1" thickBot="1">
      <c r="BI81" s="277"/>
      <c r="BL81" s="1148" t="s">
        <v>302</v>
      </c>
      <c r="BM81" s="1149"/>
      <c r="BN81" s="1149"/>
      <c r="BO81" s="1149"/>
      <c r="BP81" s="1151"/>
      <c r="BQ81" s="1148" t="s">
        <v>719</v>
      </c>
      <c r="BR81" s="1149"/>
      <c r="BS81" s="1149"/>
      <c r="BT81" s="1149"/>
      <c r="BU81" s="1150"/>
      <c r="BW81" s="1148" t="s">
        <v>303</v>
      </c>
      <c r="BX81" s="1149"/>
      <c r="BY81" s="1149"/>
      <c r="BZ81" s="1149"/>
      <c r="CA81" s="1149"/>
      <c r="CB81" s="1149"/>
      <c r="CC81" s="1150"/>
    </row>
    <row r="82" spans="2:81" ht="15" customHeight="1">
      <c r="BI82" s="636" t="s">
        <v>23</v>
      </c>
      <c r="BJ82" s="636" t="s">
        <v>37</v>
      </c>
      <c r="BK82" s="636" t="s">
        <v>304</v>
      </c>
      <c r="BL82" s="637" t="s">
        <v>305</v>
      </c>
      <c r="BM82" s="637" t="s">
        <v>310</v>
      </c>
      <c r="BN82" s="637" t="s">
        <v>311</v>
      </c>
      <c r="BO82" s="278" t="s">
        <v>312</v>
      </c>
      <c r="BP82" s="637" t="s">
        <v>313</v>
      </c>
      <c r="BQ82" s="637" t="s">
        <v>305</v>
      </c>
      <c r="BR82" s="637" t="s">
        <v>715</v>
      </c>
      <c r="BS82" s="637" t="s">
        <v>716</v>
      </c>
      <c r="BT82" s="278" t="s">
        <v>717</v>
      </c>
      <c r="BU82" s="637" t="s">
        <v>718</v>
      </c>
      <c r="BW82" s="279" t="s">
        <v>314</v>
      </c>
      <c r="BX82" s="279" t="s">
        <v>23</v>
      </c>
      <c r="BY82" s="279" t="s">
        <v>315</v>
      </c>
      <c r="BZ82" s="279" t="s">
        <v>122</v>
      </c>
      <c r="CA82" s="279" t="s">
        <v>316</v>
      </c>
      <c r="CB82" s="279" t="s">
        <v>317</v>
      </c>
      <c r="CC82" s="279" t="s">
        <v>318</v>
      </c>
    </row>
    <row r="83" spans="2:81" ht="15" customHeight="1">
      <c r="BI83" s="638" t="s">
        <v>319</v>
      </c>
      <c r="BJ83" s="638">
        <v>1</v>
      </c>
      <c r="BK83" s="638" t="s">
        <v>320</v>
      </c>
      <c r="BL83" s="690">
        <v>25.283000000000001</v>
      </c>
      <c r="BM83" s="822">
        <v>5.3410000000000002</v>
      </c>
      <c r="BN83" s="653">
        <f>IF(BM83="","",BL83/BM83)</f>
        <v>4.7337577232727952</v>
      </c>
      <c r="BO83" s="289">
        <f>IF(SUM(BM83:BM85=0),0,SUM(BL83:BL85)/SUM(BM83:BM85))</f>
        <v>4.6341595802424465</v>
      </c>
      <c r="BP83" s="641"/>
      <c r="BQ83" s="690">
        <v>27.69</v>
      </c>
      <c r="BR83" s="822">
        <v>5.6710000000000003</v>
      </c>
      <c r="BS83" s="654">
        <f>IF(BR83="","",BQ83/BR83)</f>
        <v>4.8827367307353198</v>
      </c>
      <c r="BT83" s="289">
        <f>IF(SUM(BR83:BR85=0),0,SUM(BQ83:BQ85)/SUM(BR83:BR85))</f>
        <v>4.8827367307353198</v>
      </c>
      <c r="BU83" s="655"/>
      <c r="BX83" s="642" t="str">
        <f t="shared" ref="BX83:BX94" si="17">TEXT(CONCATENATE(CC83,"/01/20",CB83),"MMM")</f>
        <v>Oct</v>
      </c>
      <c r="BY83" s="643">
        <f>IF(CB83=$CB95,SUMIF($BI83:$BI94,$BX83,$BR83:$BR94),SUMIF($BI83:$BI94,$BX83,$BM83:$BM94))</f>
        <v>5.3410000000000002</v>
      </c>
      <c r="BZ83" s="643" t="e">
        <f>IF(IF(CB83=CB95,SUMIF(BI83:BI94,$BX83,BU83:BU94),SUMIF(BI83:BI94,$BX83,BP83:BP94))=0,NA(),IF(CB83=CB95,SUMIF(BI83:BI94,$BX83,BU83:BU94),SUMIF(BI83:BI94,$BX83,BP83:BP94)))</f>
        <v>#N/A</v>
      </c>
      <c r="CA83" s="664">
        <f>IF(IF(CB83=CB95,SUMIF(BI83:BI94,$BX83,BS83:BS94),SUMIF(BI83:BI94,$BX83,BN83:BN94))=0,NA(),IF(CB83=CB95,SUMIF(BI83:BI94,$BX83,BS83:BS94),SUMIF(BI83:BI94,$BX83,BN83:BN94)))</f>
        <v>4.7337577232727952</v>
      </c>
      <c r="CB83" s="645">
        <f t="shared" ref="CB83:CB95" si="18">CB64</f>
        <v>23</v>
      </c>
      <c r="CC83" s="645">
        <f t="shared" ref="CC83:CC93" si="19">IF(CC84-1&lt;1,CC84+11,CC84-1)</f>
        <v>10</v>
      </c>
    </row>
    <row r="84" spans="2:81" ht="15" customHeight="1">
      <c r="BI84" s="638" t="s">
        <v>321</v>
      </c>
      <c r="BJ84" s="638">
        <v>2</v>
      </c>
      <c r="BK84" s="638" t="s">
        <v>320</v>
      </c>
      <c r="BL84" s="690">
        <v>25.02</v>
      </c>
      <c r="BM84" s="822">
        <v>4.4459999999999997</v>
      </c>
      <c r="BN84" s="653">
        <f t="shared" ref="BN84:BN94" si="20">IF(BM84="","",BL84/BM84)</f>
        <v>5.6275303643724701</v>
      </c>
      <c r="BO84" s="290"/>
      <c r="BP84" s="641"/>
      <c r="BQ84" s="690"/>
      <c r="BR84" s="822"/>
      <c r="BS84" s="654" t="str">
        <f t="shared" ref="BS84:BS94" si="21">IF(BR84="","",BQ84/BR84)</f>
        <v/>
      </c>
      <c r="BT84" s="290"/>
      <c r="BU84" s="655"/>
      <c r="BX84" s="642" t="str">
        <f t="shared" si="17"/>
        <v>Nov</v>
      </c>
      <c r="BY84" s="643">
        <f>IF(CB84=$CB95,SUMIF($BI83:$BI94,$BX84,$BR83:$BR94),SUMIF($BI83:$BI94,$BX84,$BM83:$BM94))</f>
        <v>4.4459999999999997</v>
      </c>
      <c r="BZ84" s="643" t="e">
        <f>IF(IF(CB84=CB95,SUMIF(BI83:BI94,$BX84,BU83:BU94),SUMIF(BI83:BI94,$BX84,BP83:BP94))=0,NA(),IF(CB84=CB95,SUMIF(BI83:BI94,$BX84,BU83:BU94),SUMIF(BI83:BI94,$BX84,BP83:BP94)))</f>
        <v>#N/A</v>
      </c>
      <c r="CA84" s="664">
        <f>IF(IF(CB84=CB95,SUMIF(BI83:BI94,$BX84,BS83:BS94),SUMIF(BI83:BI94,$BX84,BN83:BN94))=0,NA(),IF(CB84=CB95,SUMIF(BI83:BI94,$BX84,BS83:BS94),SUMIF(BI83:BI94,$BX84,BN83:BN94)))</f>
        <v>5.6275303643724701</v>
      </c>
      <c r="CB84" s="645">
        <f t="shared" si="18"/>
        <v>23</v>
      </c>
      <c r="CC84" s="645">
        <f t="shared" si="19"/>
        <v>11</v>
      </c>
    </row>
    <row r="85" spans="2:81" ht="15" customHeight="1">
      <c r="B85" s="267" t="s">
        <v>242</v>
      </c>
      <c r="C85" s="267"/>
      <c r="D85" s="267"/>
      <c r="E85" s="334"/>
      <c r="F85" s="326"/>
      <c r="G85" s="326"/>
      <c r="H85" s="326"/>
      <c r="I85" s="326"/>
      <c r="J85" s="326"/>
      <c r="K85" s="326"/>
      <c r="L85" s="326"/>
      <c r="M85" s="326"/>
      <c r="N85" s="326"/>
      <c r="O85" s="326"/>
      <c r="P85" s="326"/>
      <c r="Q85" s="326"/>
      <c r="R85" s="326"/>
      <c r="S85" s="326"/>
      <c r="T85" s="326"/>
      <c r="U85" s="326"/>
      <c r="V85" s="326"/>
      <c r="W85" s="326"/>
      <c r="X85" s="326"/>
      <c r="Y85" s="326"/>
      <c r="Z85" s="326"/>
      <c r="AA85" s="326"/>
      <c r="AB85" s="326"/>
      <c r="AE85" s="267" t="s">
        <v>242</v>
      </c>
      <c r="AF85" s="267"/>
      <c r="AG85" s="267"/>
      <c r="AH85" s="334"/>
      <c r="AI85" s="326"/>
      <c r="AJ85" s="326"/>
      <c r="AK85" s="326"/>
      <c r="AL85" s="326"/>
      <c r="AM85" s="326"/>
      <c r="AN85" s="326"/>
      <c r="AO85" s="326"/>
      <c r="AP85" s="326"/>
      <c r="AQ85" s="326"/>
      <c r="AR85" s="326"/>
      <c r="AS85" s="326"/>
      <c r="AT85" s="326"/>
      <c r="AU85" s="326"/>
      <c r="AV85" s="326"/>
      <c r="AW85" s="326"/>
      <c r="AX85" s="326"/>
      <c r="AY85" s="326"/>
      <c r="AZ85" s="326"/>
      <c r="BA85" s="326"/>
      <c r="BB85" s="326"/>
      <c r="BC85" s="326"/>
      <c r="BD85" s="326"/>
      <c r="BE85" s="326"/>
      <c r="BI85" s="638" t="s">
        <v>322</v>
      </c>
      <c r="BJ85" s="638">
        <v>3</v>
      </c>
      <c r="BK85" s="638" t="s">
        <v>320</v>
      </c>
      <c r="BL85" s="690">
        <v>26.536000000000001</v>
      </c>
      <c r="BM85" s="822">
        <v>6.7939999999999996</v>
      </c>
      <c r="BN85" s="653">
        <f t="shared" si="20"/>
        <v>3.9057992346187818</v>
      </c>
      <c r="BO85" s="290"/>
      <c r="BP85" s="641"/>
      <c r="BQ85" s="690"/>
      <c r="BR85" s="822"/>
      <c r="BS85" s="654" t="str">
        <f t="shared" si="21"/>
        <v/>
      </c>
      <c r="BT85" s="290"/>
      <c r="BU85" s="655"/>
      <c r="BX85" s="642" t="str">
        <f t="shared" si="17"/>
        <v>Dec</v>
      </c>
      <c r="BY85" s="643">
        <f>IF(CB85=$CB95,SUMIF($BI83:$BI94,$BX85,$BR83:$BR94),SUMIF($BI83:$BI94,$BX85,$BM83:$BM94))</f>
        <v>6.7939999999999996</v>
      </c>
      <c r="BZ85" s="643" t="e">
        <f>IF(IF(CB85=CB95,SUMIF(BI83:BI94,$BX85,BU83:BU94),SUMIF(BI83:BI94,$BX85,BP83:BP94))=0,NA(),IF(CB85=CB95,SUMIF(BI83:BI94,$BX85,BU83:BU94),SUMIF(BI83:BI94,$BX85,BP83:BP94)))</f>
        <v>#N/A</v>
      </c>
      <c r="CA85" s="664">
        <f>IF(IF(CB85=CB95,SUMIF(BI83:BI94,$BX85,BS83:BS94),SUMIF(BI83:BI94,$BX85,BN83:BN94))=0,NA(),IF(CB85=CB95,SUMIF(BI83:BI94,$BX85,BS83:BS94),SUMIF(BI83:BI94,$BX85,BN83:BN94)))</f>
        <v>3.9057992346187818</v>
      </c>
      <c r="CB85" s="645">
        <f t="shared" si="18"/>
        <v>23</v>
      </c>
      <c r="CC85" s="645">
        <f t="shared" si="19"/>
        <v>12</v>
      </c>
    </row>
    <row r="86" spans="2:81" ht="15" customHeight="1">
      <c r="B86" s="1137" t="str">
        <f>AC40</f>
        <v>Cost per manual receipt is in line with prior year.</v>
      </c>
      <c r="C86" s="1138"/>
      <c r="D86" s="1138"/>
      <c r="E86" s="1138"/>
      <c r="F86" s="1138"/>
      <c r="G86" s="1138"/>
      <c r="H86" s="1138"/>
      <c r="I86" s="1138"/>
      <c r="J86" s="1138"/>
      <c r="K86" s="1138"/>
      <c r="L86" s="1138"/>
      <c r="M86" s="1138"/>
      <c r="N86" s="1138"/>
      <c r="O86" s="1138"/>
      <c r="P86" s="1138"/>
      <c r="Q86" s="1138"/>
      <c r="R86" s="1138"/>
      <c r="S86" s="1138"/>
      <c r="T86" s="1138"/>
      <c r="U86" s="1138"/>
      <c r="V86" s="1138"/>
      <c r="W86" s="1138"/>
      <c r="X86" s="1138"/>
      <c r="Y86" s="1138"/>
      <c r="Z86" s="1138"/>
      <c r="AA86" s="1138"/>
      <c r="AB86" s="1139"/>
      <c r="AE86" s="1137" t="str">
        <f>AC41</f>
        <v>Cost per SNow request is in line with prior year.</v>
      </c>
      <c r="AF86" s="1138"/>
      <c r="AG86" s="1138"/>
      <c r="AH86" s="1138"/>
      <c r="AI86" s="1138"/>
      <c r="AJ86" s="1138"/>
      <c r="AK86" s="1138"/>
      <c r="AL86" s="1138"/>
      <c r="AM86" s="1138"/>
      <c r="AN86" s="1138"/>
      <c r="AO86" s="1138"/>
      <c r="AP86" s="1138"/>
      <c r="AQ86" s="1138"/>
      <c r="AR86" s="1138"/>
      <c r="AS86" s="1138"/>
      <c r="AT86" s="1138"/>
      <c r="AU86" s="1138"/>
      <c r="AV86" s="1138"/>
      <c r="AW86" s="1138"/>
      <c r="AX86" s="1138"/>
      <c r="AY86" s="1138"/>
      <c r="AZ86" s="1138"/>
      <c r="BA86" s="1138"/>
      <c r="BB86" s="1138"/>
      <c r="BC86" s="1138"/>
      <c r="BD86" s="1138"/>
      <c r="BE86" s="1139"/>
      <c r="BI86" s="638" t="s">
        <v>323</v>
      </c>
      <c r="BJ86" s="638">
        <v>4</v>
      </c>
      <c r="BK86" s="638" t="s">
        <v>324</v>
      </c>
      <c r="BL86" s="690">
        <v>21.977</v>
      </c>
      <c r="BM86" s="822">
        <v>5.2309999999999999</v>
      </c>
      <c r="BN86" s="653">
        <f t="shared" si="20"/>
        <v>4.2012999426495892</v>
      </c>
      <c r="BO86" s="289">
        <f>IF(SUM(BM86:BM88=0),0,SUM(BL86:BL88)/SUM(BM86:BM88))</f>
        <v>4.4627444553698243</v>
      </c>
      <c r="BP86" s="641"/>
      <c r="BQ86" s="690"/>
      <c r="BR86" s="822"/>
      <c r="BS86" s="654" t="str">
        <f t="shared" si="21"/>
        <v/>
      </c>
      <c r="BT86" s="289">
        <f>IF(SUM(BR86:BR88=0),0,SUM(BQ86:BQ88)/SUM(BR86:BR88))</f>
        <v>0</v>
      </c>
      <c r="BU86" s="655"/>
      <c r="BX86" s="642" t="str">
        <f t="shared" si="17"/>
        <v>Jan</v>
      </c>
      <c r="BY86" s="643">
        <f>IF(CB86=$CB95,SUMIF($BI83:$BI94,$BX86,$BR83:$BR94),SUMIF($BI83:$BI94,$BX86,$BM83:$BM94))</f>
        <v>5.2309999999999999</v>
      </c>
      <c r="BZ86" s="643" t="e">
        <f>IF(IF(CB86=CB95,SUMIF(BI83:BI94,$BX86,BU83:BU94),SUMIF(BI83:BI94,$BX86,BP83:BP94))=0,NA(),IF(CB86=CB95,SUMIF(BI83:BI94,$BX86,BU83:BU94),SUMIF(BI83:BI94,$BX86,BP83:BP94)))</f>
        <v>#N/A</v>
      </c>
      <c r="CA86" s="664">
        <f>IF(IF(CB86=CB95,SUMIF(BI83:BI94,$BX86,BS83:BS94),SUMIF(BI83:BI94,$BX86,BN83:BN94))=0,NA(),IF(CB86=CB95,SUMIF(BI83:BI94,$BX86,BS83:BS94),SUMIF(BI83:BI94,$BX86,BN83:BN94)))</f>
        <v>4.2012999426495892</v>
      </c>
      <c r="CB86" s="645">
        <f t="shared" si="18"/>
        <v>23</v>
      </c>
      <c r="CC86" s="645">
        <f t="shared" si="19"/>
        <v>1</v>
      </c>
    </row>
    <row r="87" spans="2:81" ht="15" customHeight="1">
      <c r="B87" s="1140"/>
      <c r="C87" s="1141"/>
      <c r="D87" s="1141"/>
      <c r="E87" s="1141"/>
      <c r="F87" s="1141"/>
      <c r="G87" s="1141"/>
      <c r="H87" s="1141"/>
      <c r="I87" s="1141"/>
      <c r="J87" s="1141"/>
      <c r="K87" s="1141"/>
      <c r="L87" s="1141"/>
      <c r="M87" s="1141"/>
      <c r="N87" s="1141"/>
      <c r="O87" s="1141"/>
      <c r="P87" s="1141"/>
      <c r="Q87" s="1141"/>
      <c r="R87" s="1141"/>
      <c r="S87" s="1141"/>
      <c r="T87" s="1141"/>
      <c r="U87" s="1141"/>
      <c r="V87" s="1141"/>
      <c r="W87" s="1141"/>
      <c r="X87" s="1141"/>
      <c r="Y87" s="1141"/>
      <c r="Z87" s="1141"/>
      <c r="AA87" s="1141"/>
      <c r="AB87" s="1142"/>
      <c r="AE87" s="1140"/>
      <c r="AF87" s="1141"/>
      <c r="AG87" s="1141"/>
      <c r="AH87" s="1141"/>
      <c r="AI87" s="1141"/>
      <c r="AJ87" s="1141"/>
      <c r="AK87" s="1141"/>
      <c r="AL87" s="1141"/>
      <c r="AM87" s="1141"/>
      <c r="AN87" s="1141"/>
      <c r="AO87" s="1141"/>
      <c r="AP87" s="1141"/>
      <c r="AQ87" s="1141"/>
      <c r="AR87" s="1141"/>
      <c r="AS87" s="1141"/>
      <c r="AT87" s="1141"/>
      <c r="AU87" s="1141"/>
      <c r="AV87" s="1141"/>
      <c r="AW87" s="1141"/>
      <c r="AX87" s="1141"/>
      <c r="AY87" s="1141"/>
      <c r="AZ87" s="1141"/>
      <c r="BA87" s="1141"/>
      <c r="BB87" s="1141"/>
      <c r="BC87" s="1141"/>
      <c r="BD87" s="1141"/>
      <c r="BE87" s="1142"/>
      <c r="BI87" s="638" t="s">
        <v>325</v>
      </c>
      <c r="BJ87" s="638">
        <v>5</v>
      </c>
      <c r="BK87" s="638" t="s">
        <v>324</v>
      </c>
      <c r="BL87" s="690">
        <v>26.048999999999999</v>
      </c>
      <c r="BM87" s="822">
        <v>5.7329999999999997</v>
      </c>
      <c r="BN87" s="653">
        <f t="shared" si="20"/>
        <v>4.543694400837258</v>
      </c>
      <c r="BO87" s="290"/>
      <c r="BP87" s="641"/>
      <c r="BQ87" s="690"/>
      <c r="BR87" s="822"/>
      <c r="BS87" s="654" t="str">
        <f t="shared" si="21"/>
        <v/>
      </c>
      <c r="BT87" s="290"/>
      <c r="BU87" s="655"/>
      <c r="BX87" s="642" t="str">
        <f t="shared" si="17"/>
        <v>Feb</v>
      </c>
      <c r="BY87" s="643">
        <f>IF(CB87=$CB95,SUMIF($BI83:$BI94,$BX87,$BR83:$BR94),SUMIF($BI83:$BI94,$BX87,$BM83:$BM94))</f>
        <v>5.7329999999999997</v>
      </c>
      <c r="BZ87" s="643" t="e">
        <f>IF(IF(CB87=CB95,SUMIF(BI83:BI94,$BX87,BU83:BU94),SUMIF(BI83:BI94,$BX87,BP83:BP94))=0,NA(),IF(CB87=CB95,SUMIF(BI83:BI94,$BX87,BU83:BU94),SUMIF(BI83:BI94,$BX87,BP83:BP94)))</f>
        <v>#N/A</v>
      </c>
      <c r="CA87" s="664">
        <f>IF(IF(CB87=CB95,SUMIF(BI83:BI94,$BX87,BS83:BS94),SUMIF(BI83:BI94,$BX87,BN83:BN94))=0,NA(),IF(CB87=CB95,SUMIF(BI83:BI94,$BX87,BS83:BS94),SUMIF(BI83:BI94,$BX87,BN83:BN94)))</f>
        <v>4.543694400837258</v>
      </c>
      <c r="CB87" s="645">
        <f t="shared" si="18"/>
        <v>23</v>
      </c>
      <c r="CC87" s="645">
        <f t="shared" si="19"/>
        <v>2</v>
      </c>
    </row>
    <row r="88" spans="2:81" ht="15" customHeight="1">
      <c r="B88" s="1140"/>
      <c r="C88" s="1141"/>
      <c r="D88" s="1141"/>
      <c r="E88" s="1141"/>
      <c r="F88" s="1141"/>
      <c r="G88" s="1141"/>
      <c r="H88" s="1141"/>
      <c r="I88" s="1141"/>
      <c r="J88" s="1141"/>
      <c r="K88" s="1141"/>
      <c r="L88" s="1141"/>
      <c r="M88" s="1141"/>
      <c r="N88" s="1141"/>
      <c r="O88" s="1141"/>
      <c r="P88" s="1141"/>
      <c r="Q88" s="1141"/>
      <c r="R88" s="1141"/>
      <c r="S88" s="1141"/>
      <c r="T88" s="1141"/>
      <c r="U88" s="1141"/>
      <c r="V88" s="1141"/>
      <c r="W88" s="1141"/>
      <c r="X88" s="1141"/>
      <c r="Y88" s="1141"/>
      <c r="Z88" s="1141"/>
      <c r="AA88" s="1141"/>
      <c r="AB88" s="1142"/>
      <c r="AE88" s="1140"/>
      <c r="AF88" s="1141"/>
      <c r="AG88" s="1141"/>
      <c r="AH88" s="1141"/>
      <c r="AI88" s="1141"/>
      <c r="AJ88" s="1141"/>
      <c r="AK88" s="1141"/>
      <c r="AL88" s="1141"/>
      <c r="AM88" s="1141"/>
      <c r="AN88" s="1141"/>
      <c r="AO88" s="1141"/>
      <c r="AP88" s="1141"/>
      <c r="AQ88" s="1141"/>
      <c r="AR88" s="1141"/>
      <c r="AS88" s="1141"/>
      <c r="AT88" s="1141"/>
      <c r="AU88" s="1141"/>
      <c r="AV88" s="1141"/>
      <c r="AW88" s="1141"/>
      <c r="AX88" s="1141"/>
      <c r="AY88" s="1141"/>
      <c r="AZ88" s="1141"/>
      <c r="BA88" s="1141"/>
      <c r="BB88" s="1141"/>
      <c r="BC88" s="1141"/>
      <c r="BD88" s="1141"/>
      <c r="BE88" s="1142"/>
      <c r="BI88" s="638" t="s">
        <v>326</v>
      </c>
      <c r="BJ88" s="638">
        <v>6</v>
      </c>
      <c r="BK88" s="638" t="s">
        <v>324</v>
      </c>
      <c r="BL88" s="690">
        <v>33.668999999999997</v>
      </c>
      <c r="BM88" s="822">
        <v>7.3419999999999996</v>
      </c>
      <c r="BN88" s="653">
        <f t="shared" si="20"/>
        <v>4.5858076818305635</v>
      </c>
      <c r="BO88" s="290"/>
      <c r="BP88" s="641"/>
      <c r="BQ88" s="690"/>
      <c r="BR88" s="822"/>
      <c r="BS88" s="654" t="str">
        <f t="shared" si="21"/>
        <v/>
      </c>
      <c r="BT88" s="290"/>
      <c r="BU88" s="655"/>
      <c r="BX88" s="642" t="str">
        <f t="shared" si="17"/>
        <v>Mar</v>
      </c>
      <c r="BY88" s="643">
        <f>IF(CB88=$CB95,SUMIF($BI83:$BI94,$BX88,$BR83:$BR94),SUMIF($BI83:$BI94,$BX88,$BM83:$BM94))</f>
        <v>7.3419999999999996</v>
      </c>
      <c r="BZ88" s="643" t="e">
        <f>IF(IF(CB88=CB95,SUMIF(BI83:BI94,$BX88,BU83:BU94),SUMIF(BI83:BI94,$BX88,BP83:BP94))=0,NA(),IF(CB88=CB95,SUMIF(BI83:BI94,$BX88,BU83:BU94),SUMIF(BI83:BI94,$BX88,BP83:BP94)))</f>
        <v>#N/A</v>
      </c>
      <c r="CA88" s="664">
        <f>IF(IF(CB88=CB95,SUMIF(BI83:BI94,$BX88,BS83:BS94),SUMIF(BI83:BI94,$BX88,BN83:BN94))=0,NA(),IF(CB88=CB95,SUMIF(BI83:BI94,$BX88,BS83:BS94),SUMIF(BI83:BI94,$BX88,BN83:BN94)))</f>
        <v>4.5858076818305635</v>
      </c>
      <c r="CB88" s="645">
        <f t="shared" si="18"/>
        <v>23</v>
      </c>
      <c r="CC88" s="645">
        <f t="shared" si="19"/>
        <v>3</v>
      </c>
    </row>
    <row r="89" spans="2:81" ht="15" customHeight="1">
      <c r="B89" s="1143"/>
      <c r="C89" s="1144"/>
      <c r="D89" s="1144"/>
      <c r="E89" s="1144"/>
      <c r="F89" s="1144"/>
      <c r="G89" s="1144"/>
      <c r="H89" s="1144"/>
      <c r="I89" s="1144"/>
      <c r="J89" s="1144"/>
      <c r="K89" s="1144"/>
      <c r="L89" s="1144"/>
      <c r="M89" s="1144"/>
      <c r="N89" s="1144"/>
      <c r="O89" s="1144"/>
      <c r="P89" s="1144"/>
      <c r="Q89" s="1144"/>
      <c r="R89" s="1144"/>
      <c r="S89" s="1144"/>
      <c r="T89" s="1144"/>
      <c r="U89" s="1144"/>
      <c r="V89" s="1144"/>
      <c r="W89" s="1144"/>
      <c r="X89" s="1144"/>
      <c r="Y89" s="1144"/>
      <c r="Z89" s="1144"/>
      <c r="AA89" s="1144"/>
      <c r="AB89" s="1145"/>
      <c r="AE89" s="1143"/>
      <c r="AF89" s="1144"/>
      <c r="AG89" s="1144"/>
      <c r="AH89" s="1144"/>
      <c r="AI89" s="1144"/>
      <c r="AJ89" s="1144"/>
      <c r="AK89" s="1144"/>
      <c r="AL89" s="1144"/>
      <c r="AM89" s="1144"/>
      <c r="AN89" s="1144"/>
      <c r="AO89" s="1144"/>
      <c r="AP89" s="1144"/>
      <c r="AQ89" s="1144"/>
      <c r="AR89" s="1144"/>
      <c r="AS89" s="1144"/>
      <c r="AT89" s="1144"/>
      <c r="AU89" s="1144"/>
      <c r="AV89" s="1144"/>
      <c r="AW89" s="1144"/>
      <c r="AX89" s="1144"/>
      <c r="AY89" s="1144"/>
      <c r="AZ89" s="1144"/>
      <c r="BA89" s="1144"/>
      <c r="BB89" s="1144"/>
      <c r="BC89" s="1144"/>
      <c r="BD89" s="1144"/>
      <c r="BE89" s="1145"/>
      <c r="BI89" s="638" t="s">
        <v>327</v>
      </c>
      <c r="BJ89" s="638">
        <v>7</v>
      </c>
      <c r="BK89" s="638" t="s">
        <v>328</v>
      </c>
      <c r="BL89" s="690">
        <v>25.256</v>
      </c>
      <c r="BM89" s="822">
        <v>5.65</v>
      </c>
      <c r="BN89" s="653">
        <f t="shared" si="20"/>
        <v>4.4700884955752214</v>
      </c>
      <c r="BO89" s="289">
        <f>IF(SUM(BM89:BM91=0),0,SUM(BL89:BL91)/SUM(BM89:BM91))</f>
        <v>4.6243352478196122</v>
      </c>
      <c r="BP89" s="641"/>
      <c r="BQ89" s="690"/>
      <c r="BR89" s="822"/>
      <c r="BS89" s="654" t="str">
        <f t="shared" si="21"/>
        <v/>
      </c>
      <c r="BT89" s="289">
        <f>IF(SUM(BR89:BR91=0),0,SUM(BQ89:BQ91)/SUM(BR89:BR91))</f>
        <v>0</v>
      </c>
      <c r="BU89" s="655"/>
      <c r="BX89" s="642" t="str">
        <f t="shared" si="17"/>
        <v>Apr</v>
      </c>
      <c r="BY89" s="643">
        <f>IF(CB89=$CB95,SUMIF($BI83:$BI94,$BX89,$BR83:$BR94),SUMIF($BI83:$BI94,$BX89,$BM83:$BM94))</f>
        <v>5.65</v>
      </c>
      <c r="BZ89" s="643" t="e">
        <f>IF(IF(CB89=CB95,SUMIF(BI83:BI94,$BX89,BU83:BU94),SUMIF(BI83:BI94,$BX89,BP83:BP94))=0,NA(),IF(CB89=CB95,SUMIF(BI83:BI94,$BX89,BU83:BU94),SUMIF(BI83:BI94,$BX89,BP83:BP94)))</f>
        <v>#N/A</v>
      </c>
      <c r="CA89" s="664">
        <f>IF(IF(CB89=CB95,SUMIF(BI83:BI94,$BX89,BS83:BS94),SUMIF(BI83:BI94,$BX89,BN83:BN94))=0,NA(),IF(CB89=CB95,SUMIF(BI83:BI94,$BX89,BS83:BS94),SUMIF(BI83:BI94,$BX89,BN83:BN94)))</f>
        <v>4.4700884955752214</v>
      </c>
      <c r="CB89" s="645">
        <f t="shared" si="18"/>
        <v>23</v>
      </c>
      <c r="CC89" s="645">
        <f t="shared" si="19"/>
        <v>4</v>
      </c>
    </row>
    <row r="90" spans="2:81" ht="15" customHeight="1">
      <c r="B90" s="390"/>
      <c r="C90" s="390"/>
      <c r="D90" s="390"/>
      <c r="E90" s="390"/>
      <c r="F90" s="390"/>
      <c r="G90" s="390"/>
      <c r="H90" s="390"/>
      <c r="I90" s="390"/>
      <c r="J90" s="390"/>
      <c r="K90" s="390"/>
      <c r="L90" s="390"/>
      <c r="M90" s="390"/>
      <c r="N90" s="390"/>
      <c r="O90" s="390"/>
      <c r="P90" s="390"/>
      <c r="Q90" s="390"/>
      <c r="R90" s="390"/>
      <c r="S90" s="390"/>
      <c r="T90" s="390"/>
      <c r="U90" s="390"/>
      <c r="V90" s="390"/>
      <c r="W90" s="390"/>
      <c r="X90" s="390"/>
      <c r="Y90" s="390"/>
      <c r="Z90" s="390"/>
      <c r="AA90" s="390"/>
      <c r="AB90" s="390"/>
      <c r="AE90" s="390"/>
      <c r="AF90" s="390"/>
      <c r="AG90" s="390"/>
      <c r="AH90" s="390"/>
      <c r="AI90" s="390"/>
      <c r="AJ90" s="390"/>
      <c r="AK90" s="390"/>
      <c r="AL90" s="390"/>
      <c r="AM90" s="390"/>
      <c r="AN90" s="390"/>
      <c r="AO90" s="390"/>
      <c r="AP90" s="390"/>
      <c r="AQ90" s="390"/>
      <c r="AR90" s="390"/>
      <c r="AS90" s="390"/>
      <c r="AT90" s="390"/>
      <c r="AU90" s="390"/>
      <c r="AV90" s="390"/>
      <c r="AW90" s="390"/>
      <c r="AX90" s="390"/>
      <c r="AY90" s="390"/>
      <c r="AZ90" s="390"/>
      <c r="BA90" s="390"/>
      <c r="BB90" s="390"/>
      <c r="BC90" s="390"/>
      <c r="BD90" s="390"/>
      <c r="BE90" s="390"/>
      <c r="BI90" s="638" t="s">
        <v>329</v>
      </c>
      <c r="BJ90" s="638">
        <v>8</v>
      </c>
      <c r="BK90" s="638" t="s">
        <v>328</v>
      </c>
      <c r="BL90" s="690">
        <v>25.135999999999999</v>
      </c>
      <c r="BM90" s="822">
        <v>6.024</v>
      </c>
      <c r="BN90" s="653">
        <f t="shared" si="20"/>
        <v>4.1726427622841964</v>
      </c>
      <c r="BO90" s="290"/>
      <c r="BP90" s="641"/>
      <c r="BQ90" s="690"/>
      <c r="BR90" s="822"/>
      <c r="BS90" s="654" t="str">
        <f t="shared" si="21"/>
        <v/>
      </c>
      <c r="BT90" s="290"/>
      <c r="BU90" s="655"/>
      <c r="BX90" s="642" t="str">
        <f t="shared" si="17"/>
        <v>May</v>
      </c>
      <c r="BY90" s="643">
        <f>IF(CB90=$CB95,SUMIF($BI83:$BI94,$BX90,$BR83:$BR94),SUMIF($BI83:$BI94,$BX90,$BM83:$BM94))</f>
        <v>6.024</v>
      </c>
      <c r="BZ90" s="643" t="e">
        <f>IF(IF(CB90=CB95,SUMIF(BI83:BI94,$BX90,BU83:BU94),SUMIF(BI83:BI94,$BX90,BP83:BP94))=0,NA(),IF(CB90=CB95,SUMIF(BI83:BI94,$BX90,BU83:BU94),SUMIF(BI83:BI94,$BX90,BP83:BP94)))</f>
        <v>#N/A</v>
      </c>
      <c r="CA90" s="664">
        <f>IF(IF(CB90=CB95,SUMIF(BI83:BI94,$BX90,BS83:BS94),SUMIF(BI83:BI94,$BX90,BN83:BN94))=0,NA(),IF(CB90=CB95,SUMIF(BI83:BI94,$BX90,BS83:BS94),SUMIF(BI83:BI94,$BX90,BN83:BN94)))</f>
        <v>4.1726427622841964</v>
      </c>
      <c r="CB90" s="645">
        <f t="shared" si="18"/>
        <v>23</v>
      </c>
      <c r="CC90" s="645">
        <f t="shared" si="19"/>
        <v>5</v>
      </c>
    </row>
    <row r="91" spans="2:81" ht="15" customHeight="1">
      <c r="BI91" s="638" t="s">
        <v>331</v>
      </c>
      <c r="BJ91" s="638">
        <v>9</v>
      </c>
      <c r="BK91" s="638" t="s">
        <v>328</v>
      </c>
      <c r="BL91" s="690">
        <v>36.564</v>
      </c>
      <c r="BM91" s="822">
        <v>7.13</v>
      </c>
      <c r="BN91" s="653">
        <f t="shared" si="20"/>
        <v>5.1281907433380081</v>
      </c>
      <c r="BO91" s="290"/>
      <c r="BP91" s="641"/>
      <c r="BQ91" s="690"/>
      <c r="BR91" s="822"/>
      <c r="BS91" s="654" t="str">
        <f t="shared" si="21"/>
        <v/>
      </c>
      <c r="BT91" s="290"/>
      <c r="BU91" s="655"/>
      <c r="BX91" s="642" t="str">
        <f t="shared" si="17"/>
        <v>Jun</v>
      </c>
      <c r="BY91" s="643">
        <f>IF(CB91=$CB95,SUMIF($BI83:$BI94,$BX91,$BR83:$BR94),SUMIF($BI83:$BI94,$BX91,$BM83:$BM94))</f>
        <v>7.13</v>
      </c>
      <c r="BZ91" s="643" t="e">
        <f>IF(IF(CB91=CB95,SUMIF(BI83:BI94,$BX91,BU83:BU94),SUMIF(BI83:BI94,$BX91,BP83:BP94))=0,NA(),IF(CB91=CB95,SUMIF(BI83:BI94,$BX91,BU83:BU94),SUMIF(BI83:BI94,$BX91,BP83:BP94)))</f>
        <v>#N/A</v>
      </c>
      <c r="CA91" s="664">
        <f>IF(IF(CB91=CB95,SUMIF(BI83:BI94,$BX91,BS83:BS94),SUMIF(BI83:BI94,$BX91,BN83:BN94))=0,NA(),IF(CB91=CB95,SUMIF(BI83:BI94,$BX91,BS83:BS94),SUMIF(BI83:BI94,$BX91,BN83:BN94)))</f>
        <v>5.1281907433380081</v>
      </c>
      <c r="CB91" s="645">
        <f t="shared" si="18"/>
        <v>23</v>
      </c>
      <c r="CC91" s="645">
        <f t="shared" si="19"/>
        <v>6</v>
      </c>
    </row>
    <row r="92" spans="2:81" ht="15" customHeight="1">
      <c r="BI92" s="638" t="s">
        <v>337</v>
      </c>
      <c r="BJ92" s="638">
        <v>10</v>
      </c>
      <c r="BK92" s="638" t="s">
        <v>338</v>
      </c>
      <c r="BL92" s="690">
        <v>28.126999999999999</v>
      </c>
      <c r="BM92" s="822">
        <v>5.1340000000000003</v>
      </c>
      <c r="BN92" s="653">
        <f t="shared" si="20"/>
        <v>5.4785742111414093</v>
      </c>
      <c r="BO92" s="289">
        <f>IF(SUM(BM92:BM94=0),0,SUM(BL92:BL94)/SUM(BM92:BM94))</f>
        <v>4.6881689981310526</v>
      </c>
      <c r="BP92" s="641"/>
      <c r="BQ92" s="690"/>
      <c r="BR92" s="822"/>
      <c r="BS92" s="654" t="str">
        <f t="shared" si="21"/>
        <v/>
      </c>
      <c r="BT92" s="289">
        <f>IF(SUM(BR92:BR94=0),0,SUM(BQ92:BQ94)/SUM(BR92:BR94))</f>
        <v>0</v>
      </c>
      <c r="BU92" s="655"/>
      <c r="BX92" s="642" t="str">
        <f t="shared" si="17"/>
        <v>Jul</v>
      </c>
      <c r="BY92" s="643">
        <f>IF(CB92=$CB95,SUMIF($BI83:$BI94,$BX92,$BR83:$BR94),SUMIF($BI83:$BI94,$BX92,$BM83:$BM94))</f>
        <v>5.1340000000000003</v>
      </c>
      <c r="BZ92" s="643" t="e">
        <f>IF(IF(CB92=CB95,SUMIF(BI83:BI94,$BX92,BU83:BU94),SUMIF(BI83:BI94,$BX92,BP83:BP94))=0,NA(),IF(CB92=CB95,SUMIF(BI83:BI94,$BX92,BU83:BU94),SUMIF(BI83:BI94,$BX92,BP83:BP94)))</f>
        <v>#N/A</v>
      </c>
      <c r="CA92" s="664">
        <f>IF(IF(CB92=CB95,SUMIF(BI83:BI94,$BX92,BS83:BS94),SUMIF(BI83:BI94,$BX92,BN83:BN94))=0,NA(),IF(CB92=CB95,SUMIF(BI83:BI94,$BX92,BS83:BS94),SUMIF(BI83:BI94,$BX92,BN83:BN94)))</f>
        <v>5.4785742111414093</v>
      </c>
      <c r="CB92" s="645">
        <f t="shared" si="18"/>
        <v>23</v>
      </c>
      <c r="CC92" s="645">
        <f t="shared" si="19"/>
        <v>7</v>
      </c>
    </row>
    <row r="93" spans="2:81" ht="15" customHeight="1">
      <c r="BI93" s="638" t="s">
        <v>343</v>
      </c>
      <c r="BJ93" s="638">
        <v>11</v>
      </c>
      <c r="BK93" s="638" t="s">
        <v>338</v>
      </c>
      <c r="BL93" s="690">
        <v>25.373000000000001</v>
      </c>
      <c r="BM93" s="822">
        <v>5.4210000000000003</v>
      </c>
      <c r="BN93" s="653">
        <f t="shared" si="20"/>
        <v>4.6805017524441981</v>
      </c>
      <c r="BO93" s="290"/>
      <c r="BP93" s="641"/>
      <c r="BQ93" s="690"/>
      <c r="BR93" s="822"/>
      <c r="BS93" s="654" t="str">
        <f t="shared" si="21"/>
        <v/>
      </c>
      <c r="BT93" s="290"/>
      <c r="BU93" s="655"/>
      <c r="BX93" s="642" t="str">
        <f t="shared" si="17"/>
        <v>Aug</v>
      </c>
      <c r="BY93" s="643">
        <f>IF(CB93=$CB95,SUMIF($BI83:$BI94,$BX93,$BR83:$BR94),SUMIF($BI83:$BI94,$BX93,$BM83:$BM94))</f>
        <v>5.4210000000000003</v>
      </c>
      <c r="BZ93" s="643" t="e">
        <f>IF(IF(CB93=CB95,SUMIF(BI83:BI94,$BX93,BU83:BU94),SUMIF(BI83:BI94,$BX93,BP83:BP94))=0,NA(),IF(CB93=CB95,SUMIF(BI83:BI94,$BX93,BU83:BU94),SUMIF(BI83:BI94,$BX93,BP83:BP94)))</f>
        <v>#N/A</v>
      </c>
      <c r="CA93" s="664">
        <f>IF(IF(CB93=CB95,SUMIF(BI83:BI94,$BX93,BS83:BS94),SUMIF(BI83:BI94,$BX93,BN83:BN94))=0,NA(),IF(CB93=CB95,SUMIF(BI83:BI94,$BX93,BS83:BS94),SUMIF(BI83:BI94,$BX93,BN83:BN94)))</f>
        <v>4.6805017524441981</v>
      </c>
      <c r="CB93" s="645">
        <f>CB74</f>
        <v>23</v>
      </c>
      <c r="CC93" s="645">
        <f t="shared" si="19"/>
        <v>8</v>
      </c>
    </row>
    <row r="94" spans="2:81" ht="15" customHeight="1">
      <c r="BI94" s="638" t="s">
        <v>344</v>
      </c>
      <c r="BJ94" s="638">
        <v>12</v>
      </c>
      <c r="BK94" s="638" t="s">
        <v>338</v>
      </c>
      <c r="BL94" s="690">
        <v>29.279</v>
      </c>
      <c r="BM94" s="822">
        <v>7.1020000000000003</v>
      </c>
      <c r="BN94" s="653">
        <f t="shared" si="20"/>
        <v>4.1226415094339623</v>
      </c>
      <c r="BO94" s="290"/>
      <c r="BP94" s="641"/>
      <c r="BQ94" s="690"/>
      <c r="BR94" s="822"/>
      <c r="BS94" s="654" t="str">
        <f t="shared" si="21"/>
        <v/>
      </c>
      <c r="BT94" s="290"/>
      <c r="BU94" s="655"/>
      <c r="BX94" s="642" t="str">
        <f t="shared" si="17"/>
        <v>Sep</v>
      </c>
      <c r="BY94" s="643">
        <f>IF(CB94=$CB95,SUMIF($BI83:$BI94,$BX94,$BR83:$BR94),SUMIF($BI83:$BI94,$BX94,$BM83:$BM94))</f>
        <v>7.1020000000000003</v>
      </c>
      <c r="BZ94" s="643" t="e">
        <f>IF(IF(CB94=CB95,SUMIF(BI83:BI94,$BX94,BU83:BU94),SUMIF(BI83:BI94,$BX94,BP83:BP94))=0,NA(),IF(CB94=CB95,SUMIF(BI83:BI94,$BX94,BU83:BU94),SUMIF(BI83:BI94,$BX94,BP83:BP94)))</f>
        <v>#N/A</v>
      </c>
      <c r="CA94" s="664">
        <f>IF(IF(CB94=CB95,SUMIF(BI83:BI94,$BX94,BS83:BS94),SUMIF(BI83:BI94,$BX94,BN83:BN94))=0,NA(),IF(CB94=CB95,SUMIF(BI83:BI94,$BX94,BS83:BS94),SUMIF(BI83:BI94,$BX94,BN83:BN94)))</f>
        <v>4.1226415094339623</v>
      </c>
      <c r="CB94" s="645">
        <f t="shared" si="18"/>
        <v>23</v>
      </c>
      <c r="CC94" s="645">
        <f>IF(CC95-1&lt;1,CC95+11,CC95-1)</f>
        <v>9</v>
      </c>
    </row>
    <row r="95" spans="2:81" ht="15" customHeight="1">
      <c r="BI95" s="37"/>
      <c r="BJ95" s="37"/>
      <c r="BK95" s="37"/>
      <c r="BL95" s="37"/>
      <c r="BM95" s="37"/>
      <c r="BN95" s="37"/>
      <c r="BO95" s="37"/>
      <c r="BP95" s="37"/>
      <c r="BQ95" s="37"/>
      <c r="BR95" s="37"/>
      <c r="BS95" s="37"/>
      <c r="BT95" s="37"/>
      <c r="BU95" s="37"/>
      <c r="BV95" s="37"/>
      <c r="BW95" s="647" t="str">
        <f>Cover!$M$34</f>
        <v>OCT FY-24</v>
      </c>
      <c r="BX95" s="642" t="str">
        <f>TEXT(CONCATENATE(CC95,"/01/20",CB95),"MMM")</f>
        <v>Oct</v>
      </c>
      <c r="BY95" s="643">
        <f>SUMIF($BI83:$BI94,$BX95,$BR83:$BR94)</f>
        <v>5.6710000000000003</v>
      </c>
      <c r="BZ95" s="643" t="e">
        <f>IF(IF(CB95=CB95,SUMIF(BI83:BI94,$BX95,BU83:BU94),SUMIF(BI83:BI94,$BX95,BP83:BP94))=0,NA(),IF(CB95=CB95,SUMIF(BI83:BI94,$BX95,BU83:BU94),SUMIF(BI83:BI94,$BX95,BP83:BP94)))</f>
        <v>#N/A</v>
      </c>
      <c r="CA95" s="664">
        <f>IF(SUMIF($BI83:$BI94,$BX95,$BS83:$BS94)=0,NA(),SUMIF($BI83:$BI94,$BX95,$BS83:$BS94))</f>
        <v>4.8827367307353198</v>
      </c>
      <c r="CB95" s="645">
        <f t="shared" si="18"/>
        <v>24</v>
      </c>
      <c r="CC95" s="645">
        <f>MONTH(DATEVALUE(LEFT(BW95,3)&amp;" 1"))</f>
        <v>10</v>
      </c>
    </row>
    <row r="121" spans="59:59" ht="15" customHeight="1">
      <c r="BG121"/>
    </row>
    <row r="122" spans="59:59" ht="15" customHeight="1">
      <c r="BG122"/>
    </row>
  </sheetData>
  <mergeCells count="109">
    <mergeCell ref="BL81:BP81"/>
    <mergeCell ref="BQ43:BU43"/>
    <mergeCell ref="N40:P40"/>
    <mergeCell ref="Q40:S40"/>
    <mergeCell ref="T42:V42"/>
    <mergeCell ref="W42:Y42"/>
    <mergeCell ref="BL62:BP62"/>
    <mergeCell ref="BQ62:BU62"/>
    <mergeCell ref="Z42:AB42"/>
    <mergeCell ref="AC42:BE42"/>
    <mergeCell ref="N42:P42"/>
    <mergeCell ref="Q42:S42"/>
    <mergeCell ref="B48:E48"/>
    <mergeCell ref="T40:V40"/>
    <mergeCell ref="B86:AB89"/>
    <mergeCell ref="Z40:AB40"/>
    <mergeCell ref="AE86:BE89"/>
    <mergeCell ref="B63:AB66"/>
    <mergeCell ref="AE63:BE66"/>
    <mergeCell ref="N39:P39"/>
    <mergeCell ref="K35:P35"/>
    <mergeCell ref="K39:M39"/>
    <mergeCell ref="K42:M42"/>
    <mergeCell ref="B42:J42"/>
    <mergeCell ref="B41:J41"/>
    <mergeCell ref="AC39:BE39"/>
    <mergeCell ref="BQ24:BU24"/>
    <mergeCell ref="AU24:AX24"/>
    <mergeCell ref="BB24:BE24"/>
    <mergeCell ref="Z38:AB38"/>
    <mergeCell ref="BW24:CC24"/>
    <mergeCell ref="BW43:CC43"/>
    <mergeCell ref="B29:AB32"/>
    <mergeCell ref="AE29:BE32"/>
    <mergeCell ref="AN18:AQ18"/>
    <mergeCell ref="K36:M37"/>
    <mergeCell ref="N36:P37"/>
    <mergeCell ref="Q38:S38"/>
    <mergeCell ref="T38:V38"/>
    <mergeCell ref="N38:P38"/>
    <mergeCell ref="Q39:S39"/>
    <mergeCell ref="B39:J39"/>
    <mergeCell ref="T36:V37"/>
    <mergeCell ref="B40:J40"/>
    <mergeCell ref="Z39:AB39"/>
    <mergeCell ref="T39:V39"/>
    <mergeCell ref="W39:Y39"/>
    <mergeCell ref="AC41:BE41"/>
    <mergeCell ref="AC40:BE40"/>
    <mergeCell ref="AC38:BE38"/>
    <mergeCell ref="B2:BE4"/>
    <mergeCell ref="BW81:CC81"/>
    <mergeCell ref="BQ81:BU81"/>
    <mergeCell ref="T35:AB35"/>
    <mergeCell ref="BL24:BP24"/>
    <mergeCell ref="BL43:BP43"/>
    <mergeCell ref="AU17:AX17"/>
    <mergeCell ref="AU18:AX18"/>
    <mergeCell ref="BB23:BE23"/>
    <mergeCell ref="AN24:AQ24"/>
    <mergeCell ref="AC35:BE37"/>
    <mergeCell ref="BB17:BE17"/>
    <mergeCell ref="BB18:BE18"/>
    <mergeCell ref="AN19:AQ19"/>
    <mergeCell ref="AU19:AX19"/>
    <mergeCell ref="BB19:BE19"/>
    <mergeCell ref="AN17:AQ17"/>
    <mergeCell ref="W40:Y40"/>
    <mergeCell ref="AN22:AQ22"/>
    <mergeCell ref="AN23:AQ23"/>
    <mergeCell ref="AU23:AX23"/>
    <mergeCell ref="BB22:BE22"/>
    <mergeCell ref="BW62:CC62"/>
    <mergeCell ref="AS15:AX15"/>
    <mergeCell ref="AZ15:BE15"/>
    <mergeCell ref="AL15:AO15"/>
    <mergeCell ref="AP15:AQ15"/>
    <mergeCell ref="B5:AR5"/>
    <mergeCell ref="V14:W14"/>
    <mergeCell ref="AX5:AY5"/>
    <mergeCell ref="B15:G15"/>
    <mergeCell ref="I15:V15"/>
    <mergeCell ref="X15:AB15"/>
    <mergeCell ref="AE8:BE11"/>
    <mergeCell ref="B8:AB11"/>
    <mergeCell ref="N16:Q16"/>
    <mergeCell ref="S16:V16"/>
    <mergeCell ref="BI1:BU1"/>
    <mergeCell ref="BJ23:BU23"/>
    <mergeCell ref="BJ40:BU40"/>
    <mergeCell ref="K40:M40"/>
    <mergeCell ref="K41:M41"/>
    <mergeCell ref="N41:P41"/>
    <mergeCell ref="Q41:S41"/>
    <mergeCell ref="T41:V41"/>
    <mergeCell ref="W41:Y41"/>
    <mergeCell ref="Z41:AB41"/>
    <mergeCell ref="BJ21:BU21"/>
    <mergeCell ref="BJ22:BU22"/>
    <mergeCell ref="Q35:S37"/>
    <mergeCell ref="W36:Y37"/>
    <mergeCell ref="Z36:AB37"/>
    <mergeCell ref="I16:L16"/>
    <mergeCell ref="B35:J37"/>
    <mergeCell ref="W38:Y38"/>
    <mergeCell ref="B38:J38"/>
    <mergeCell ref="K38:M38"/>
    <mergeCell ref="AU22:AX22"/>
    <mergeCell ref="AE15:AJ15"/>
  </mergeCells>
  <conditionalFormatting sqref="B2">
    <cfRule type="cellIs" dxfId="2348" priority="475" operator="equal">
      <formula>"XXX"</formula>
    </cfRule>
  </conditionalFormatting>
  <conditionalFormatting sqref="B8">
    <cfRule type="cellIs" dxfId="2347" priority="21" operator="equal">
      <formula>"XXX"</formula>
    </cfRule>
  </conditionalFormatting>
  <conditionalFormatting sqref="B63">
    <cfRule type="cellIs" dxfId="2346" priority="31" operator="equal">
      <formula>"XXX"</formula>
    </cfRule>
  </conditionalFormatting>
  <conditionalFormatting sqref="B86">
    <cfRule type="cellIs" dxfId="2345" priority="15" operator="equal">
      <formula>"XXX"</formula>
    </cfRule>
  </conditionalFormatting>
  <conditionalFormatting sqref="B62:D62 F62:AB62">
    <cfRule type="cellIs" dxfId="2344" priority="2079" operator="equal">
      <formula>"XXX"</formula>
    </cfRule>
  </conditionalFormatting>
  <conditionalFormatting sqref="B85:D85 F85:AB85">
    <cfRule type="cellIs" dxfId="2343" priority="2075" operator="equal">
      <formula>"XXX"</formula>
    </cfRule>
  </conditionalFormatting>
  <conditionalFormatting sqref="B41:J41">
    <cfRule type="cellIs" dxfId="2342" priority="1928" operator="equal">
      <formula>"XXX"</formula>
    </cfRule>
  </conditionalFormatting>
  <conditionalFormatting sqref="B91:BE91">
    <cfRule type="cellIs" dxfId="2341" priority="1972" operator="equal">
      <formula>"XXX"</formula>
    </cfRule>
  </conditionalFormatting>
  <conditionalFormatting sqref="C22:D22 F22">
    <cfRule type="cellIs" dxfId="2340" priority="1045" operator="equal">
      <formula>"XXX"</formula>
    </cfRule>
  </conditionalFormatting>
  <conditionalFormatting sqref="G22:G23">
    <cfRule type="cellIs" dxfId="2339" priority="1042" operator="notEqual">
      <formula>0</formula>
    </cfRule>
    <cfRule type="cellIs" dxfId="2338" priority="1043" operator="equal">
      <formula>"XXX"</formula>
    </cfRule>
  </conditionalFormatting>
  <conditionalFormatting sqref="G25:G26">
    <cfRule type="cellIs" dxfId="2337" priority="909" operator="notEqual">
      <formula>0</formula>
    </cfRule>
  </conditionalFormatting>
  <conditionalFormatting sqref="G26">
    <cfRule type="expression" dxfId="2336" priority="908">
      <formula>$G$25=0</formula>
    </cfRule>
  </conditionalFormatting>
  <conditionalFormatting sqref="G25:H26">
    <cfRule type="cellIs" dxfId="2335" priority="910" operator="equal">
      <formula>"XXX"</formula>
    </cfRule>
  </conditionalFormatting>
  <conditionalFormatting sqref="I26:I27">
    <cfRule type="cellIs" dxfId="2334" priority="689" operator="equal">
      <formula>"XXX"</formula>
    </cfRule>
  </conditionalFormatting>
  <conditionalFormatting sqref="I23:J27">
    <cfRule type="cellIs" dxfId="2333" priority="688" operator="equal">
      <formula>$A$1</formula>
    </cfRule>
  </conditionalFormatting>
  <conditionalFormatting sqref="J26:L26">
    <cfRule type="cellIs" dxfId="2332" priority="1041" operator="equal">
      <formula>"XXX"</formula>
    </cfRule>
  </conditionalFormatting>
  <conditionalFormatting sqref="K38 N38 T38 W38 Z38">
    <cfRule type="cellIs" dxfId="2331" priority="984" stopIfTrue="1" operator="lessThan">
      <formula>$Q38*0.9</formula>
    </cfRule>
    <cfRule type="cellIs" dxfId="2330" priority="985" operator="lessThan">
      <formula>$Q38</formula>
    </cfRule>
    <cfRule type="cellIs" dxfId="2329" priority="986" operator="greaterThanOrEqual">
      <formula>$Q38</formula>
    </cfRule>
  </conditionalFormatting>
  <conditionalFormatting sqref="K38:K39 N38:N39 T38:T39 W38:W39 Z38:Z39">
    <cfRule type="cellIs" dxfId="2328" priority="979" operator="equal">
      <formula>"XXX"</formula>
    </cfRule>
  </conditionalFormatting>
  <conditionalFormatting sqref="K39 N39 T39 W39 Z39">
    <cfRule type="cellIs" dxfId="2327" priority="2124" stopIfTrue="1" operator="greaterThan">
      <formula>$Q39*1.1</formula>
    </cfRule>
    <cfRule type="cellIs" dxfId="2326" priority="2125" operator="greaterThan">
      <formula>$Q39</formula>
    </cfRule>
    <cfRule type="cellIs" dxfId="2325" priority="2126" operator="lessThan">
      <formula>$Q39*1.1</formula>
    </cfRule>
  </conditionalFormatting>
  <conditionalFormatting sqref="K40 N40 T40 W40 Z40">
    <cfRule type="expression" dxfId="2324" priority="1780">
      <formula>$Q$40=0</formula>
    </cfRule>
  </conditionalFormatting>
  <conditionalFormatting sqref="K40:K41 N40:N41 T40:T41 W40:W41 Z40:Z41">
    <cfRule type="cellIs" dxfId="2323" priority="1896" operator="equal">
      <formula>"XXX"</formula>
    </cfRule>
    <cfRule type="cellIs" dxfId="2322" priority="1897" stopIfTrue="1" operator="lessThan">
      <formula>$Q40*0.9</formula>
    </cfRule>
    <cfRule type="cellIs" dxfId="2321" priority="1898" operator="lessThan">
      <formula>$Q40</formula>
    </cfRule>
    <cfRule type="cellIs" dxfId="2320" priority="1899" operator="greaterThanOrEqual">
      <formula>$Q40</formula>
    </cfRule>
  </conditionalFormatting>
  <conditionalFormatting sqref="K41 N41 T41 W41 Z41">
    <cfRule type="expression" dxfId="2319" priority="1777">
      <formula>$Q$41=0</formula>
    </cfRule>
  </conditionalFormatting>
  <conditionalFormatting sqref="K35:AB37">
    <cfRule type="cellIs" dxfId="2318" priority="504" operator="equal">
      <formula>"XXX"</formula>
    </cfRule>
  </conditionalFormatting>
  <conditionalFormatting sqref="X24:AB24">
    <cfRule type="cellIs" dxfId="2317" priority="558" operator="equal">
      <formula>"XXX"</formula>
    </cfRule>
  </conditionalFormatting>
  <conditionalFormatting sqref="Y16:Y23">
    <cfRule type="cellIs" dxfId="2316" priority="554" operator="equal">
      <formula>"XXX"</formula>
    </cfRule>
  </conditionalFormatting>
  <conditionalFormatting sqref="Z16:Z21">
    <cfRule type="cellIs" dxfId="2315" priority="557" operator="equal">
      <formula>"XXX"</formula>
    </cfRule>
  </conditionalFormatting>
  <conditionalFormatting sqref="AC63:AC66">
    <cfRule type="cellIs" dxfId="2314" priority="224" operator="equal">
      <formula>"XXX"</formula>
    </cfRule>
  </conditionalFormatting>
  <conditionalFormatting sqref="AC86:AC89">
    <cfRule type="cellIs" dxfId="2313" priority="150" operator="equal">
      <formula>"XXX"</formula>
    </cfRule>
  </conditionalFormatting>
  <conditionalFormatting sqref="AC8:AD11">
    <cfRule type="cellIs" dxfId="2312" priority="187" operator="equal">
      <formula>"XXX"</formula>
    </cfRule>
  </conditionalFormatting>
  <conditionalFormatting sqref="AC29:AD32">
    <cfRule type="cellIs" dxfId="2311" priority="97" operator="equal">
      <formula>"XXX"</formula>
    </cfRule>
  </conditionalFormatting>
  <conditionalFormatting sqref="AC42:BE42">
    <cfRule type="cellIs" dxfId="2310" priority="1367" operator="equal">
      <formula>"XXX"</formula>
    </cfRule>
  </conditionalFormatting>
  <conditionalFormatting sqref="AE8">
    <cfRule type="cellIs" dxfId="2309" priority="20" operator="equal">
      <formula>"XXX"</formula>
    </cfRule>
  </conditionalFormatting>
  <conditionalFormatting sqref="AE86">
    <cfRule type="cellIs" dxfId="2308" priority="14" operator="equal">
      <formula>"XXX"</formula>
    </cfRule>
  </conditionalFormatting>
  <conditionalFormatting sqref="AE28:AG28 AI28:BE28 AK22:AM24 AR22:AT24 AY22:BA24 BH43">
    <cfRule type="cellIs" dxfId="2307" priority="2093" operator="equal">
      <formula>"XXX"</formula>
    </cfRule>
  </conditionalFormatting>
  <conditionalFormatting sqref="AE62:AG62 AI62:BE62">
    <cfRule type="cellIs" dxfId="2306" priority="2077" operator="equal">
      <formula>"XXX"</formula>
    </cfRule>
  </conditionalFormatting>
  <conditionalFormatting sqref="AE85:AG85 AI85:BE85">
    <cfRule type="cellIs" dxfId="2305" priority="2071" operator="equal">
      <formula>"XXX"</formula>
    </cfRule>
  </conditionalFormatting>
  <conditionalFormatting sqref="AJ22">
    <cfRule type="cellIs" dxfId="2304" priority="2081" operator="equal">
      <formula>"XXX"</formula>
    </cfRule>
  </conditionalFormatting>
  <conditionalFormatting sqref="AU17:AX18 AU22:AX23">
    <cfRule type="cellIs" dxfId="2303" priority="1974" operator="lessThan">
      <formula>0</formula>
    </cfRule>
  </conditionalFormatting>
  <conditionalFormatting sqref="BB23 BB17:BE18 BB22:BE22">
    <cfRule type="cellIs" dxfId="2302" priority="2080" operator="lessThan">
      <formula>0</formula>
    </cfRule>
  </conditionalFormatting>
  <conditionalFormatting sqref="BF121:BF122">
    <cfRule type="cellIs" dxfId="2301" priority="1308" operator="equal">
      <formula>"XXX"</formula>
    </cfRule>
  </conditionalFormatting>
  <conditionalFormatting sqref="BH35">
    <cfRule type="cellIs" dxfId="2300" priority="1976" operator="equal">
      <formula>"XXX"</formula>
    </cfRule>
  </conditionalFormatting>
  <conditionalFormatting sqref="BH37:BH41">
    <cfRule type="cellIs" dxfId="2299" priority="1973" operator="equal">
      <formula>"XXX"</formula>
    </cfRule>
  </conditionalFormatting>
  <conditionalFormatting sqref="BJ16:BV16">
    <cfRule type="expression" dxfId="2298" priority="114">
      <formula>(AND(BJ$5=$BX$5,LEN(BJ$16)=0))</formula>
    </cfRule>
  </conditionalFormatting>
  <conditionalFormatting sqref="BQ26:BQ37 BQ45:BQ56 BQ64:BQ75 BQ83:BQ94">
    <cfRule type="expression" dxfId="2297" priority="115">
      <formula>(AND($BJ26=$BX$5,LEN($BQ26)=0))</formula>
    </cfRule>
  </conditionalFormatting>
  <conditionalFormatting sqref="BR26:BR37 BR45:BR56 BR64:BR75 BR83:BR94">
    <cfRule type="expression" dxfId="2296" priority="1056">
      <formula>(AND($BJ26=$BX$5,LEN($BR26)=0))</formula>
    </cfRule>
  </conditionalFormatting>
  <conditionalFormatting sqref="AE63">
    <cfRule type="cellIs" dxfId="2295" priority="5" operator="equal">
      <formula>"XXX"</formula>
    </cfRule>
  </conditionalFormatting>
  <conditionalFormatting sqref="AC38:BE41">
    <cfRule type="cellIs" dxfId="2294" priority="1" operator="equal">
      <formula>"XXX"</formula>
    </cfRule>
  </conditionalFormatting>
  <dataValidations count="2">
    <dataValidation type="whole" operator="greaterThanOrEqual" allowBlank="1" showInputMessage="1" showErrorMessage="1" errorTitle="Positive Value" error="This value must be entered as a positive number." sqref="BJ6:BV6 BQ14 BP13:BP14 BP12:BQ12 BR12:BV14 BJ12:BO14 BJ10:BV10 BJ8:BV8" xr:uid="{00000000-0002-0000-0D00-000002000000}">
      <formula1>0</formula1>
    </dataValidation>
    <dataValidation type="whole" operator="lessThan" allowBlank="1" showInputMessage="1" showErrorMessage="1" errorTitle="Negative Value" error="This value must be entered as a negative number." sqref="BJ7:BV7 BJ9:BV9 BJ11:BV11" xr:uid="{00000000-0002-0000-0D00-000003000000}">
      <formula1>0</formula1>
    </dataValidation>
  </dataValidations>
  <printOptions horizontalCentered="1"/>
  <pageMargins left="0.25" right="0.25" top="0.25" bottom="0.5" header="0.3" footer="0.3"/>
  <pageSetup scale="66" orientation="landscape" r:id="rId1"/>
  <headerFooter>
    <oddFooter>&amp;R&amp;F | &amp;A
Printed &amp;D @ &amp;T
&amp;P</oddFooter>
  </headerFooter>
  <rowBreaks count="4" manualBreakCount="4">
    <brk id="42" max="57" man="1"/>
    <brk id="90" max="57" man="1"/>
    <brk id="115" max="57" man="1"/>
    <brk id="135" max="57" man="1"/>
  </rowBreak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tabColor rgb="FF002060"/>
  </sheetPr>
  <dimension ref="A1:CC158"/>
  <sheetViews>
    <sheetView showGridLines="0" topLeftCell="A12" zoomScale="85" zoomScaleNormal="85" zoomScaleSheetLayoutView="70" workbookViewId="0">
      <selection activeCell="AC42" sqref="AC42:BE42"/>
    </sheetView>
  </sheetViews>
  <sheetFormatPr defaultColWidth="3.28515625" defaultRowHeight="14.65" customHeight="1"/>
  <cols>
    <col min="1" max="1" width="3.28515625" style="6"/>
    <col min="2" max="6" width="3.28515625" style="37"/>
    <col min="7" max="7" width="4" style="37" bestFit="1" customWidth="1"/>
    <col min="8" max="57" width="3.28515625" style="37"/>
    <col min="58" max="59" width="3.28515625" style="6"/>
    <col min="60" max="60" width="5" style="6" bestFit="1" customWidth="1"/>
    <col min="61" max="61" width="18.28515625" style="270" customWidth="1"/>
    <col min="62" max="73" width="12.7109375" style="270" customWidth="1"/>
    <col min="74" max="74" width="13.85546875" style="270" customWidth="1"/>
    <col min="75" max="75" width="15.7109375" style="37" bestFit="1" customWidth="1"/>
    <col min="76" max="76" width="8.5703125" style="37" bestFit="1" customWidth="1"/>
    <col min="77" max="77" width="11.28515625" style="37" bestFit="1" customWidth="1"/>
    <col min="78" max="78" width="8.28515625" style="37" bestFit="1" customWidth="1"/>
    <col min="79" max="79" width="10.28515625" style="37" customWidth="1"/>
    <col min="80" max="80" width="4.7109375" style="37" bestFit="1" customWidth="1"/>
    <col min="81" max="81" width="5.28515625" style="37" bestFit="1" customWidth="1"/>
    <col min="82" max="82" width="3.28515625" style="6"/>
    <col min="83" max="83" width="3.7109375" style="6" customWidth="1"/>
    <col min="84" max="16384" width="3.28515625" style="6"/>
  </cols>
  <sheetData>
    <row r="1" spans="2:76" ht="15" customHeight="1">
      <c r="BI1" s="1232" t="s">
        <v>260</v>
      </c>
      <c r="BJ1" s="1232"/>
      <c r="BK1" s="1232"/>
      <c r="BL1" s="1232"/>
      <c r="BM1" s="1232"/>
      <c r="BN1" s="1232"/>
      <c r="BO1" s="1232"/>
      <c r="BP1" s="1232"/>
      <c r="BQ1" s="1232"/>
      <c r="BR1" s="1232"/>
      <c r="BS1" s="1232"/>
      <c r="BT1" s="1232"/>
      <c r="BU1" s="1232"/>
    </row>
    <row r="2" spans="2:76" ht="15" customHeight="1">
      <c r="B2" s="1146" t="s">
        <v>180</v>
      </c>
      <c r="C2" s="1146"/>
      <c r="D2" s="1146"/>
      <c r="E2" s="1146"/>
      <c r="F2" s="1146"/>
      <c r="G2" s="1146"/>
      <c r="H2" s="1146"/>
      <c r="I2" s="1146"/>
      <c r="J2" s="1146"/>
      <c r="K2" s="1146"/>
      <c r="L2" s="1146"/>
      <c r="M2" s="1146"/>
      <c r="N2" s="1146"/>
      <c r="O2" s="1146"/>
      <c r="P2" s="1146"/>
      <c r="Q2" s="1146"/>
      <c r="R2" s="1146"/>
      <c r="S2" s="1146"/>
      <c r="T2" s="1146"/>
      <c r="U2" s="1146"/>
      <c r="V2" s="1146"/>
      <c r="W2" s="1146"/>
      <c r="X2" s="1146"/>
      <c r="Y2" s="1146"/>
      <c r="Z2" s="1146"/>
      <c r="AA2" s="1146"/>
      <c r="AB2" s="1146"/>
      <c r="AC2" s="1146"/>
      <c r="AD2" s="1146"/>
      <c r="AE2" s="1146"/>
      <c r="AF2" s="1146"/>
      <c r="AG2" s="1146"/>
      <c r="AH2" s="1146"/>
      <c r="AI2" s="1146"/>
      <c r="AJ2" s="1146"/>
      <c r="AK2" s="1146"/>
      <c r="AL2" s="1146"/>
      <c r="AM2" s="1146"/>
      <c r="AN2" s="1146"/>
      <c r="AO2" s="1146"/>
      <c r="AP2" s="1146"/>
      <c r="AQ2" s="1146"/>
      <c r="AR2" s="1146"/>
      <c r="AS2" s="1146"/>
      <c r="AT2" s="1146"/>
      <c r="AU2" s="1146"/>
      <c r="AV2" s="1146"/>
      <c r="AW2" s="1146"/>
      <c r="AX2" s="1146"/>
      <c r="AY2" s="1146"/>
      <c r="AZ2" s="1146"/>
      <c r="BA2" s="1146"/>
      <c r="BB2" s="1146"/>
      <c r="BC2" s="1146"/>
      <c r="BD2" s="1146"/>
      <c r="BE2" s="1146"/>
      <c r="BI2" s="271" t="s">
        <v>42</v>
      </c>
    </row>
    <row r="3" spans="2:76" ht="15" customHeight="1">
      <c r="B3" s="1146"/>
      <c r="C3" s="1146"/>
      <c r="D3" s="1146"/>
      <c r="E3" s="1146"/>
      <c r="F3" s="1146"/>
      <c r="G3" s="1146"/>
      <c r="H3" s="1146"/>
      <c r="I3" s="1146"/>
      <c r="J3" s="1146"/>
      <c r="K3" s="1146"/>
      <c r="L3" s="1146"/>
      <c r="M3" s="1146"/>
      <c r="N3" s="1146"/>
      <c r="O3" s="1146"/>
      <c r="P3" s="1146"/>
      <c r="Q3" s="1146"/>
      <c r="R3" s="1146"/>
      <c r="S3" s="1146"/>
      <c r="T3" s="1146"/>
      <c r="U3" s="1146"/>
      <c r="V3" s="1146"/>
      <c r="W3" s="1146"/>
      <c r="X3" s="1146"/>
      <c r="Y3" s="1146"/>
      <c r="Z3" s="1146"/>
      <c r="AA3" s="1146"/>
      <c r="AB3" s="1146"/>
      <c r="AC3" s="1146"/>
      <c r="AD3" s="1146"/>
      <c r="AE3" s="1146"/>
      <c r="AF3" s="1146"/>
      <c r="AG3" s="1146"/>
      <c r="AH3" s="1146"/>
      <c r="AI3" s="1146"/>
      <c r="AJ3" s="1146"/>
      <c r="AK3" s="1146"/>
      <c r="AL3" s="1146"/>
      <c r="AM3" s="1146"/>
      <c r="AN3" s="1146"/>
      <c r="AO3" s="1146"/>
      <c r="AP3" s="1146"/>
      <c r="AQ3" s="1146"/>
      <c r="AR3" s="1146"/>
      <c r="AS3" s="1146"/>
      <c r="AT3" s="1146"/>
      <c r="AU3" s="1146"/>
      <c r="AV3" s="1146"/>
      <c r="AW3" s="1146"/>
      <c r="AX3" s="1146"/>
      <c r="AY3" s="1146"/>
      <c r="AZ3" s="1146"/>
      <c r="BA3" s="1146"/>
      <c r="BB3" s="1146"/>
      <c r="BC3" s="1146"/>
      <c r="BD3" s="1146"/>
      <c r="BE3" s="1146"/>
      <c r="BI3" s="272" t="s">
        <v>261</v>
      </c>
    </row>
    <row r="4" spans="2:76" ht="15" customHeight="1">
      <c r="B4" s="1147"/>
      <c r="C4" s="1147"/>
      <c r="D4" s="1147"/>
      <c r="E4" s="1147"/>
      <c r="F4" s="1147"/>
      <c r="G4" s="1147"/>
      <c r="H4" s="1147"/>
      <c r="I4" s="1147"/>
      <c r="J4" s="1147"/>
      <c r="K4" s="1147"/>
      <c r="L4" s="1147"/>
      <c r="M4" s="1147"/>
      <c r="N4" s="1147"/>
      <c r="O4" s="1147"/>
      <c r="P4" s="1147"/>
      <c r="Q4" s="1147"/>
      <c r="R4" s="1147"/>
      <c r="S4" s="1147"/>
      <c r="T4" s="1147"/>
      <c r="U4" s="1147"/>
      <c r="V4" s="1147"/>
      <c r="W4" s="1147"/>
      <c r="X4" s="1147"/>
      <c r="Y4" s="1147"/>
      <c r="Z4" s="1147"/>
      <c r="AA4" s="1147"/>
      <c r="AB4" s="1147"/>
      <c r="AC4" s="1147"/>
      <c r="AD4" s="1147"/>
      <c r="AE4" s="1147"/>
      <c r="AF4" s="1147"/>
      <c r="AG4" s="1147"/>
      <c r="AH4" s="1147"/>
      <c r="AI4" s="1147"/>
      <c r="AJ4" s="1147"/>
      <c r="AK4" s="1147"/>
      <c r="AL4" s="1147"/>
      <c r="AM4" s="1147"/>
      <c r="AN4" s="1147"/>
      <c r="AO4" s="1147"/>
      <c r="AP4" s="1147"/>
      <c r="AQ4" s="1147"/>
      <c r="AR4" s="1147"/>
      <c r="AS4" s="1147"/>
      <c r="AT4" s="1147"/>
      <c r="AU4" s="1147"/>
      <c r="AV4" s="1147"/>
      <c r="AW4" s="1147"/>
      <c r="AX4" s="1147"/>
      <c r="AY4" s="1147"/>
      <c r="AZ4" s="1147"/>
      <c r="BA4" s="1147"/>
      <c r="BB4" s="1147"/>
      <c r="BC4" s="1147"/>
      <c r="BD4" s="1147"/>
      <c r="BE4" s="1147"/>
      <c r="BI4" s="273" t="s">
        <v>23</v>
      </c>
      <c r="BJ4" s="273" t="s">
        <v>36</v>
      </c>
      <c r="BK4" s="273" t="s">
        <v>698</v>
      </c>
      <c r="BL4" s="273" t="s">
        <v>699</v>
      </c>
      <c r="BM4" s="273" t="s">
        <v>700</v>
      </c>
      <c r="BN4" s="273" t="s">
        <v>701</v>
      </c>
      <c r="BO4" s="273" t="s">
        <v>702</v>
      </c>
      <c r="BP4" s="273" t="s">
        <v>703</v>
      </c>
      <c r="BQ4" s="273" t="s">
        <v>704</v>
      </c>
      <c r="BR4" s="273" t="s">
        <v>705</v>
      </c>
      <c r="BS4" s="273" t="s">
        <v>706</v>
      </c>
      <c r="BT4" s="273" t="s">
        <v>707</v>
      </c>
      <c r="BU4" s="273" t="s">
        <v>708</v>
      </c>
      <c r="BV4" s="273" t="s">
        <v>709</v>
      </c>
      <c r="BX4" s="274" t="s">
        <v>262</v>
      </c>
    </row>
    <row r="5" spans="2:76" ht="15" customHeight="1">
      <c r="B5" s="1234" t="str">
        <f>CB!BI1</f>
        <v>Cash &amp; Banking - Maintain the Checks &amp; Balances</v>
      </c>
      <c r="C5" s="1235"/>
      <c r="D5" s="1235"/>
      <c r="E5" s="1235"/>
      <c r="F5" s="1235"/>
      <c r="G5" s="1235"/>
      <c r="H5" s="1235"/>
      <c r="I5" s="1235"/>
      <c r="J5" s="1235"/>
      <c r="K5" s="1235"/>
      <c r="L5" s="1235"/>
      <c r="M5" s="1235"/>
      <c r="N5" s="1235"/>
      <c r="O5" s="1235"/>
      <c r="P5" s="1235"/>
      <c r="Q5" s="1235"/>
      <c r="R5" s="1235"/>
      <c r="S5" s="1235"/>
      <c r="T5" s="1235"/>
      <c r="U5" s="1235"/>
      <c r="V5" s="1235"/>
      <c r="W5" s="1235"/>
      <c r="X5" s="1235"/>
      <c r="Y5" s="1235"/>
      <c r="Z5" s="1235"/>
      <c r="AA5" s="1235"/>
      <c r="AB5" s="1235"/>
      <c r="AC5" s="1235"/>
      <c r="AD5" s="1235"/>
      <c r="AE5" s="1235"/>
      <c r="AF5" s="1235"/>
      <c r="AG5" s="1235"/>
      <c r="AH5" s="1235"/>
      <c r="AI5" s="1235"/>
      <c r="AJ5" s="1235"/>
      <c r="AK5" s="1235"/>
      <c r="AL5" s="1235"/>
      <c r="AM5" s="1235"/>
      <c r="AN5" s="1235"/>
      <c r="AO5" s="1235"/>
      <c r="AP5" s="1235"/>
      <c r="AQ5" s="1235"/>
      <c r="AR5" s="1235"/>
      <c r="AS5" s="630"/>
      <c r="AT5" s="630"/>
      <c r="AU5" s="630"/>
      <c r="AV5" s="630"/>
      <c r="AW5" s="630"/>
      <c r="AX5" s="630"/>
      <c r="AY5" s="630"/>
      <c r="AZ5" s="630"/>
      <c r="BA5" s="630"/>
      <c r="BB5" s="630"/>
      <c r="BC5" s="630"/>
      <c r="BD5" s="630"/>
      <c r="BE5" s="631" t="str">
        <f>Cover!M34</f>
        <v>OCT FY-24</v>
      </c>
      <c r="BI5" s="273" t="s">
        <v>37</v>
      </c>
      <c r="BJ5" s="273">
        <v>-1</v>
      </c>
      <c r="BK5" s="273">
        <v>1</v>
      </c>
      <c r="BL5" s="273">
        <v>2</v>
      </c>
      <c r="BM5" s="273">
        <v>3</v>
      </c>
      <c r="BN5" s="273">
        <v>4</v>
      </c>
      <c r="BO5" s="273">
        <v>5</v>
      </c>
      <c r="BP5" s="273">
        <v>6</v>
      </c>
      <c r="BQ5" s="273">
        <v>7</v>
      </c>
      <c r="BR5" s="273">
        <v>8</v>
      </c>
      <c r="BS5" s="273">
        <v>9</v>
      </c>
      <c r="BT5" s="273">
        <v>10</v>
      </c>
      <c r="BU5" s="273">
        <v>11</v>
      </c>
      <c r="BV5" s="273">
        <v>12</v>
      </c>
      <c r="BX5" s="271">
        <f>Cover!M36</f>
        <v>1</v>
      </c>
    </row>
    <row r="6" spans="2:76" ht="15" customHeight="1">
      <c r="BI6" s="271" t="s">
        <v>263</v>
      </c>
      <c r="BJ6" s="632">
        <v>26</v>
      </c>
      <c r="BK6" s="895">
        <f>BJ14-BJ13</f>
        <v>25</v>
      </c>
      <c r="BL6" s="895">
        <f>BK14-BK13</f>
        <v>27</v>
      </c>
      <c r="BM6" s="895">
        <f>BL14-BL13</f>
        <v>28</v>
      </c>
      <c r="BN6" s="895">
        <f>BM14-BM13</f>
        <v>28</v>
      </c>
      <c r="BO6" s="895">
        <f>BN14-BN13</f>
        <v>28</v>
      </c>
      <c r="BP6" s="895">
        <f t="shared" ref="BP6:BV6" si="0">BO14-BO13</f>
        <v>28</v>
      </c>
      <c r="BQ6" s="895">
        <f t="shared" si="0"/>
        <v>28</v>
      </c>
      <c r="BR6" s="895">
        <f t="shared" si="0"/>
        <v>28</v>
      </c>
      <c r="BS6" s="895">
        <f t="shared" si="0"/>
        <v>28</v>
      </c>
      <c r="BT6" s="895">
        <f t="shared" si="0"/>
        <v>28</v>
      </c>
      <c r="BU6" s="895">
        <f t="shared" si="0"/>
        <v>28</v>
      </c>
      <c r="BV6" s="895">
        <f t="shared" si="0"/>
        <v>28</v>
      </c>
      <c r="BX6" s="271"/>
    </row>
    <row r="7" spans="2:76" ht="15" customHeight="1">
      <c r="B7" s="531" t="s">
        <v>264</v>
      </c>
      <c r="C7" s="532"/>
      <c r="D7" s="532"/>
      <c r="E7" s="532"/>
      <c r="F7" s="532"/>
      <c r="G7" s="532"/>
      <c r="H7" s="532"/>
      <c r="I7" s="532"/>
      <c r="J7" s="532"/>
      <c r="K7" s="532"/>
      <c r="L7" s="532"/>
      <c r="M7" s="532"/>
      <c r="N7" s="532"/>
      <c r="O7" s="532"/>
      <c r="P7" s="532"/>
      <c r="Q7" s="532"/>
      <c r="R7" s="532"/>
      <c r="S7" s="532"/>
      <c r="T7" s="532"/>
      <c r="U7" s="532"/>
      <c r="V7" s="532"/>
      <c r="W7" s="532"/>
      <c r="X7" s="532"/>
      <c r="Y7" s="532"/>
      <c r="Z7" s="532"/>
      <c r="AA7" s="532"/>
      <c r="AB7" s="532"/>
      <c r="AE7" s="531" t="s">
        <v>265</v>
      </c>
      <c r="AF7" s="532"/>
      <c r="AG7" s="532"/>
      <c r="AH7" s="532"/>
      <c r="AI7" s="532"/>
      <c r="AJ7" s="532"/>
      <c r="AK7" s="532"/>
      <c r="AL7" s="532"/>
      <c r="AM7" s="532"/>
      <c r="AN7" s="532"/>
      <c r="AO7" s="532"/>
      <c r="AP7" s="532"/>
      <c r="AQ7" s="532"/>
      <c r="AR7" s="532"/>
      <c r="AS7" s="532"/>
      <c r="AT7" s="532"/>
      <c r="AU7" s="532"/>
      <c r="AV7" s="532"/>
      <c r="AW7" s="532"/>
      <c r="AX7" s="532"/>
      <c r="AY7" s="532"/>
      <c r="AZ7" s="532"/>
      <c r="BA7" s="532"/>
      <c r="BB7" s="532"/>
      <c r="BC7" s="532"/>
      <c r="BD7" s="532"/>
      <c r="BE7" s="532"/>
      <c r="BI7" s="271" t="s">
        <v>266</v>
      </c>
      <c r="BJ7" s="632">
        <v>-1</v>
      </c>
      <c r="BK7" s="880"/>
      <c r="BL7" s="880"/>
      <c r="BM7" s="632"/>
      <c r="BN7" s="632"/>
      <c r="BO7" s="632"/>
      <c r="BP7" s="632"/>
      <c r="BQ7" s="632"/>
      <c r="BR7" s="880"/>
      <c r="BS7" s="880"/>
      <c r="BT7" s="880"/>
      <c r="BU7" s="880"/>
      <c r="BV7" s="880"/>
      <c r="BX7" s="271"/>
    </row>
    <row r="8" spans="2:76" ht="15" customHeight="1">
      <c r="B8" s="1137" t="s">
        <v>267</v>
      </c>
      <c r="C8" s="1138"/>
      <c r="D8" s="1138"/>
      <c r="E8" s="1138"/>
      <c r="F8" s="1138"/>
      <c r="G8" s="1138"/>
      <c r="H8" s="1138"/>
      <c r="I8" s="1138"/>
      <c r="J8" s="1138"/>
      <c r="K8" s="1138"/>
      <c r="L8" s="1138"/>
      <c r="M8" s="1138"/>
      <c r="N8" s="1138"/>
      <c r="O8" s="1138"/>
      <c r="P8" s="1138"/>
      <c r="Q8" s="1138"/>
      <c r="R8" s="1138"/>
      <c r="S8" s="1138"/>
      <c r="T8" s="1138"/>
      <c r="U8" s="1138"/>
      <c r="V8" s="1138"/>
      <c r="W8" s="1138"/>
      <c r="X8" s="1138"/>
      <c r="Y8" s="1138"/>
      <c r="Z8" s="1138"/>
      <c r="AA8" s="1138"/>
      <c r="AB8" s="1139"/>
      <c r="AE8" s="1137" t="s">
        <v>268</v>
      </c>
      <c r="AF8" s="1138"/>
      <c r="AG8" s="1138"/>
      <c r="AH8" s="1138"/>
      <c r="AI8" s="1138"/>
      <c r="AJ8" s="1138"/>
      <c r="AK8" s="1138"/>
      <c r="AL8" s="1138"/>
      <c r="AM8" s="1138"/>
      <c r="AN8" s="1138"/>
      <c r="AO8" s="1138"/>
      <c r="AP8" s="1138"/>
      <c r="AQ8" s="1138"/>
      <c r="AR8" s="1138"/>
      <c r="AS8" s="1138"/>
      <c r="AT8" s="1138"/>
      <c r="AU8" s="1138"/>
      <c r="AV8" s="1138"/>
      <c r="AW8" s="1138"/>
      <c r="AX8" s="1138"/>
      <c r="AY8" s="1138"/>
      <c r="AZ8" s="1138"/>
      <c r="BA8" s="1138"/>
      <c r="BB8" s="1138"/>
      <c r="BC8" s="1138"/>
      <c r="BD8" s="1138"/>
      <c r="BE8" s="1139"/>
      <c r="BI8" s="271" t="s">
        <v>269</v>
      </c>
      <c r="BJ8" s="632"/>
      <c r="BK8" s="880">
        <v>2</v>
      </c>
      <c r="BL8" s="880">
        <v>1</v>
      </c>
      <c r="BM8" s="632"/>
      <c r="BN8" s="632"/>
      <c r="BO8" s="632"/>
      <c r="BP8" s="632"/>
      <c r="BQ8" s="632"/>
      <c r="BR8" s="880"/>
      <c r="BS8" s="880"/>
      <c r="BT8" s="880"/>
      <c r="BU8" s="880"/>
      <c r="BV8" s="880"/>
      <c r="BX8" s="271"/>
    </row>
    <row r="9" spans="2:76" ht="15" customHeight="1">
      <c r="B9" s="1140"/>
      <c r="C9" s="1141"/>
      <c r="D9" s="1141"/>
      <c r="E9" s="1141"/>
      <c r="F9" s="1141"/>
      <c r="G9" s="1141"/>
      <c r="H9" s="1141"/>
      <c r="I9" s="1141"/>
      <c r="J9" s="1141"/>
      <c r="K9" s="1141"/>
      <c r="L9" s="1141"/>
      <c r="M9" s="1141"/>
      <c r="N9" s="1141"/>
      <c r="O9" s="1141"/>
      <c r="P9" s="1141"/>
      <c r="Q9" s="1141"/>
      <c r="R9" s="1141"/>
      <c r="S9" s="1141"/>
      <c r="T9" s="1141"/>
      <c r="U9" s="1141"/>
      <c r="V9" s="1141"/>
      <c r="W9" s="1141"/>
      <c r="X9" s="1141"/>
      <c r="Y9" s="1141"/>
      <c r="Z9" s="1141"/>
      <c r="AA9" s="1141"/>
      <c r="AB9" s="1142"/>
      <c r="AE9" s="1140"/>
      <c r="AF9" s="1141"/>
      <c r="AG9" s="1141"/>
      <c r="AH9" s="1141"/>
      <c r="AI9" s="1141"/>
      <c r="AJ9" s="1141"/>
      <c r="AK9" s="1141"/>
      <c r="AL9" s="1141"/>
      <c r="AM9" s="1141"/>
      <c r="AN9" s="1141"/>
      <c r="AO9" s="1141"/>
      <c r="AP9" s="1141"/>
      <c r="AQ9" s="1141"/>
      <c r="AR9" s="1141"/>
      <c r="AS9" s="1141"/>
      <c r="AT9" s="1141"/>
      <c r="AU9" s="1141"/>
      <c r="AV9" s="1141"/>
      <c r="AW9" s="1141"/>
      <c r="AX9" s="1141"/>
      <c r="AY9" s="1141"/>
      <c r="AZ9" s="1141"/>
      <c r="BA9" s="1141"/>
      <c r="BB9" s="1141"/>
      <c r="BC9" s="1141"/>
      <c r="BD9" s="1141"/>
      <c r="BE9" s="1142"/>
      <c r="BI9" s="271" t="s">
        <v>270</v>
      </c>
      <c r="BJ9" s="632"/>
      <c r="BK9" s="880"/>
      <c r="BL9" s="880"/>
      <c r="BM9" s="632"/>
      <c r="BN9" s="632"/>
      <c r="BO9" s="632"/>
      <c r="BP9" s="632"/>
      <c r="BQ9" s="632"/>
      <c r="BR9" s="880"/>
      <c r="BS9" s="880"/>
      <c r="BT9" s="880"/>
      <c r="BU9" s="880"/>
      <c r="BV9" s="880"/>
      <c r="BX9" s="271"/>
    </row>
    <row r="10" spans="2:76" ht="15" customHeight="1">
      <c r="B10" s="1140"/>
      <c r="C10" s="1141"/>
      <c r="D10" s="1141"/>
      <c r="E10" s="1141"/>
      <c r="F10" s="1141"/>
      <c r="G10" s="1141"/>
      <c r="H10" s="1141"/>
      <c r="I10" s="1141"/>
      <c r="J10" s="1141"/>
      <c r="K10" s="1141"/>
      <c r="L10" s="1141"/>
      <c r="M10" s="1141"/>
      <c r="N10" s="1141"/>
      <c r="O10" s="1141"/>
      <c r="P10" s="1141"/>
      <c r="Q10" s="1141"/>
      <c r="R10" s="1141"/>
      <c r="S10" s="1141"/>
      <c r="T10" s="1141"/>
      <c r="U10" s="1141"/>
      <c r="V10" s="1141"/>
      <c r="W10" s="1141"/>
      <c r="X10" s="1141"/>
      <c r="Y10" s="1141"/>
      <c r="Z10" s="1141"/>
      <c r="AA10" s="1141"/>
      <c r="AB10" s="1142"/>
      <c r="AE10" s="1140"/>
      <c r="AF10" s="1141"/>
      <c r="AG10" s="1141"/>
      <c r="AH10" s="1141"/>
      <c r="AI10" s="1141"/>
      <c r="AJ10" s="1141"/>
      <c r="AK10" s="1141"/>
      <c r="AL10" s="1141"/>
      <c r="AM10" s="1141"/>
      <c r="AN10" s="1141"/>
      <c r="AO10" s="1141"/>
      <c r="AP10" s="1141"/>
      <c r="AQ10" s="1141"/>
      <c r="AR10" s="1141"/>
      <c r="AS10" s="1141"/>
      <c r="AT10" s="1141"/>
      <c r="AU10" s="1141"/>
      <c r="AV10" s="1141"/>
      <c r="AW10" s="1141"/>
      <c r="AX10" s="1141"/>
      <c r="AY10" s="1141"/>
      <c r="AZ10" s="1141"/>
      <c r="BA10" s="1141"/>
      <c r="BB10" s="1141"/>
      <c r="BC10" s="1141"/>
      <c r="BD10" s="1141"/>
      <c r="BE10" s="1142"/>
      <c r="BI10" s="271" t="s">
        <v>271</v>
      </c>
      <c r="BJ10" s="632"/>
      <c r="BK10" s="880"/>
      <c r="BL10" s="880"/>
      <c r="BM10" s="632"/>
      <c r="BN10" s="632"/>
      <c r="BO10" s="632"/>
      <c r="BP10" s="632"/>
      <c r="BQ10" s="632"/>
      <c r="BR10" s="880"/>
      <c r="BS10" s="880"/>
      <c r="BT10" s="880"/>
      <c r="BU10" s="880"/>
      <c r="BV10" s="880"/>
      <c r="BX10" s="271"/>
    </row>
    <row r="11" spans="2:76" ht="15" customHeight="1">
      <c r="B11" s="1143"/>
      <c r="C11" s="1144"/>
      <c r="D11" s="1144"/>
      <c r="E11" s="1144"/>
      <c r="F11" s="1144"/>
      <c r="G11" s="1144"/>
      <c r="H11" s="1144"/>
      <c r="I11" s="1144"/>
      <c r="J11" s="1144"/>
      <c r="K11" s="1144"/>
      <c r="L11" s="1144"/>
      <c r="M11" s="1144"/>
      <c r="N11" s="1144"/>
      <c r="O11" s="1144"/>
      <c r="P11" s="1144"/>
      <c r="Q11" s="1144"/>
      <c r="R11" s="1144"/>
      <c r="S11" s="1144"/>
      <c r="T11" s="1144"/>
      <c r="U11" s="1144"/>
      <c r="V11" s="1144"/>
      <c r="W11" s="1144"/>
      <c r="X11" s="1144"/>
      <c r="Y11" s="1144"/>
      <c r="Z11" s="1144"/>
      <c r="AA11" s="1144"/>
      <c r="AB11" s="1145"/>
      <c r="AE11" s="1143"/>
      <c r="AF11" s="1144"/>
      <c r="AG11" s="1144"/>
      <c r="AH11" s="1144"/>
      <c r="AI11" s="1144"/>
      <c r="AJ11" s="1144"/>
      <c r="AK11" s="1144"/>
      <c r="AL11" s="1144"/>
      <c r="AM11" s="1144"/>
      <c r="AN11" s="1144"/>
      <c r="AO11" s="1144"/>
      <c r="AP11" s="1144"/>
      <c r="AQ11" s="1144"/>
      <c r="AR11" s="1144"/>
      <c r="AS11" s="1144"/>
      <c r="AT11" s="1144"/>
      <c r="AU11" s="1144"/>
      <c r="AV11" s="1144"/>
      <c r="AW11" s="1144"/>
      <c r="AX11" s="1144"/>
      <c r="AY11" s="1144"/>
      <c r="AZ11" s="1144"/>
      <c r="BA11" s="1144"/>
      <c r="BB11" s="1144"/>
      <c r="BC11" s="1144"/>
      <c r="BD11" s="1144"/>
      <c r="BE11" s="1145"/>
      <c r="BI11" s="271" t="s">
        <v>272</v>
      </c>
      <c r="BJ11" s="632"/>
      <c r="BK11" s="880"/>
      <c r="BL11" s="880"/>
      <c r="BM11" s="632"/>
      <c r="BN11" s="632"/>
      <c r="BO11" s="632"/>
      <c r="BP11" s="632"/>
      <c r="BQ11" s="632"/>
      <c r="BR11" s="880"/>
      <c r="BS11" s="880"/>
      <c r="BT11" s="880"/>
      <c r="BU11" s="880"/>
      <c r="BV11" s="880"/>
      <c r="BX11" s="271"/>
    </row>
    <row r="12" spans="2:76" ht="15" customHeight="1">
      <c r="BI12" s="271" t="s">
        <v>273</v>
      </c>
      <c r="BJ12" s="632"/>
      <c r="BK12" s="880"/>
      <c r="BL12" s="880"/>
      <c r="BM12" s="632"/>
      <c r="BN12" s="632"/>
      <c r="BO12" s="632"/>
      <c r="BP12" s="632"/>
      <c r="BQ12" s="632"/>
      <c r="BR12" s="880"/>
      <c r="BS12" s="880"/>
      <c r="BT12" s="880"/>
      <c r="BU12" s="880"/>
      <c r="BV12" s="880"/>
      <c r="BX12" s="271"/>
    </row>
    <row r="13" spans="2:76" ht="15" customHeight="1">
      <c r="B13" s="531" t="s">
        <v>14</v>
      </c>
      <c r="C13" s="533"/>
      <c r="D13" s="533"/>
      <c r="E13" s="533"/>
      <c r="F13" s="532"/>
      <c r="G13" s="532"/>
      <c r="H13" s="532"/>
      <c r="I13" s="532"/>
      <c r="J13" s="532"/>
      <c r="K13" s="532"/>
      <c r="L13" s="532"/>
      <c r="M13" s="532"/>
      <c r="N13" s="532"/>
      <c r="O13" s="532"/>
      <c r="P13" s="532"/>
      <c r="Q13" s="532"/>
      <c r="R13" s="532"/>
      <c r="S13" s="532"/>
      <c r="T13" s="532"/>
      <c r="U13" s="532"/>
      <c r="V13" s="532"/>
      <c r="W13" s="532"/>
      <c r="X13" s="532"/>
      <c r="Y13" s="532"/>
      <c r="Z13" s="532"/>
      <c r="AA13" s="532"/>
      <c r="AB13" s="532"/>
      <c r="AE13" s="534" t="s">
        <v>59</v>
      </c>
      <c r="AF13" s="535"/>
      <c r="AG13" s="536"/>
      <c r="AH13" s="537"/>
      <c r="AI13" s="538"/>
      <c r="AJ13" s="538"/>
      <c r="AK13" s="538"/>
      <c r="AL13" s="538"/>
      <c r="AM13" s="538"/>
      <c r="AN13" s="538"/>
      <c r="AO13" s="538"/>
      <c r="AP13" s="538"/>
      <c r="AQ13" s="538"/>
      <c r="AR13" s="538"/>
      <c r="AS13" s="538"/>
      <c r="AT13" s="538"/>
      <c r="AU13" s="538"/>
      <c r="AV13" s="538"/>
      <c r="AW13" s="538"/>
      <c r="AX13" s="538"/>
      <c r="AY13" s="538"/>
      <c r="AZ13" s="538"/>
      <c r="BA13" s="538"/>
      <c r="BB13" s="538"/>
      <c r="BC13" s="538"/>
      <c r="BD13" s="538"/>
      <c r="BE13" s="538"/>
      <c r="BI13" s="271" t="s">
        <v>274</v>
      </c>
      <c r="BJ13" s="632"/>
      <c r="BK13" s="880"/>
      <c r="BL13" s="880"/>
      <c r="BM13" s="634"/>
      <c r="BN13" s="632"/>
      <c r="BO13" s="632"/>
      <c r="BP13" s="632"/>
      <c r="BQ13" s="635"/>
      <c r="BR13" s="880"/>
      <c r="BS13" s="880"/>
      <c r="BT13" s="880"/>
      <c r="BU13" s="880"/>
      <c r="BV13" s="880"/>
      <c r="BX13" s="271"/>
    </row>
    <row r="14" spans="2:76" ht="15" customHeight="1">
      <c r="B14" s="302"/>
      <c r="C14" s="302"/>
      <c r="D14" s="302"/>
      <c r="E14" s="302"/>
      <c r="F14" s="302"/>
      <c r="G14" s="302"/>
      <c r="H14" s="302"/>
      <c r="I14" s="303"/>
      <c r="J14" s="303"/>
      <c r="K14" s="304"/>
      <c r="L14" s="302"/>
      <c r="M14" s="302"/>
      <c r="N14" s="305"/>
      <c r="O14" s="302"/>
      <c r="P14" s="302"/>
      <c r="Q14" s="302"/>
      <c r="R14" s="302"/>
      <c r="S14" s="302"/>
      <c r="T14" s="302"/>
      <c r="U14" s="302"/>
      <c r="V14" s="1132"/>
      <c r="W14" s="1132"/>
      <c r="X14" s="302"/>
      <c r="Y14" s="302"/>
      <c r="Z14" s="302"/>
      <c r="AA14" s="302"/>
      <c r="AB14" s="302"/>
      <c r="AE14" s="306"/>
      <c r="AF14" s="302"/>
      <c r="AG14" s="302"/>
      <c r="AH14" s="302"/>
      <c r="AI14" s="302"/>
      <c r="AJ14" s="302"/>
      <c r="AK14" s="307"/>
      <c r="AL14" s="307"/>
      <c r="AM14" s="307"/>
      <c r="AN14" s="307"/>
      <c r="AO14" s="308"/>
      <c r="AP14" s="309"/>
      <c r="AQ14" s="309"/>
      <c r="AR14" s="309"/>
      <c r="AS14" s="307"/>
      <c r="AT14" s="308"/>
      <c r="AU14" s="307"/>
      <c r="AV14" s="307"/>
      <c r="AW14" s="307"/>
      <c r="AX14" s="302"/>
      <c r="AY14" s="302"/>
      <c r="AZ14" s="302"/>
      <c r="BA14" s="302"/>
      <c r="BB14" s="302"/>
      <c r="BC14" s="302"/>
      <c r="BD14" s="302"/>
      <c r="BE14" s="302"/>
      <c r="BI14" s="271" t="s">
        <v>41</v>
      </c>
      <c r="BJ14" s="275">
        <f>SUM(BJ6:BJ13)</f>
        <v>25</v>
      </c>
      <c r="BK14" s="275">
        <f t="shared" ref="BK14:BO14" si="1">SUM(BK6:BK13)</f>
        <v>27</v>
      </c>
      <c r="BL14" s="275">
        <f t="shared" si="1"/>
        <v>28</v>
      </c>
      <c r="BM14" s="275">
        <f>SUM(BM6:BM13)</f>
        <v>28</v>
      </c>
      <c r="BN14" s="275">
        <f t="shared" si="1"/>
        <v>28</v>
      </c>
      <c r="BO14" s="275">
        <f t="shared" si="1"/>
        <v>28</v>
      </c>
      <c r="BP14" s="275">
        <f t="shared" ref="BP14:BV14" si="2">SUM(BP6:BP13)</f>
        <v>28</v>
      </c>
      <c r="BQ14" s="275">
        <f t="shared" si="2"/>
        <v>28</v>
      </c>
      <c r="BR14" s="275">
        <f t="shared" si="2"/>
        <v>28</v>
      </c>
      <c r="BS14" s="275">
        <f t="shared" si="2"/>
        <v>28</v>
      </c>
      <c r="BT14" s="275">
        <f t="shared" si="2"/>
        <v>28</v>
      </c>
      <c r="BU14" s="275">
        <f t="shared" si="2"/>
        <v>28</v>
      </c>
      <c r="BV14" s="275">
        <f t="shared" si="2"/>
        <v>28</v>
      </c>
      <c r="BX14" s="271"/>
    </row>
    <row r="15" spans="2:76" ht="15" customHeight="1">
      <c r="B15" s="1128" t="s">
        <v>185</v>
      </c>
      <c r="C15" s="1128"/>
      <c r="D15" s="1128"/>
      <c r="E15" s="1128"/>
      <c r="F15" s="1128"/>
      <c r="G15" s="1128"/>
      <c r="I15" s="1128" t="s">
        <v>275</v>
      </c>
      <c r="J15" s="1134"/>
      <c r="K15" s="1134"/>
      <c r="L15" s="1134"/>
      <c r="M15" s="1134"/>
      <c r="N15" s="1134"/>
      <c r="O15" s="1134"/>
      <c r="P15" s="1134"/>
      <c r="Q15" s="1134"/>
      <c r="R15" s="1134"/>
      <c r="S15" s="1134"/>
      <c r="T15" s="1134"/>
      <c r="U15" s="1134"/>
      <c r="V15" s="1134"/>
      <c r="W15" s="310"/>
      <c r="X15" s="1135" t="s">
        <v>276</v>
      </c>
      <c r="Y15" s="1136"/>
      <c r="Z15" s="1136"/>
      <c r="AA15" s="1136"/>
      <c r="AB15" s="1136"/>
      <c r="AE15" s="1128" t="s">
        <v>277</v>
      </c>
      <c r="AF15" s="1128"/>
      <c r="AG15" s="1128"/>
      <c r="AH15" s="1128"/>
      <c r="AI15" s="1128"/>
      <c r="AJ15" s="1128"/>
      <c r="AK15" s="311"/>
      <c r="AL15" s="1129" t="s">
        <v>62</v>
      </c>
      <c r="AM15" s="1129"/>
      <c r="AN15" s="1129"/>
      <c r="AO15" s="1129"/>
      <c r="AP15" s="1128" t="str">
        <f>CONCATENATE(Cover!M36,"+",12-Cover!M36)</f>
        <v>1+11</v>
      </c>
      <c r="AQ15" s="1128"/>
      <c r="AR15" s="311"/>
      <c r="AS15" s="1128" t="s">
        <v>278</v>
      </c>
      <c r="AT15" s="1128"/>
      <c r="AU15" s="1128"/>
      <c r="AV15" s="1128"/>
      <c r="AW15" s="1128"/>
      <c r="AX15" s="1128"/>
      <c r="AY15" s="311"/>
      <c r="AZ15" s="1128" t="s">
        <v>279</v>
      </c>
      <c r="BA15" s="1128"/>
      <c r="BB15" s="1128"/>
      <c r="BC15" s="1128"/>
      <c r="BD15" s="1128"/>
      <c r="BE15" s="1128"/>
      <c r="BV15" s="37"/>
    </row>
    <row r="16" spans="2:76" ht="15" customHeight="1">
      <c r="E16" s="312" t="s">
        <v>263</v>
      </c>
      <c r="G16" s="313">
        <f>SUMIF(BJ4:BV4,BE5,BJ6:BV6)</f>
        <v>25</v>
      </c>
      <c r="I16" s="1112" t="s">
        <v>280</v>
      </c>
      <c r="J16" s="1113"/>
      <c r="K16" s="1113"/>
      <c r="L16" s="1114"/>
      <c r="N16" s="1112" t="s">
        <v>281</v>
      </c>
      <c r="O16" s="1113"/>
      <c r="P16" s="1113"/>
      <c r="Q16" s="1114"/>
      <c r="S16" s="1112" t="s">
        <v>282</v>
      </c>
      <c r="T16" s="1113"/>
      <c r="U16" s="1113"/>
      <c r="V16" s="1114"/>
      <c r="X16" s="314" t="s">
        <v>283</v>
      </c>
      <c r="Y16" s="315"/>
      <c r="Z16" s="316"/>
      <c r="AA16" s="314"/>
      <c r="AB16" s="314"/>
      <c r="AE16" s="311"/>
      <c r="AF16" s="311"/>
      <c r="AG16" s="311"/>
      <c r="AI16" s="311"/>
      <c r="AJ16" s="103" t="s">
        <v>61</v>
      </c>
      <c r="AK16" s="311"/>
      <c r="AL16" s="311"/>
      <c r="AM16" s="311"/>
      <c r="AN16" s="311"/>
      <c r="AO16" s="311"/>
      <c r="AP16" s="311"/>
      <c r="AQ16" s="311"/>
      <c r="AR16" s="311"/>
      <c r="AS16" s="311"/>
      <c r="AT16" s="311"/>
      <c r="AU16" s="311"/>
      <c r="AV16" s="311"/>
      <c r="AW16" s="311"/>
      <c r="AX16" s="311"/>
      <c r="AY16" s="311"/>
      <c r="AZ16" s="311"/>
      <c r="BA16" s="311"/>
      <c r="BB16" s="311"/>
      <c r="BC16" s="311"/>
      <c r="BD16" s="311"/>
      <c r="BE16" s="311"/>
      <c r="BI16" s="271" t="s">
        <v>284</v>
      </c>
      <c r="BJ16" s="635">
        <v>3</v>
      </c>
      <c r="BK16" s="635">
        <v>1</v>
      </c>
      <c r="BL16" s="635"/>
      <c r="BM16" s="635"/>
      <c r="BN16" s="635"/>
      <c r="BO16" s="635"/>
      <c r="BP16" s="635"/>
      <c r="BQ16" s="635"/>
      <c r="BR16" s="635"/>
      <c r="BS16" s="635"/>
      <c r="BT16" s="635"/>
      <c r="BU16" s="635"/>
      <c r="BV16" s="635"/>
    </row>
    <row r="17" spans="2:81" ht="15" customHeight="1">
      <c r="E17" s="312" t="s">
        <v>285</v>
      </c>
      <c r="G17" s="313">
        <f>V20</f>
        <v>2</v>
      </c>
      <c r="I17" s="317"/>
      <c r="J17" s="312" t="s">
        <v>266</v>
      </c>
      <c r="K17" s="313">
        <f>SUMIF(BJ4:BV4,BE5,BJ7:BV7)</f>
        <v>0</v>
      </c>
      <c r="L17" s="318"/>
      <c r="N17" s="317"/>
      <c r="O17" s="312" t="s">
        <v>286</v>
      </c>
      <c r="P17" s="313">
        <f>SUMIF(BJ4:BV4,BE5,BJ9:BV9)</f>
        <v>0</v>
      </c>
      <c r="Q17" s="318"/>
      <c r="S17" s="317"/>
      <c r="T17" s="312" t="s">
        <v>286</v>
      </c>
      <c r="U17" s="313">
        <f>SUMIF(BJ4:BV4,BE5,BJ11:BV11)</f>
        <v>0</v>
      </c>
      <c r="V17" s="319"/>
      <c r="X17" s="314" t="s">
        <v>287</v>
      </c>
      <c r="Y17" s="315"/>
      <c r="Z17" s="316"/>
      <c r="AA17" s="314">
        <f>SUMIF(Admin4!$B$5:$B$298,"7974",Admin4!$C$5:$C$298)</f>
        <v>0</v>
      </c>
      <c r="AB17" s="314"/>
      <c r="AE17" s="311"/>
      <c r="AF17" s="311"/>
      <c r="AG17" s="311"/>
      <c r="AI17" s="311"/>
      <c r="AJ17" s="320" t="s">
        <v>63</v>
      </c>
      <c r="AK17" s="311"/>
      <c r="AL17" s="311"/>
      <c r="AM17" s="311"/>
      <c r="AN17" s="1127">
        <f>SUMIF(Admin3!C8:O8,AR!BE5,Admin3!C43:O43)</f>
        <v>0</v>
      </c>
      <c r="AO17" s="1127"/>
      <c r="AP17" s="1127"/>
      <c r="AQ17" s="1127"/>
      <c r="AR17" s="311"/>
      <c r="AS17" s="311"/>
      <c r="AT17" s="311"/>
      <c r="AU17" s="1127">
        <f>SUMIF(Admin3!C8:O8,AR!BE5,Admin3!C47:O47)-SUMIF(Admin3!C8:O8,AR!BE5,Admin3!C43:O43)</f>
        <v>0</v>
      </c>
      <c r="AV17" s="1127"/>
      <c r="AW17" s="1127"/>
      <c r="AX17" s="1127"/>
      <c r="AY17" s="311"/>
      <c r="AZ17" s="311"/>
      <c r="BA17" s="311"/>
      <c r="BB17" s="1127">
        <f>SUMIF(Admin3!C8:O8,AR!BE5,Admin3!C51:O51)-SUMIF(Admin3!C8:O8,AR!BE5,Admin3!C43:O43)</f>
        <v>0</v>
      </c>
      <c r="BC17" s="1127"/>
      <c r="BD17" s="1127"/>
      <c r="BE17" s="1127"/>
      <c r="BI17" s="291"/>
      <c r="BJ17" s="257"/>
      <c r="BK17" s="257"/>
      <c r="BL17" s="257"/>
      <c r="BM17" s="257"/>
      <c r="BN17" s="257"/>
      <c r="BO17" s="257"/>
      <c r="BP17" s="257"/>
      <c r="BQ17" s="257"/>
      <c r="BR17" s="257"/>
      <c r="BS17" s="257"/>
      <c r="BT17" s="257"/>
      <c r="BU17" s="252"/>
      <c r="BV17" s="252"/>
    </row>
    <row r="18" spans="2:81" ht="15" customHeight="1">
      <c r="E18" s="312" t="s">
        <v>240</v>
      </c>
      <c r="G18" s="313">
        <f>SUMIF(BJ4:BV4,BE5,BJ13:BV13)</f>
        <v>0</v>
      </c>
      <c r="I18" s="321"/>
      <c r="J18" s="322" t="s">
        <v>288</v>
      </c>
      <c r="K18" s="323">
        <f>SUMIF(BJ4:BV4,BE5,BJ8:BV8)</f>
        <v>2</v>
      </c>
      <c r="L18" s="324"/>
      <c r="N18" s="321"/>
      <c r="O18" s="322" t="s">
        <v>289</v>
      </c>
      <c r="P18" s="323">
        <f>SUMIF(BJ4:BV4,BE5,BJ10:BV10)</f>
        <v>0</v>
      </c>
      <c r="Q18" s="324"/>
      <c r="S18" s="321"/>
      <c r="T18" s="322" t="s">
        <v>289</v>
      </c>
      <c r="U18" s="323">
        <f>SUMIF(BJ4:BV4,BE5,BJ12:BV12)</f>
        <v>0</v>
      </c>
      <c r="V18" s="325"/>
      <c r="X18" s="314"/>
      <c r="Y18" s="315"/>
      <c r="Z18" s="316"/>
      <c r="AA18" s="314"/>
      <c r="AB18" s="314"/>
      <c r="AE18" s="311"/>
      <c r="AF18" s="311"/>
      <c r="AG18" s="311"/>
      <c r="AH18" s="311"/>
      <c r="AI18" s="326"/>
      <c r="AJ18" s="320" t="s">
        <v>64</v>
      </c>
      <c r="AK18" s="311"/>
      <c r="AL18" s="311"/>
      <c r="AM18" s="311"/>
      <c r="AN18" s="1127">
        <f>SUMIF(Admin3!C8:O8,AR!BE5,Admin3!C44:O44)</f>
        <v>0</v>
      </c>
      <c r="AO18" s="1127"/>
      <c r="AP18" s="1127"/>
      <c r="AQ18" s="1127"/>
      <c r="AR18" s="311"/>
      <c r="AS18" s="311"/>
      <c r="AT18" s="311"/>
      <c r="AU18" s="1127">
        <f>SUMIF(Admin3!C8:O8,AR!BE5,Admin3!C48:O48)-SUMIF(Admin3!C8:O8,AR!BE5,Admin3!C44:O44)</f>
        <v>0</v>
      </c>
      <c r="AV18" s="1127"/>
      <c r="AW18" s="1127"/>
      <c r="AX18" s="1127"/>
      <c r="AY18" s="311"/>
      <c r="AZ18" s="311"/>
      <c r="BA18" s="311"/>
      <c r="BB18" s="1127">
        <f>SUMIF(Admin3!C8:O8,AR!BE5,Admin3!C52:O52)-SUMIF(Admin3!C8:O8,AR!BE5,Admin3!C44:O44)</f>
        <v>0</v>
      </c>
      <c r="BC18" s="1127"/>
      <c r="BD18" s="1127"/>
      <c r="BE18" s="1127"/>
    </row>
    <row r="19" spans="2:81" ht="15" customHeight="1" thickBot="1">
      <c r="E19" s="312" t="s">
        <v>41</v>
      </c>
      <c r="G19" s="327">
        <f>SUM(G16:G18)</f>
        <v>27</v>
      </c>
      <c r="I19" s="326"/>
      <c r="J19" s="326"/>
      <c r="K19" s="326"/>
      <c r="L19" s="326"/>
      <c r="M19" s="326"/>
      <c r="N19" s="326"/>
      <c r="O19" s="326"/>
      <c r="P19" s="326"/>
      <c r="Q19" s="326"/>
      <c r="R19" s="326"/>
      <c r="S19" s="326"/>
      <c r="T19" s="326"/>
      <c r="U19" s="326"/>
      <c r="V19" s="326"/>
      <c r="W19" s="326"/>
      <c r="X19" s="314" t="s">
        <v>290</v>
      </c>
      <c r="Y19" s="315"/>
      <c r="Z19" s="316"/>
      <c r="AA19" s="328"/>
      <c r="AB19" s="328"/>
      <c r="AE19" s="311"/>
      <c r="AF19" s="311"/>
      <c r="AG19" s="311"/>
      <c r="AH19" s="311"/>
      <c r="AJ19" s="320" t="s">
        <v>65</v>
      </c>
      <c r="AN19" s="1152">
        <f>SUM(AN17:AQ18)</f>
        <v>0</v>
      </c>
      <c r="AO19" s="1152"/>
      <c r="AP19" s="1152"/>
      <c r="AQ19" s="1152"/>
      <c r="AU19" s="1152">
        <f>SUM(AU17:AX18)</f>
        <v>0</v>
      </c>
      <c r="AV19" s="1152"/>
      <c r="AW19" s="1152"/>
      <c r="AX19" s="1152"/>
      <c r="BB19" s="1152">
        <f>SUM(BB17:BE18)</f>
        <v>0</v>
      </c>
      <c r="BC19" s="1152"/>
      <c r="BD19" s="1152"/>
      <c r="BE19" s="1152"/>
    </row>
    <row r="20" spans="2:81" ht="15" customHeight="1" thickTop="1" thickBot="1">
      <c r="B20" s="267"/>
      <c r="C20" s="267"/>
      <c r="D20" s="267"/>
      <c r="E20" s="312" t="s">
        <v>39</v>
      </c>
      <c r="G20" s="313">
        <f t="array" ref="G20">SUM(IF((Admin2!$C$6:$O$6=BE5)*(Admin2!$Q$9:$Q$83=BI2)*(Admin2!$B$9:$B$83="Annual Plan"),Admin2!$C$9:$O$83,0))</f>
        <v>28</v>
      </c>
      <c r="H20" s="326"/>
      <c r="I20" s="37" t="s">
        <v>284</v>
      </c>
      <c r="K20" s="326"/>
      <c r="L20" s="326"/>
      <c r="M20" s="329">
        <f>SUMIF(BJ4:BV4,BE5,BJ16:BV16)</f>
        <v>1</v>
      </c>
      <c r="T20" s="330" t="s">
        <v>291</v>
      </c>
      <c r="U20" s="326"/>
      <c r="V20" s="329">
        <f>SUM(K17:K18,P17:P18,U17:U18)</f>
        <v>2</v>
      </c>
      <c r="X20" s="314" t="s">
        <v>287</v>
      </c>
      <c r="Y20" s="315"/>
      <c r="Z20" s="316"/>
      <c r="AA20" s="314">
        <f>SUMIF(Admin4!$B$5:$B$298,"7974",Admin4!$D$5:$D$298)</f>
        <v>0</v>
      </c>
      <c r="AB20" s="314"/>
      <c r="AC20" s="326"/>
      <c r="AD20" s="326"/>
      <c r="AE20" s="305"/>
      <c r="AF20" s="305"/>
      <c r="AG20" s="305"/>
      <c r="AH20" s="305"/>
      <c r="BI20" s="272" t="s">
        <v>245</v>
      </c>
      <c r="BJ20" s="276"/>
      <c r="BK20" s="276"/>
      <c r="BL20" s="276"/>
      <c r="BM20" s="276"/>
      <c r="BN20" s="276"/>
      <c r="BO20" s="276"/>
      <c r="BP20" s="276"/>
      <c r="BQ20" s="276"/>
      <c r="BR20" s="276"/>
      <c r="BS20" s="276"/>
      <c r="BT20" s="276"/>
      <c r="BU20" s="276"/>
    </row>
    <row r="21" spans="2:81" ht="15" customHeight="1" thickTop="1" thickBot="1">
      <c r="B21" s="267"/>
      <c r="C21" s="267"/>
      <c r="D21" s="267"/>
      <c r="E21" s="312" t="s">
        <v>40</v>
      </c>
      <c r="F21" s="326"/>
      <c r="G21" s="327">
        <f t="array" ref="G21">SUM(IF((Admin2!$C$6:$O$6=BE5)*(Admin2!$Q$9:$Q$61=BI2)*(Admin2!$B$9:$B$61="Forecast"),Admin2!$C$9:$O$61,0))</f>
        <v>28</v>
      </c>
      <c r="H21" s="326"/>
      <c r="X21" s="314"/>
      <c r="Y21" s="315"/>
      <c r="Z21" s="316"/>
      <c r="AA21" s="314"/>
      <c r="AB21" s="314"/>
      <c r="AE21" s="302"/>
      <c r="AF21" s="302"/>
      <c r="AG21" s="302"/>
      <c r="AH21" s="302"/>
      <c r="AI21" s="311"/>
      <c r="AJ21" s="103" t="s">
        <v>23</v>
      </c>
      <c r="AK21" s="311"/>
      <c r="AL21" s="311"/>
      <c r="AM21" s="311"/>
      <c r="AN21" s="311"/>
      <c r="AO21" s="311"/>
      <c r="AP21" s="311"/>
      <c r="AQ21" s="311"/>
      <c r="AR21" s="311"/>
      <c r="AS21" s="311"/>
      <c r="AT21" s="311"/>
      <c r="AU21" s="311"/>
      <c r="AV21" s="311"/>
      <c r="AW21" s="311"/>
      <c r="AX21" s="311"/>
      <c r="AY21" s="311"/>
      <c r="AZ21" s="311"/>
      <c r="BA21" s="311"/>
      <c r="BB21" s="311"/>
      <c r="BC21" s="311"/>
      <c r="BD21" s="311"/>
      <c r="BE21" s="311"/>
      <c r="BI21" s="54" t="s">
        <v>292</v>
      </c>
      <c r="BJ21" s="1116" t="s">
        <v>293</v>
      </c>
      <c r="BK21" s="1116"/>
      <c r="BL21" s="1116"/>
      <c r="BM21" s="1116"/>
      <c r="BN21" s="1116"/>
      <c r="BO21" s="1116"/>
      <c r="BP21" s="1116"/>
      <c r="BQ21" s="1116"/>
      <c r="BR21" s="1116"/>
      <c r="BS21" s="1116"/>
      <c r="BT21" s="1116"/>
      <c r="BU21" s="1116"/>
    </row>
    <row r="22" spans="2:81" ht="15" customHeight="1" thickTop="1" thickBot="1">
      <c r="B22" s="267"/>
      <c r="C22" s="267"/>
      <c r="D22" s="267"/>
      <c r="E22" s="312" t="s">
        <v>294</v>
      </c>
      <c r="F22" s="326"/>
      <c r="G22" s="327">
        <f>$G$20-$G$19</f>
        <v>1</v>
      </c>
      <c r="H22" s="326"/>
      <c r="K22" s="326"/>
      <c r="L22" s="326"/>
      <c r="U22" s="326"/>
      <c r="V22" s="326"/>
      <c r="W22" s="326"/>
      <c r="X22" s="314" t="s">
        <v>295</v>
      </c>
      <c r="Y22" s="315"/>
      <c r="Z22" s="316"/>
      <c r="AA22" s="328"/>
      <c r="AB22" s="331"/>
      <c r="AE22" s="302"/>
      <c r="AF22" s="302"/>
      <c r="AG22" s="302"/>
      <c r="AH22" s="302"/>
      <c r="AI22" s="311"/>
      <c r="AJ22" s="320" t="s">
        <v>63</v>
      </c>
      <c r="AK22" s="311"/>
      <c r="AL22" s="311"/>
      <c r="AM22" s="311"/>
      <c r="AN22" s="1127">
        <f>SUMIF(Admin3!C8:O8,AR!BE5,Admin3!C56:O56)</f>
        <v>0</v>
      </c>
      <c r="AO22" s="1127"/>
      <c r="AP22" s="1127"/>
      <c r="AQ22" s="1127"/>
      <c r="AR22" s="311"/>
      <c r="AS22" s="311"/>
      <c r="AT22" s="311"/>
      <c r="AU22" s="1127">
        <f>SUMIF(Admin3!C8:O8,AR!BE5,Admin3!C60:O60)-SUMIF(Admin3!C8:O8,AR!BE5,Admin3!C56:O56)</f>
        <v>0</v>
      </c>
      <c r="AV22" s="1127"/>
      <c r="AW22" s="1127"/>
      <c r="AX22" s="1127"/>
      <c r="AY22" s="311"/>
      <c r="AZ22" s="311"/>
      <c r="BA22" s="311"/>
      <c r="BB22" s="1127">
        <f>SUMIF(Admin3!C8:O8,AR!BE5,Admin3!C64:O64)-SUMIF(Admin3!C8:O8,AR!BE5,Admin3!C56:O56)</f>
        <v>0</v>
      </c>
      <c r="BC22" s="1127"/>
      <c r="BD22" s="1127"/>
      <c r="BE22" s="1127"/>
      <c r="BI22" s="54" t="s">
        <v>296</v>
      </c>
      <c r="BJ22" s="1233" t="s">
        <v>297</v>
      </c>
      <c r="BK22" s="1233"/>
      <c r="BL22" s="1233"/>
      <c r="BM22" s="1233"/>
      <c r="BN22" s="1233"/>
      <c r="BO22" s="1233"/>
      <c r="BP22" s="1233"/>
      <c r="BQ22" s="1233"/>
      <c r="BR22" s="1233"/>
      <c r="BS22" s="1233"/>
      <c r="BT22" s="1233"/>
      <c r="BU22" s="1233"/>
    </row>
    <row r="23" spans="2:81" ht="15" customHeight="1" thickTop="1" thickBot="1">
      <c r="B23" s="267"/>
      <c r="C23" s="267"/>
      <c r="D23" s="267"/>
      <c r="E23" s="312" t="s">
        <v>298</v>
      </c>
      <c r="F23" s="326"/>
      <c r="G23" s="327">
        <f>$G$21-$G$19</f>
        <v>1</v>
      </c>
      <c r="H23" s="326"/>
      <c r="I23" s="96"/>
      <c r="J23" s="96"/>
      <c r="K23" s="326"/>
      <c r="L23" s="326"/>
      <c r="U23" s="326"/>
      <c r="V23" s="326"/>
      <c r="W23" s="326"/>
      <c r="X23" s="314" t="s">
        <v>299</v>
      </c>
      <c r="Y23" s="315"/>
      <c r="Z23" s="316"/>
      <c r="AA23" s="314">
        <f>SUMIF(Admin4!$L$5:$L$298,"7974",Admin4!$N$5:$N$298)</f>
        <v>0</v>
      </c>
      <c r="AB23" s="331"/>
      <c r="AE23" s="302"/>
      <c r="AF23" s="302"/>
      <c r="AG23" s="302"/>
      <c r="AH23" s="302"/>
      <c r="AI23" s="302"/>
      <c r="AJ23" s="320" t="s">
        <v>64</v>
      </c>
      <c r="AK23" s="311"/>
      <c r="AL23" s="311"/>
      <c r="AM23" s="311"/>
      <c r="AN23" s="1127">
        <f>SUMIF(Admin3!C8:O8,AR!BE5,Admin3!C57:O57)</f>
        <v>0</v>
      </c>
      <c r="AO23" s="1127"/>
      <c r="AP23" s="1127"/>
      <c r="AQ23" s="1127"/>
      <c r="AR23" s="311"/>
      <c r="AS23" s="311"/>
      <c r="AT23" s="311"/>
      <c r="AU23" s="1127">
        <f>SUMIF(Admin3!C8:O8,AR!BE5,Admin3!C61:O61)-SUMIF(Admin3!C8:O8,AR!BE5,Admin3!C57:O57)</f>
        <v>0</v>
      </c>
      <c r="AV23" s="1127"/>
      <c r="AW23" s="1127"/>
      <c r="AX23" s="1127"/>
      <c r="AY23" s="311"/>
      <c r="AZ23" s="311"/>
      <c r="BA23" s="311"/>
      <c r="BB23" s="1127">
        <f>SUMIF(Admin3!C8:O8,AR!BE5,Admin3!C65:O65)-SUMIF(Admin3!C8:O8,AR!BE5,Admin3!C57:O57)</f>
        <v>0</v>
      </c>
      <c r="BC23" s="1127"/>
      <c r="BD23" s="1127"/>
      <c r="BE23" s="1127"/>
      <c r="BI23" s="54" t="s">
        <v>300</v>
      </c>
      <c r="BJ23" s="1233" t="s">
        <v>293</v>
      </c>
      <c r="BK23" s="1233"/>
      <c r="BL23" s="1233"/>
      <c r="BM23" s="1233"/>
      <c r="BN23" s="1233"/>
      <c r="BO23" s="1233"/>
      <c r="BP23" s="1233"/>
      <c r="BQ23" s="1233"/>
      <c r="BR23" s="1233"/>
      <c r="BS23" s="1233"/>
      <c r="BT23" s="1233"/>
      <c r="BU23" s="1233"/>
    </row>
    <row r="24" spans="2:81" ht="15" customHeight="1" thickTop="1" thickBot="1">
      <c r="B24" s="267"/>
      <c r="C24" s="267"/>
      <c r="D24" s="267"/>
      <c r="E24" s="312"/>
      <c r="F24" s="326"/>
      <c r="G24" s="95"/>
      <c r="H24" s="326"/>
      <c r="I24" s="96"/>
      <c r="J24" s="96"/>
      <c r="K24" s="326"/>
      <c r="L24" s="326"/>
      <c r="U24" s="326"/>
      <c r="V24" s="326"/>
      <c r="W24" s="326"/>
      <c r="X24" s="239"/>
      <c r="Y24" s="239"/>
      <c r="Z24" s="240"/>
      <c r="AA24" s="239"/>
      <c r="AB24" s="241"/>
      <c r="AE24" s="302"/>
      <c r="AF24" s="302"/>
      <c r="AG24" s="302"/>
      <c r="AH24" s="302"/>
      <c r="AI24" s="302"/>
      <c r="AJ24" s="320" t="s">
        <v>65</v>
      </c>
      <c r="AK24" s="311"/>
      <c r="AL24" s="311"/>
      <c r="AM24" s="311"/>
      <c r="AN24" s="1152">
        <f>SUM(AN22:AQ23)</f>
        <v>0</v>
      </c>
      <c r="AO24" s="1152"/>
      <c r="AP24" s="1152"/>
      <c r="AQ24" s="1152"/>
      <c r="AR24" s="311"/>
      <c r="AS24" s="311"/>
      <c r="AT24" s="311"/>
      <c r="AU24" s="1152">
        <f>SUM(AU22:AX23)</f>
        <v>0</v>
      </c>
      <c r="AV24" s="1152"/>
      <c r="AW24" s="1152"/>
      <c r="AX24" s="1152"/>
      <c r="AY24" s="311"/>
      <c r="AZ24" s="311"/>
      <c r="BA24" s="311"/>
      <c r="BB24" s="1152">
        <f>SUM(BB22:BE23)</f>
        <v>0</v>
      </c>
      <c r="BC24" s="1152"/>
      <c r="BD24" s="1152"/>
      <c r="BE24" s="1152"/>
      <c r="BI24" s="277"/>
      <c r="BJ24" s="277"/>
      <c r="BK24" s="277"/>
      <c r="BL24" s="1148" t="s">
        <v>302</v>
      </c>
      <c r="BM24" s="1149"/>
      <c r="BN24" s="1149"/>
      <c r="BO24" s="1149"/>
      <c r="BP24" s="1151"/>
      <c r="BQ24" s="1148" t="s">
        <v>719</v>
      </c>
      <c r="BR24" s="1149"/>
      <c r="BS24" s="1149"/>
      <c r="BT24" s="1149"/>
      <c r="BU24" s="1150"/>
      <c r="BW24" s="1148" t="s">
        <v>303</v>
      </c>
      <c r="BX24" s="1149"/>
      <c r="BY24" s="1149"/>
      <c r="BZ24" s="1149"/>
      <c r="CA24" s="1149"/>
      <c r="CB24" s="1149"/>
      <c r="CC24" s="1150"/>
    </row>
    <row r="25" spans="2:81" ht="15" customHeight="1" thickTop="1">
      <c r="B25" s="267"/>
      <c r="C25" s="267"/>
      <c r="D25" s="267"/>
      <c r="E25" s="312"/>
      <c r="F25" s="326"/>
      <c r="G25" s="95">
        <f>G26-SUM($G$16:$G$18)</f>
        <v>0</v>
      </c>
      <c r="H25" s="326"/>
      <c r="I25" s="96" t="str">
        <f>IF(G25&lt;&gt;0,"There is a variance in reported ending EEs.","")</f>
        <v/>
      </c>
      <c r="J25" s="96"/>
      <c r="K25" s="326"/>
      <c r="L25" s="326"/>
      <c r="U25" s="326"/>
      <c r="V25" s="326"/>
      <c r="W25" s="326"/>
      <c r="X25" s="326"/>
      <c r="Y25" s="326"/>
      <c r="Z25" s="320"/>
      <c r="AA25" s="326"/>
      <c r="AB25" s="332"/>
      <c r="AE25" s="302"/>
      <c r="AF25" s="302"/>
      <c r="AG25" s="302"/>
      <c r="AH25" s="302"/>
      <c r="AI25" s="302"/>
      <c r="AJ25" s="320"/>
      <c r="AK25" s="311"/>
      <c r="AL25" s="311"/>
      <c r="AM25" s="311"/>
      <c r="AN25" s="333"/>
      <c r="AO25" s="333"/>
      <c r="AP25" s="333"/>
      <c r="AQ25" s="333"/>
      <c r="AR25" s="311"/>
      <c r="AS25" s="311"/>
      <c r="AT25" s="311"/>
      <c r="AU25" s="333"/>
      <c r="AV25" s="333"/>
      <c r="AW25" s="333"/>
      <c r="AX25" s="333"/>
      <c r="AY25" s="311"/>
      <c r="AZ25" s="311"/>
      <c r="BA25" s="311"/>
      <c r="BB25" s="333"/>
      <c r="BC25" s="333"/>
      <c r="BD25" s="333"/>
      <c r="BE25" s="333"/>
      <c r="BI25" s="636" t="s">
        <v>23</v>
      </c>
      <c r="BJ25" s="636" t="s">
        <v>37</v>
      </c>
      <c r="BK25" s="636" t="s">
        <v>304</v>
      </c>
      <c r="BL25" s="637" t="s">
        <v>305</v>
      </c>
      <c r="BM25" s="637" t="s">
        <v>310</v>
      </c>
      <c r="BN25" s="637" t="s">
        <v>311</v>
      </c>
      <c r="BO25" s="278" t="s">
        <v>312</v>
      </c>
      <c r="BP25" s="637" t="s">
        <v>313</v>
      </c>
      <c r="BQ25" s="637" t="s">
        <v>305</v>
      </c>
      <c r="BR25" s="637" t="s">
        <v>715</v>
      </c>
      <c r="BS25" s="637" t="s">
        <v>716</v>
      </c>
      <c r="BT25" s="278" t="s">
        <v>717</v>
      </c>
      <c r="BU25" s="637" t="s">
        <v>718</v>
      </c>
      <c r="BW25" s="279" t="s">
        <v>314</v>
      </c>
      <c r="BX25" s="279" t="s">
        <v>23</v>
      </c>
      <c r="BY25" s="279" t="s">
        <v>315</v>
      </c>
      <c r="BZ25" s="279" t="s">
        <v>122</v>
      </c>
      <c r="CA25" s="279" t="s">
        <v>316</v>
      </c>
      <c r="CB25" s="279" t="s">
        <v>317</v>
      </c>
      <c r="CC25" s="279" t="s">
        <v>318</v>
      </c>
    </row>
    <row r="26" spans="2:81" ht="15" customHeight="1">
      <c r="B26" s="267"/>
      <c r="C26" s="267"/>
      <c r="D26" s="267"/>
      <c r="E26" s="312"/>
      <c r="F26" s="326"/>
      <c r="G26" s="95">
        <f t="array" ref="G26">SUM(IF((Admin2!$C$6:$O$6=BE5)*(Admin2!$Q$9:$Q$61=BI2)*(Admin2!$B$9:$B$61="Ending EEs"),Admin2!$C$9:$O$61,0))</f>
        <v>27</v>
      </c>
      <c r="H26" s="326"/>
      <c r="I26" s="96" t="str">
        <f>IF(G26&lt;&gt;0,"Ending headcount per Kronos/HCMS.","")</f>
        <v>Ending headcount per Kronos/HCMS.</v>
      </c>
      <c r="J26" s="96"/>
      <c r="K26" s="326"/>
      <c r="L26" s="326"/>
      <c r="U26" s="326"/>
      <c r="V26" s="326"/>
      <c r="W26" s="326"/>
      <c r="X26" s="326"/>
      <c r="Y26" s="326"/>
      <c r="Z26" s="320"/>
      <c r="AA26" s="326"/>
      <c r="AB26" s="332"/>
      <c r="AE26" s="302"/>
      <c r="AF26" s="302"/>
      <c r="AG26" s="302"/>
      <c r="AH26" s="302"/>
      <c r="AI26" s="302"/>
      <c r="AJ26" s="320"/>
      <c r="AK26" s="311"/>
      <c r="AL26" s="311"/>
      <c r="AM26" s="311"/>
      <c r="AN26" s="333"/>
      <c r="AO26" s="333"/>
      <c r="AP26" s="333"/>
      <c r="AQ26" s="333"/>
      <c r="AR26" s="311"/>
      <c r="AS26" s="311"/>
      <c r="AT26" s="311"/>
      <c r="AU26" s="333"/>
      <c r="AV26" s="333"/>
      <c r="AW26" s="333"/>
      <c r="AX26" s="333"/>
      <c r="AY26" s="311"/>
      <c r="AZ26" s="311"/>
      <c r="BA26" s="311"/>
      <c r="BB26" s="333"/>
      <c r="BC26" s="333"/>
      <c r="BD26" s="333"/>
      <c r="BE26" s="333"/>
      <c r="BI26" s="638" t="s">
        <v>319</v>
      </c>
      <c r="BJ26" s="638">
        <v>1</v>
      </c>
      <c r="BK26" s="638" t="s">
        <v>320</v>
      </c>
      <c r="BL26" s="690">
        <v>31.131</v>
      </c>
      <c r="BM26" s="690">
        <v>31.131</v>
      </c>
      <c r="BN26" s="653">
        <f>IF(BM26="","",BL26/BM26)</f>
        <v>1</v>
      </c>
      <c r="BO26" s="289">
        <f>IF(SUM(BM26:BM28)=0,0,SUM(BL26:BL28)/SUM(BM26:BM28))</f>
        <v>1</v>
      </c>
      <c r="BP26" s="821">
        <v>1</v>
      </c>
      <c r="BQ26" s="690">
        <v>2.327</v>
      </c>
      <c r="BR26" s="690">
        <v>2.327</v>
      </c>
      <c r="BS26" s="653">
        <f>IF(BR26="","",BQ26/BR26)</f>
        <v>1</v>
      </c>
      <c r="BT26" s="289">
        <f>IF(SUM(BR26:BR28)=0,0,SUM(BQ26:BQ28)/SUM(BR26:BR28))</f>
        <v>1</v>
      </c>
      <c r="BU26" s="821">
        <v>1</v>
      </c>
      <c r="BX26" s="642" t="str">
        <f t="shared" ref="BX26:BX37" si="3">TEXT(CONCATENATE(CC26,"/01/20",CB26),"MMM")</f>
        <v>Oct</v>
      </c>
      <c r="BY26" s="643">
        <f>IF(CB26=$CB38,SUMIF($BI26:$BI37,$BX26,$BR26:$BR37),SUMIF($BI26:$BI37,$BX26,$BM26:$BM37))</f>
        <v>31.131</v>
      </c>
      <c r="BZ26" s="821">
        <f>IF(IF(CB26=CB38,SUMIF(BI26:BI37,$BX26,BU26:BU37),SUMIF(BI26:BI37,$BX26,BP26:BP37))=0,NA(),IF(CB26=CB38,SUMIF(BI26:BI37,$BX26,BU26:BU37),SUMIF(BI26:BI37,$BX26,BP26:BP37)))</f>
        <v>1</v>
      </c>
      <c r="CA26" s="644">
        <f>IF(IF(CB26=CB38,SUMIF(BI26:BI37,$BX26,BS26:BS37),SUMIF(BI26:BI37,$BX26,BN26:BN37))=0,NA(),IF(CB26=CB38,SUMIF(BI26:BI37,$BX26,BS26:BS37),SUMIF(BI26:BI37,$BX26,BN26:BN37)))</f>
        <v>1</v>
      </c>
      <c r="CB26" s="645">
        <v>23</v>
      </c>
      <c r="CC26" s="645">
        <f t="shared" ref="CC26:CC36" si="4">IF(CC27-1&lt;1,CC27+11,CC27-1)</f>
        <v>10</v>
      </c>
    </row>
    <row r="27" spans="2:81" ht="15" customHeight="1">
      <c r="B27" s="267"/>
      <c r="C27" s="267"/>
      <c r="D27" s="267"/>
      <c r="E27" s="312"/>
      <c r="F27" s="326"/>
      <c r="G27" s="312"/>
      <c r="H27" s="312"/>
      <c r="I27" s="312"/>
      <c r="J27" s="312"/>
      <c r="K27" s="326"/>
      <c r="L27" s="326"/>
      <c r="U27" s="326"/>
      <c r="V27" s="326"/>
      <c r="W27" s="326"/>
      <c r="X27" s="326"/>
      <c r="Y27" s="326"/>
      <c r="Z27" s="320"/>
      <c r="AA27" s="326"/>
      <c r="AB27" s="332"/>
      <c r="AE27" s="302"/>
      <c r="AF27" s="302"/>
      <c r="AG27" s="302"/>
      <c r="AH27" s="302"/>
      <c r="AI27" s="302"/>
      <c r="AJ27" s="320"/>
      <c r="AK27" s="311"/>
      <c r="AL27" s="311"/>
      <c r="AM27" s="311"/>
      <c r="AN27" s="333"/>
      <c r="AO27" s="333"/>
      <c r="AP27" s="333"/>
      <c r="AQ27" s="333"/>
      <c r="AR27" s="311"/>
      <c r="AS27" s="311"/>
      <c r="AT27" s="311"/>
      <c r="AU27" s="333"/>
      <c r="AV27" s="333"/>
      <c r="AW27" s="333"/>
      <c r="AX27" s="333"/>
      <c r="AY27" s="311"/>
      <c r="AZ27" s="311"/>
      <c r="BA27" s="311"/>
      <c r="BB27" s="333"/>
      <c r="BC27" s="333"/>
      <c r="BD27" s="333"/>
      <c r="BE27" s="333"/>
      <c r="BI27" s="638" t="s">
        <v>321</v>
      </c>
      <c r="BJ27" s="638">
        <v>2</v>
      </c>
      <c r="BK27" s="638" t="s">
        <v>320</v>
      </c>
      <c r="BL27" s="690">
        <v>21.192</v>
      </c>
      <c r="BM27" s="690">
        <v>21.192</v>
      </c>
      <c r="BN27" s="653">
        <f t="shared" ref="BN27:BN37" si="5">IF(BM27="","",BL27/BM27)</f>
        <v>1</v>
      </c>
      <c r="BO27" s="855"/>
      <c r="BP27" s="821">
        <v>1</v>
      </c>
      <c r="BQ27" s="690"/>
      <c r="BR27" s="690"/>
      <c r="BS27" s="653" t="str">
        <f t="shared" ref="BS27:BS37" si="6">IF(BR27="","",BQ27/BR27)</f>
        <v/>
      </c>
      <c r="BT27" s="855"/>
      <c r="BU27" s="821">
        <v>1</v>
      </c>
      <c r="BX27" s="642" t="str">
        <f t="shared" si="3"/>
        <v>Nov</v>
      </c>
      <c r="BY27" s="643">
        <f>IF(CB27=$CB38,SUMIF($BI26:$BI37,$BX27,$BR26:$BR37),SUMIF($BI26:$BI37,$BX27,$BM26:$BM37))</f>
        <v>21.192</v>
      </c>
      <c r="BZ27" s="821">
        <f>IF(IF(CB27=CB38,SUMIF(BI26:BI37,$BX27,BU26:BU37),SUMIF(BI26:BI37,$BX27,BP26:BP37))=0,NA(),IF(CB27=CB38,SUMIF(BI26:BI37,$BX27,BU26:BU37),SUMIF(BI26:BI37,$BX27,BP26:BP37)))</f>
        <v>1</v>
      </c>
      <c r="CA27" s="644">
        <f>IF(IF(CB27=CB38,SUMIF(BI26:BI37,$BX27,BS26:BS37),SUMIF(BI26:BI37,$BX27,BN26:BN37))=0,NA(),IF(CB27=CB38,SUMIF(BI26:BI37,$BX27,BS26:BS37),SUMIF(BI26:BI37,$BX27,BN26:BN37)))</f>
        <v>1</v>
      </c>
      <c r="CB27" s="645">
        <v>23</v>
      </c>
      <c r="CC27" s="645">
        <f t="shared" si="4"/>
        <v>11</v>
      </c>
    </row>
    <row r="28" spans="2:81" ht="15" customHeight="1">
      <c r="B28" s="267" t="s">
        <v>242</v>
      </c>
      <c r="C28" s="267"/>
      <c r="D28" s="267"/>
      <c r="E28" s="334"/>
      <c r="F28" s="326"/>
      <c r="G28" s="326"/>
      <c r="H28" s="326"/>
      <c r="I28" s="326"/>
      <c r="J28" s="326"/>
      <c r="K28" s="326"/>
      <c r="L28" s="326"/>
      <c r="M28" s="326"/>
      <c r="N28" s="326"/>
      <c r="O28" s="326"/>
      <c r="P28" s="326"/>
      <c r="Q28" s="326"/>
      <c r="R28" s="326"/>
      <c r="S28" s="326"/>
      <c r="T28" s="326"/>
      <c r="U28" s="326"/>
      <c r="V28" s="326"/>
      <c r="W28" s="326"/>
      <c r="X28" s="326"/>
      <c r="Y28" s="326"/>
      <c r="Z28" s="326"/>
      <c r="AA28" s="326"/>
      <c r="AB28" s="326"/>
      <c r="AE28" s="267" t="s">
        <v>242</v>
      </c>
      <c r="AF28" s="267"/>
      <c r="AG28" s="267"/>
      <c r="AH28" s="334"/>
      <c r="AI28" s="326"/>
      <c r="AJ28" s="326"/>
      <c r="AK28" s="326"/>
      <c r="AL28" s="326"/>
      <c r="AM28" s="326"/>
      <c r="AN28" s="326"/>
      <c r="AO28" s="326"/>
      <c r="AP28" s="326"/>
      <c r="AQ28" s="326"/>
      <c r="AR28" s="326"/>
      <c r="AS28" s="326"/>
      <c r="AT28" s="326"/>
      <c r="AU28" s="326"/>
      <c r="AV28" s="326"/>
      <c r="AW28" s="326"/>
      <c r="AX28" s="326"/>
      <c r="AY28" s="326"/>
      <c r="AZ28" s="326"/>
      <c r="BA28" s="326"/>
      <c r="BB28" s="326"/>
      <c r="BC28" s="326"/>
      <c r="BD28" s="326"/>
      <c r="BE28" s="326"/>
      <c r="BI28" s="638" t="s">
        <v>322</v>
      </c>
      <c r="BJ28" s="638">
        <v>3</v>
      </c>
      <c r="BK28" s="638" t="s">
        <v>320</v>
      </c>
      <c r="BL28" s="690">
        <v>8.6969999999999992</v>
      </c>
      <c r="BM28" s="690">
        <v>8.6969999999999992</v>
      </c>
      <c r="BN28" s="653">
        <f t="shared" si="5"/>
        <v>1</v>
      </c>
      <c r="BO28" s="855"/>
      <c r="BP28" s="821">
        <v>1</v>
      </c>
      <c r="BQ28" s="690"/>
      <c r="BR28" s="690"/>
      <c r="BS28" s="653" t="str">
        <f t="shared" si="6"/>
        <v/>
      </c>
      <c r="BT28" s="855"/>
      <c r="BU28" s="821">
        <v>1</v>
      </c>
      <c r="BX28" s="642" t="str">
        <f t="shared" si="3"/>
        <v>Dec</v>
      </c>
      <c r="BY28" s="643">
        <f>IF(CB28=$CB38,SUMIF($BI26:$BI37,$BX28,$BR26:$BR37),SUMIF($BI26:$BI37,$BX28,$BM26:$BM37))</f>
        <v>8.6969999999999992</v>
      </c>
      <c r="BZ28" s="821">
        <f>IF(IF(CB28=CB38,SUMIF(BI26:BI37,$BX28,BU26:BU37),SUMIF(BI26:BI37,$BX28,BP26:BP37))=0,NA(),IF(CB28=CB38,SUMIF(BI26:BI37,$BX28,BU26:BU37),SUMIF(BI26:BI37,$BX28,BP26:BP37)))</f>
        <v>1</v>
      </c>
      <c r="CA28" s="644">
        <f>IF(IF(CB28=CB38,SUMIF(BI26:BI37,$BX28,BS26:BS37),SUMIF(BI26:BI37,$BX28,BN26:BN37))=0,NA(),IF(CB28=CB38,SUMIF(BI26:BI37,$BX28,BS26:BS37),SUMIF(BI26:BI37,$BX28,BN26:BN37)))</f>
        <v>1</v>
      </c>
      <c r="CB28" s="645">
        <v>23</v>
      </c>
      <c r="CC28" s="645">
        <f t="shared" si="4"/>
        <v>12</v>
      </c>
    </row>
    <row r="29" spans="2:81" ht="15" customHeight="1">
      <c r="B29" s="1245" t="s">
        <v>756</v>
      </c>
      <c r="C29" s="1246"/>
      <c r="D29" s="1246"/>
      <c r="E29" s="1246"/>
      <c r="F29" s="1246"/>
      <c r="G29" s="1246"/>
      <c r="H29" s="1246"/>
      <c r="I29" s="1246"/>
      <c r="J29" s="1246"/>
      <c r="K29" s="1246"/>
      <c r="L29" s="1246"/>
      <c r="M29" s="1246"/>
      <c r="N29" s="1246"/>
      <c r="O29" s="1246"/>
      <c r="P29" s="1246"/>
      <c r="Q29" s="1246"/>
      <c r="R29" s="1246"/>
      <c r="S29" s="1246"/>
      <c r="T29" s="1246"/>
      <c r="U29" s="1246"/>
      <c r="V29" s="1246"/>
      <c r="W29" s="1246"/>
      <c r="X29" s="1246"/>
      <c r="Y29" s="1246"/>
      <c r="Z29" s="1246"/>
      <c r="AA29" s="1246"/>
      <c r="AB29" s="1247"/>
      <c r="AC29"/>
      <c r="AD29"/>
      <c r="AE29" s="1245"/>
      <c r="AF29" s="1246"/>
      <c r="AG29" s="1246"/>
      <c r="AH29" s="1246"/>
      <c r="AI29" s="1246"/>
      <c r="AJ29" s="1246"/>
      <c r="AK29" s="1246"/>
      <c r="AL29" s="1246"/>
      <c r="AM29" s="1246"/>
      <c r="AN29" s="1246"/>
      <c r="AO29" s="1246"/>
      <c r="AP29" s="1246"/>
      <c r="AQ29" s="1246"/>
      <c r="AR29" s="1246"/>
      <c r="AS29" s="1246"/>
      <c r="AT29" s="1246"/>
      <c r="AU29" s="1246"/>
      <c r="AV29" s="1246"/>
      <c r="AW29" s="1246"/>
      <c r="AX29" s="1246"/>
      <c r="AY29" s="1246"/>
      <c r="AZ29" s="1246"/>
      <c r="BA29" s="1246"/>
      <c r="BB29" s="1246"/>
      <c r="BC29" s="1246"/>
      <c r="BD29" s="1246"/>
      <c r="BE29" s="1247"/>
      <c r="BI29" s="638" t="s">
        <v>323</v>
      </c>
      <c r="BJ29" s="638">
        <v>4</v>
      </c>
      <c r="BK29" s="638" t="s">
        <v>324</v>
      </c>
      <c r="BL29" s="690">
        <v>7.86</v>
      </c>
      <c r="BM29" s="690">
        <v>9.4309999999999992</v>
      </c>
      <c r="BN29" s="653">
        <f t="shared" si="5"/>
        <v>0.8334216944120455</v>
      </c>
      <c r="BO29" s="289">
        <f>IF(SUM(BM29:BM31)=0,0,SUM(BL29:BL31)/SUM(BM29:BM31))</f>
        <v>0.84715862534342312</v>
      </c>
      <c r="BP29" s="821">
        <v>1</v>
      </c>
      <c r="BQ29" s="690"/>
      <c r="BR29" s="690"/>
      <c r="BS29" s="653" t="str">
        <f t="shared" si="6"/>
        <v/>
      </c>
      <c r="BT29" s="289">
        <f>IF(SUM(BR29:BR31)=0,0,SUM(BQ29:BQ31)/SUM(BR29:BR31))</f>
        <v>0</v>
      </c>
      <c r="BU29" s="821">
        <v>1</v>
      </c>
      <c r="BX29" s="642" t="str">
        <f t="shared" si="3"/>
        <v>Jan</v>
      </c>
      <c r="BY29" s="643">
        <f>IF(CB29=$CB38,SUMIF($BI26:$BI37,$BX29,$BR26:$BR37),SUMIF($BI26:$BI37,$BX29,$BM26:$BM37))</f>
        <v>9.4309999999999992</v>
      </c>
      <c r="BZ29" s="821">
        <f>IF(IF(CB29=CB38,SUMIF(BI26:BI37,$BX29,BU26:BU37),SUMIF(BI26:BI37,$BX29,BP26:BP37))=0,NA(),IF(CB29=CB38,SUMIF(BI26:BI37,$BX29,BU26:BU37),SUMIF(BI26:BI37,$BX29,BP26:BP37)))</f>
        <v>1</v>
      </c>
      <c r="CA29" s="644">
        <f>IF(IF(CB29=CB38,SUMIF(BI26:BI37,$BX29,BS26:BS37),SUMIF(BI26:BI37,$BX29,BN26:BN37))=0,NA(),IF(CB29=CB38,SUMIF(BI26:BI37,$BX29,BS26:BS37),SUMIF(BI26:BI37,$BX29,BN26:BN37)))</f>
        <v>0.8334216944120455</v>
      </c>
      <c r="CB29" s="645">
        <v>23</v>
      </c>
      <c r="CC29" s="645">
        <f t="shared" si="4"/>
        <v>1</v>
      </c>
    </row>
    <row r="30" spans="2:81" ht="15" customHeight="1">
      <c r="B30" s="1248"/>
      <c r="C30" s="1249"/>
      <c r="D30" s="1249"/>
      <c r="E30" s="1249"/>
      <c r="F30" s="1249"/>
      <c r="G30" s="1249"/>
      <c r="H30" s="1249"/>
      <c r="I30" s="1249"/>
      <c r="J30" s="1249"/>
      <c r="K30" s="1249"/>
      <c r="L30" s="1249"/>
      <c r="M30" s="1249"/>
      <c r="N30" s="1249"/>
      <c r="O30" s="1249"/>
      <c r="P30" s="1249"/>
      <c r="Q30" s="1249"/>
      <c r="R30" s="1249"/>
      <c r="S30" s="1249"/>
      <c r="T30" s="1249"/>
      <c r="U30" s="1249"/>
      <c r="V30" s="1249"/>
      <c r="W30" s="1249"/>
      <c r="X30" s="1249"/>
      <c r="Y30" s="1249"/>
      <c r="Z30" s="1249"/>
      <c r="AA30" s="1249"/>
      <c r="AB30" s="1250"/>
      <c r="AC30"/>
      <c r="AD30"/>
      <c r="AE30" s="1248"/>
      <c r="AF30" s="1249"/>
      <c r="AG30" s="1249"/>
      <c r="AH30" s="1249"/>
      <c r="AI30" s="1249"/>
      <c r="AJ30" s="1249"/>
      <c r="AK30" s="1249"/>
      <c r="AL30" s="1249"/>
      <c r="AM30" s="1249"/>
      <c r="AN30" s="1249"/>
      <c r="AO30" s="1249"/>
      <c r="AP30" s="1249"/>
      <c r="AQ30" s="1249"/>
      <c r="AR30" s="1249"/>
      <c r="AS30" s="1249"/>
      <c r="AT30" s="1249"/>
      <c r="AU30" s="1249"/>
      <c r="AV30" s="1249"/>
      <c r="AW30" s="1249"/>
      <c r="AX30" s="1249"/>
      <c r="AY30" s="1249"/>
      <c r="AZ30" s="1249"/>
      <c r="BA30" s="1249"/>
      <c r="BB30" s="1249"/>
      <c r="BC30" s="1249"/>
      <c r="BD30" s="1249"/>
      <c r="BE30" s="1250"/>
      <c r="BI30" s="638" t="s">
        <v>325</v>
      </c>
      <c r="BJ30" s="638">
        <v>5</v>
      </c>
      <c r="BK30" s="638" t="s">
        <v>324</v>
      </c>
      <c r="BL30" s="690">
        <v>6.8490000000000002</v>
      </c>
      <c r="BM30" s="822">
        <v>8.3729999999999993</v>
      </c>
      <c r="BN30" s="653">
        <f t="shared" si="5"/>
        <v>0.81798638480831254</v>
      </c>
      <c r="BO30" s="855"/>
      <c r="BP30" s="821">
        <v>1</v>
      </c>
      <c r="BQ30" s="690"/>
      <c r="BR30" s="822"/>
      <c r="BS30" s="653" t="str">
        <f t="shared" si="6"/>
        <v/>
      </c>
      <c r="BT30" s="855"/>
      <c r="BU30" s="821">
        <v>1</v>
      </c>
      <c r="BX30" s="642" t="str">
        <f t="shared" si="3"/>
        <v>Feb</v>
      </c>
      <c r="BY30" s="643">
        <f>IF(CB30=$CB38,SUMIF($BI26:$BI37,$BX30,$BR26:$BR37),SUMIF($BI26:$BI37,$BX30,$BM26:$BM37))</f>
        <v>8.3729999999999993</v>
      </c>
      <c r="BZ30" s="821">
        <f>IF(IF(CB30=CB38,SUMIF(BI26:BI37,$BX30,BU26:BU37),SUMIF(BI26:BI37,$BX30,BP26:BP37))=0,NA(),IF(CB30=CB38,SUMIF(BI26:BI37,$BX30,BU26:BU37),SUMIF(BI26:BI37,$BX30,BP26:BP37)))</f>
        <v>1</v>
      </c>
      <c r="CA30" s="644">
        <f>IF(IF(CB30=CB38,SUMIF(BI26:BI37,$BX30,BS26:BS37),SUMIF(BI26:BI37,$BX30,BN26:BN37))=0,NA(),IF(CB30=CB38,SUMIF(BI26:BI37,$BX30,BS26:BS37),SUMIF(BI26:BI37,$BX30,BN26:BN37)))</f>
        <v>0.81798638480831254</v>
      </c>
      <c r="CB30" s="645">
        <v>23</v>
      </c>
      <c r="CC30" s="645">
        <f t="shared" si="4"/>
        <v>2</v>
      </c>
    </row>
    <row r="31" spans="2:81" ht="15" customHeight="1">
      <c r="B31" s="1248"/>
      <c r="C31" s="1249"/>
      <c r="D31" s="1249"/>
      <c r="E31" s="1249"/>
      <c r="F31" s="1249"/>
      <c r="G31" s="1249"/>
      <c r="H31" s="1249"/>
      <c r="I31" s="1249"/>
      <c r="J31" s="1249"/>
      <c r="K31" s="1249"/>
      <c r="L31" s="1249"/>
      <c r="M31" s="1249"/>
      <c r="N31" s="1249"/>
      <c r="O31" s="1249"/>
      <c r="P31" s="1249"/>
      <c r="Q31" s="1249"/>
      <c r="R31" s="1249"/>
      <c r="S31" s="1249"/>
      <c r="T31" s="1249"/>
      <c r="U31" s="1249"/>
      <c r="V31" s="1249"/>
      <c r="W31" s="1249"/>
      <c r="X31" s="1249"/>
      <c r="Y31" s="1249"/>
      <c r="Z31" s="1249"/>
      <c r="AA31" s="1249"/>
      <c r="AB31" s="1250"/>
      <c r="AC31"/>
      <c r="AD31"/>
      <c r="AE31" s="1248"/>
      <c r="AF31" s="1249"/>
      <c r="AG31" s="1249"/>
      <c r="AH31" s="1249"/>
      <c r="AI31" s="1249"/>
      <c r="AJ31" s="1249"/>
      <c r="AK31" s="1249"/>
      <c r="AL31" s="1249"/>
      <c r="AM31" s="1249"/>
      <c r="AN31" s="1249"/>
      <c r="AO31" s="1249"/>
      <c r="AP31" s="1249"/>
      <c r="AQ31" s="1249"/>
      <c r="AR31" s="1249"/>
      <c r="AS31" s="1249"/>
      <c r="AT31" s="1249"/>
      <c r="AU31" s="1249"/>
      <c r="AV31" s="1249"/>
      <c r="AW31" s="1249"/>
      <c r="AX31" s="1249"/>
      <c r="AY31" s="1249"/>
      <c r="AZ31" s="1249"/>
      <c r="BA31" s="1249"/>
      <c r="BB31" s="1249"/>
      <c r="BC31" s="1249"/>
      <c r="BD31" s="1249"/>
      <c r="BE31" s="1250"/>
      <c r="BI31" s="638" t="s">
        <v>326</v>
      </c>
      <c r="BJ31" s="638">
        <v>6</v>
      </c>
      <c r="BK31" s="638" t="s">
        <v>324</v>
      </c>
      <c r="BL31" s="690">
        <v>2.867</v>
      </c>
      <c r="BM31" s="822">
        <v>2.9430000000000001</v>
      </c>
      <c r="BN31" s="653">
        <f t="shared" si="5"/>
        <v>0.97417601087325856</v>
      </c>
      <c r="BO31" s="855"/>
      <c r="BP31" s="821">
        <v>1</v>
      </c>
      <c r="BQ31" s="690"/>
      <c r="BR31" s="822"/>
      <c r="BS31" s="653" t="str">
        <f t="shared" si="6"/>
        <v/>
      </c>
      <c r="BT31" s="855"/>
      <c r="BU31" s="821">
        <v>1</v>
      </c>
      <c r="BX31" s="642" t="str">
        <f t="shared" si="3"/>
        <v>Mar</v>
      </c>
      <c r="BY31" s="643">
        <f>IF(CB31=$CB38,SUMIF($BI26:$BI37,$BX31,$BR26:$BR37),SUMIF($BI26:$BI37,$BX31,$BM26:$BM37))</f>
        <v>2.9430000000000001</v>
      </c>
      <c r="BZ31" s="821">
        <f>IF(IF(CB31=CB38,SUMIF(BI26:BI37,$BX31,BU26:BU37),SUMIF(BI26:BI37,$BX31,BP26:BP37))=0,NA(),IF(CB31=CB38,SUMIF(BI26:BI37,$BX31,BU26:BU37),SUMIF(BI26:BI37,$BX31,BP26:BP37)))</f>
        <v>1</v>
      </c>
      <c r="CA31" s="644">
        <f>IF(IF(CB31=CB38,SUMIF(BI26:BI37,$BX31,BS26:BS37),SUMIF(BI26:BI37,$BX31,BN26:BN37))=0,NA(),IF(CB31=CB38,SUMIF(BI26:BI37,$BX31,BS26:BS37),SUMIF(BI26:BI37,$BX31,BN26:BN37)))</f>
        <v>0.97417601087325856</v>
      </c>
      <c r="CB31" s="645">
        <v>23</v>
      </c>
      <c r="CC31" s="645">
        <f t="shared" si="4"/>
        <v>3</v>
      </c>
    </row>
    <row r="32" spans="2:81" ht="15" customHeight="1">
      <c r="B32" s="1251"/>
      <c r="C32" s="1252"/>
      <c r="D32" s="1252"/>
      <c r="E32" s="1252"/>
      <c r="F32" s="1252"/>
      <c r="G32" s="1252"/>
      <c r="H32" s="1252"/>
      <c r="I32" s="1252"/>
      <c r="J32" s="1252"/>
      <c r="K32" s="1252"/>
      <c r="L32" s="1252"/>
      <c r="M32" s="1252"/>
      <c r="N32" s="1252"/>
      <c r="O32" s="1252"/>
      <c r="P32" s="1252"/>
      <c r="Q32" s="1252"/>
      <c r="R32" s="1252"/>
      <c r="S32" s="1252"/>
      <c r="T32" s="1252"/>
      <c r="U32" s="1252"/>
      <c r="V32" s="1252"/>
      <c r="W32" s="1252"/>
      <c r="X32" s="1252"/>
      <c r="Y32" s="1252"/>
      <c r="Z32" s="1252"/>
      <c r="AA32" s="1252"/>
      <c r="AB32" s="1253"/>
      <c r="AC32"/>
      <c r="AD32"/>
      <c r="AE32" s="1251"/>
      <c r="AF32" s="1252"/>
      <c r="AG32" s="1252"/>
      <c r="AH32" s="1252"/>
      <c r="AI32" s="1252"/>
      <c r="AJ32" s="1252"/>
      <c r="AK32" s="1252"/>
      <c r="AL32" s="1252"/>
      <c r="AM32" s="1252"/>
      <c r="AN32" s="1252"/>
      <c r="AO32" s="1252"/>
      <c r="AP32" s="1252"/>
      <c r="AQ32" s="1252"/>
      <c r="AR32" s="1252"/>
      <c r="AS32" s="1252"/>
      <c r="AT32" s="1252"/>
      <c r="AU32" s="1252"/>
      <c r="AV32" s="1252"/>
      <c r="AW32" s="1252"/>
      <c r="AX32" s="1252"/>
      <c r="AY32" s="1252"/>
      <c r="AZ32" s="1252"/>
      <c r="BA32" s="1252"/>
      <c r="BB32" s="1252"/>
      <c r="BC32" s="1252"/>
      <c r="BD32" s="1252"/>
      <c r="BE32" s="1253"/>
      <c r="BI32" s="638" t="s">
        <v>327</v>
      </c>
      <c r="BJ32" s="638">
        <v>7</v>
      </c>
      <c r="BK32" s="638" t="s">
        <v>328</v>
      </c>
      <c r="BL32" s="690">
        <v>3.1030000000000002</v>
      </c>
      <c r="BM32" s="690">
        <v>3.105</v>
      </c>
      <c r="BN32" s="653">
        <f t="shared" si="5"/>
        <v>0.99935587761674727</v>
      </c>
      <c r="BO32" s="289">
        <f>IF(SUM(BM32:BM34)=0,0,SUM(BL32:BL34)/SUM(BM32:BM34))</f>
        <v>0.99984126984126998</v>
      </c>
      <c r="BP32" s="821">
        <v>1</v>
      </c>
      <c r="BQ32" s="690"/>
      <c r="BR32" s="690"/>
      <c r="BS32" s="653" t="str">
        <f t="shared" si="6"/>
        <v/>
      </c>
      <c r="BT32" s="289">
        <f>IF(SUM(BR32:BR34)=0,0,SUM(BQ32:BQ34)/SUM(BR32:BR34))</f>
        <v>0</v>
      </c>
      <c r="BU32" s="821">
        <v>1</v>
      </c>
      <c r="BX32" s="642" t="str">
        <f t="shared" si="3"/>
        <v>Apr</v>
      </c>
      <c r="BY32" s="643">
        <f>IF(CB32=$CB38,SUMIF($BI26:$BI37,$BX32,$BR26:$BR37),SUMIF($BI26:$BI37,$BX32,$BM26:$BM37))</f>
        <v>3.105</v>
      </c>
      <c r="BZ32" s="821">
        <f>IF(IF(CB32=CB38,SUMIF(BI26:BI37,$BX32,BU26:BU37),SUMIF(BI26:BI37,$BX32,BP26:BP37))=0,NA(),IF(CB32=CB38,SUMIF(BI26:BI37,$BX32,BU26:BU37),SUMIF(BI26:BI37,$BX32,BP26:BP37)))</f>
        <v>1</v>
      </c>
      <c r="CA32" s="644">
        <f>IF(IF(CB32=CB38,SUMIF(BI26:BI37,$BX32,BS26:BS37),SUMIF(BI26:BI37,$BX32,BN26:BN37))=0,NA(),IF(CB32=CB38,SUMIF(BI26:BI37,$BX32,BS26:BS37),SUMIF(BI26:BI37,$BX32,BN26:BN37)))</f>
        <v>0.99935587761674727</v>
      </c>
      <c r="CB32" s="645">
        <v>23</v>
      </c>
      <c r="CC32" s="645">
        <f t="shared" si="4"/>
        <v>4</v>
      </c>
    </row>
    <row r="33" spans="1:81" ht="15" customHeight="1">
      <c r="BI33" s="638" t="s">
        <v>329</v>
      </c>
      <c r="BJ33" s="638">
        <v>8</v>
      </c>
      <c r="BK33" s="638" t="s">
        <v>328</v>
      </c>
      <c r="BL33" s="690">
        <v>6.8120000000000003</v>
      </c>
      <c r="BM33" s="822">
        <v>6.8120000000000003</v>
      </c>
      <c r="BN33" s="653">
        <f t="shared" si="5"/>
        <v>1</v>
      </c>
      <c r="BO33" s="855"/>
      <c r="BP33" s="821">
        <v>1</v>
      </c>
      <c r="BQ33" s="690"/>
      <c r="BR33" s="822"/>
      <c r="BS33" s="653" t="str">
        <f t="shared" si="6"/>
        <v/>
      </c>
      <c r="BT33" s="855"/>
      <c r="BU33" s="821">
        <v>1</v>
      </c>
      <c r="BX33" s="642" t="str">
        <f t="shared" si="3"/>
        <v>May</v>
      </c>
      <c r="BY33" s="643">
        <f>IF(CB33=$CB38,SUMIF($BI26:$BI37,$BX33,$BR26:$BR37),SUMIF($BI26:$BI37,$BX33,$BM26:$BM37))</f>
        <v>6.8120000000000003</v>
      </c>
      <c r="BZ33" s="821">
        <f>IF(IF(CB33=CB38,SUMIF(BI26:BI37,$BX33,BU26:BU37),SUMIF(BI26:BI37,$BX33,BP26:BP37))=0,NA(),IF(CB33=CB38,SUMIF(BI26:BI37,$BX33,BU26:BU37),SUMIF(BI26:BI37,$BX33,BP26:BP37)))</f>
        <v>1</v>
      </c>
      <c r="CA33" s="644">
        <f>IF(IF(CB33=CB38,SUMIF(BI26:BI37,$BX33,BS26:BS37),SUMIF(BI26:BI37,$BX33,BN26:BN37))=0,NA(),IF(CB33=CB38,SUMIF(BI26:BI37,$BX33,BS26:BS37),SUMIF(BI26:BI37,$BX33,BN26:BN37)))</f>
        <v>1</v>
      </c>
      <c r="CB33" s="645">
        <v>23</v>
      </c>
      <c r="CC33" s="645">
        <f t="shared" si="4"/>
        <v>5</v>
      </c>
    </row>
    <row r="34" spans="1:81" ht="15" customHeight="1">
      <c r="B34" s="531" t="s">
        <v>330</v>
      </c>
      <c r="C34" s="533"/>
      <c r="D34" s="533"/>
      <c r="E34" s="533"/>
      <c r="F34" s="533"/>
      <c r="G34" s="532"/>
      <c r="H34" s="532"/>
      <c r="I34" s="532"/>
      <c r="J34" s="532"/>
      <c r="K34" s="532"/>
      <c r="L34" s="539"/>
      <c r="M34" s="533"/>
      <c r="N34" s="533"/>
      <c r="O34" s="532"/>
      <c r="P34" s="532"/>
      <c r="Q34" s="532"/>
      <c r="R34" s="532"/>
      <c r="S34" s="532"/>
      <c r="T34" s="532"/>
      <c r="U34" s="532"/>
      <c r="V34" s="532"/>
      <c r="W34" s="532"/>
      <c r="X34" s="532"/>
      <c r="Y34" s="532"/>
      <c r="Z34" s="532"/>
      <c r="AA34" s="532"/>
      <c r="AB34" s="532"/>
      <c r="AC34" s="532"/>
      <c r="AD34" s="532"/>
      <c r="AE34" s="532"/>
      <c r="AF34" s="532"/>
      <c r="AG34" s="532"/>
      <c r="AH34" s="532"/>
      <c r="AI34" s="532"/>
      <c r="AJ34" s="532"/>
      <c r="AK34" s="532"/>
      <c r="AL34" s="532"/>
      <c r="AM34" s="532"/>
      <c r="AN34" s="532"/>
      <c r="AO34" s="532"/>
      <c r="AP34" s="532"/>
      <c r="AQ34" s="532"/>
      <c r="AR34" s="532"/>
      <c r="AS34" s="532"/>
      <c r="AT34" s="532"/>
      <c r="AU34" s="532"/>
      <c r="AV34" s="532"/>
      <c r="AW34" s="532"/>
      <c r="AX34" s="532"/>
      <c r="AY34" s="532"/>
      <c r="AZ34" s="532"/>
      <c r="BA34" s="532"/>
      <c r="BB34" s="532"/>
      <c r="BC34" s="532"/>
      <c r="BD34" s="532"/>
      <c r="BE34" s="532"/>
      <c r="BI34" s="638" t="s">
        <v>331</v>
      </c>
      <c r="BJ34" s="638">
        <v>9</v>
      </c>
      <c r="BK34" s="638" t="s">
        <v>328</v>
      </c>
      <c r="BL34" s="690">
        <v>2.6829999999999998</v>
      </c>
      <c r="BM34" s="690">
        <v>2.6829999999999998</v>
      </c>
      <c r="BN34" s="653">
        <f t="shared" si="5"/>
        <v>1</v>
      </c>
      <c r="BO34" s="855"/>
      <c r="BP34" s="821">
        <v>1</v>
      </c>
      <c r="BQ34" s="690"/>
      <c r="BR34" s="690"/>
      <c r="BS34" s="653" t="str">
        <f t="shared" si="6"/>
        <v/>
      </c>
      <c r="BT34" s="855"/>
      <c r="BU34" s="821">
        <v>1</v>
      </c>
      <c r="BX34" s="642" t="str">
        <f t="shared" si="3"/>
        <v>Jun</v>
      </c>
      <c r="BY34" s="643">
        <f>IF(CB34=$CB38,SUMIF($BI26:$BI37,$BX34,$BR26:$BR37),SUMIF($BI26:$BI37,$BX34,$BM26:$BM37))</f>
        <v>2.6829999999999998</v>
      </c>
      <c r="BZ34" s="821">
        <f>IF(IF(CB34=CB38,SUMIF(BI26:BI37,$BX34,BU26:BU37),SUMIF(BI26:BI37,$BX34,BP26:BP37))=0,NA(),IF(CB34=CB38,SUMIF(BI26:BI37,$BX34,BU26:BU37),SUMIF(BI26:BI37,$BX34,BP26:BP37)))</f>
        <v>1</v>
      </c>
      <c r="CA34" s="644">
        <f>IF(IF(CB34=CB38,SUMIF(BI26:BI37,$BX34,BS26:BS37),SUMIF(BI26:BI37,$BX34,BN26:BN37))=0,NA(),IF(CB34=CB38,SUMIF(BI26:BI37,$BX34,BS26:BS37),SUMIF(BI26:BI37,$BX34,BN26:BN37)))</f>
        <v>1</v>
      </c>
      <c r="CB34" s="645">
        <v>23</v>
      </c>
      <c r="CC34" s="645">
        <f t="shared" si="4"/>
        <v>6</v>
      </c>
    </row>
    <row r="35" spans="1:81" ht="15" customHeight="1">
      <c r="B35" s="1153" t="s">
        <v>332</v>
      </c>
      <c r="C35" s="1154"/>
      <c r="D35" s="1154"/>
      <c r="E35" s="1154"/>
      <c r="F35" s="1154"/>
      <c r="G35" s="1154"/>
      <c r="H35" s="1154"/>
      <c r="I35" s="1154"/>
      <c r="J35" s="1155"/>
      <c r="K35" s="1124" t="s">
        <v>335</v>
      </c>
      <c r="L35" s="1124"/>
      <c r="M35" s="1124"/>
      <c r="N35" s="1124"/>
      <c r="O35" s="1124"/>
      <c r="P35" s="1124"/>
      <c r="Q35" s="1123" t="s">
        <v>713</v>
      </c>
      <c r="R35" s="1123"/>
      <c r="S35" s="1123"/>
      <c r="T35" s="1124" t="s">
        <v>712</v>
      </c>
      <c r="U35" s="1124"/>
      <c r="V35" s="1124"/>
      <c r="W35" s="1124"/>
      <c r="X35" s="1124"/>
      <c r="Y35" s="1124"/>
      <c r="Z35" s="1124"/>
      <c r="AA35" s="1124"/>
      <c r="AB35" s="1124"/>
      <c r="AC35" s="1153" t="s">
        <v>336</v>
      </c>
      <c r="AD35" s="1154"/>
      <c r="AE35" s="1154"/>
      <c r="AF35" s="1154"/>
      <c r="AG35" s="1154"/>
      <c r="AH35" s="1154"/>
      <c r="AI35" s="1154"/>
      <c r="AJ35" s="1154"/>
      <c r="AK35" s="1154"/>
      <c r="AL35" s="1154"/>
      <c r="AM35" s="1154"/>
      <c r="AN35" s="1154"/>
      <c r="AO35" s="1154"/>
      <c r="AP35" s="1154"/>
      <c r="AQ35" s="1154"/>
      <c r="AR35" s="1154"/>
      <c r="AS35" s="1154"/>
      <c r="AT35" s="1154"/>
      <c r="AU35" s="1154"/>
      <c r="AV35" s="1154"/>
      <c r="AW35" s="1154"/>
      <c r="AX35" s="1154"/>
      <c r="AY35" s="1154"/>
      <c r="AZ35" s="1154"/>
      <c r="BA35" s="1154"/>
      <c r="BB35" s="1154"/>
      <c r="BC35" s="1154"/>
      <c r="BD35" s="1154"/>
      <c r="BE35" s="1155"/>
      <c r="BH35" s="223"/>
      <c r="BI35" s="638" t="s">
        <v>337</v>
      </c>
      <c r="BJ35" s="638">
        <v>10</v>
      </c>
      <c r="BK35" s="638" t="s">
        <v>338</v>
      </c>
      <c r="BL35" s="690">
        <v>2.1760000000000002</v>
      </c>
      <c r="BM35" s="822">
        <v>2.1760000000000002</v>
      </c>
      <c r="BN35" s="653">
        <f t="shared" si="5"/>
        <v>1</v>
      </c>
      <c r="BO35" s="289">
        <f>IF(SUM(BM35:BM37)=0,0,SUM(BL35:BL37)/SUM(BM35:BM37))</f>
        <v>1</v>
      </c>
      <c r="BP35" s="821">
        <v>1</v>
      </c>
      <c r="BQ35" s="690"/>
      <c r="BR35" s="822"/>
      <c r="BS35" s="653" t="str">
        <f t="shared" si="6"/>
        <v/>
      </c>
      <c r="BT35" s="289">
        <f>IF(SUM(BR35:BR37)=0,0,SUM(BQ35:BQ37)/SUM(BR35:BR37))</f>
        <v>0</v>
      </c>
      <c r="BU35" s="821">
        <v>1</v>
      </c>
      <c r="BX35" s="642" t="str">
        <f t="shared" si="3"/>
        <v>Jul</v>
      </c>
      <c r="BY35" s="643">
        <f>IF(CB35=$CB38,SUMIF($BI26:$BI37,$BX35,$BR26:$BR37),SUMIF($BI26:$BI37,$BX35,$BM26:$BM37))</f>
        <v>2.1760000000000002</v>
      </c>
      <c r="BZ35" s="821">
        <f>IF(IF(CB35=CB38,SUMIF(BI26:BI37,$BX35,BU26:BU37),SUMIF(BI26:BI37,$BX35,BP26:BP37))=0,NA(),IF(CB35=CB38,SUMIF(BI26:BI37,$BX35,BU26:BU37),SUMIF(BI26:BI37,$BX35,BP26:BP37)))</f>
        <v>1</v>
      </c>
      <c r="CA35" s="644">
        <f>IF(IF(CB35=CB38,SUMIF(BI26:BI37,$BX35,BS26:BS37),SUMIF(BI26:BI37,$BX35,BN26:BN37))=0,NA(),IF(CB35=CB38,SUMIF(BI26:BI37,$BX35,BS26:BS37),SUMIF(BI26:BI37,$BX35,BN26:BN37)))</f>
        <v>1</v>
      </c>
      <c r="CB35" s="645">
        <v>23</v>
      </c>
      <c r="CC35" s="645">
        <f t="shared" si="4"/>
        <v>7</v>
      </c>
    </row>
    <row r="36" spans="1:81" ht="15" customHeight="1">
      <c r="B36" s="1156"/>
      <c r="C36" s="1157"/>
      <c r="D36" s="1157"/>
      <c r="E36" s="1157"/>
      <c r="F36" s="1157"/>
      <c r="G36" s="1157"/>
      <c r="H36" s="1157"/>
      <c r="I36" s="1157"/>
      <c r="J36" s="1158"/>
      <c r="K36" s="1124" t="s">
        <v>23</v>
      </c>
      <c r="L36" s="1124"/>
      <c r="M36" s="1124"/>
      <c r="N36" s="1124" t="s">
        <v>339</v>
      </c>
      <c r="O36" s="1124"/>
      <c r="P36" s="1124"/>
      <c r="Q36" s="1123"/>
      <c r="R36" s="1123"/>
      <c r="S36" s="1123"/>
      <c r="T36" s="1123" t="s">
        <v>340</v>
      </c>
      <c r="U36" s="1123"/>
      <c r="V36" s="1123"/>
      <c r="W36" s="1123" t="s">
        <v>341</v>
      </c>
      <c r="X36" s="1123"/>
      <c r="Y36" s="1123"/>
      <c r="Z36" s="1123" t="s">
        <v>342</v>
      </c>
      <c r="AA36" s="1123"/>
      <c r="AB36" s="1123"/>
      <c r="AC36" s="1156"/>
      <c r="AD36" s="1157"/>
      <c r="AE36" s="1157"/>
      <c r="AF36" s="1157"/>
      <c r="AG36" s="1157"/>
      <c r="AH36" s="1157"/>
      <c r="AI36" s="1157"/>
      <c r="AJ36" s="1157"/>
      <c r="AK36" s="1157"/>
      <c r="AL36" s="1157"/>
      <c r="AM36" s="1157"/>
      <c r="AN36" s="1157"/>
      <c r="AO36" s="1157"/>
      <c r="AP36" s="1157"/>
      <c r="AQ36" s="1157"/>
      <c r="AR36" s="1157"/>
      <c r="AS36" s="1157"/>
      <c r="AT36" s="1157"/>
      <c r="AU36" s="1157"/>
      <c r="AV36" s="1157"/>
      <c r="AW36" s="1157"/>
      <c r="AX36" s="1157"/>
      <c r="AY36" s="1157"/>
      <c r="AZ36" s="1157"/>
      <c r="BA36" s="1157"/>
      <c r="BB36" s="1157"/>
      <c r="BC36" s="1157"/>
      <c r="BD36" s="1157"/>
      <c r="BE36" s="1158"/>
      <c r="BH36" s="223"/>
      <c r="BI36" s="638" t="s">
        <v>343</v>
      </c>
      <c r="BJ36" s="638">
        <v>11</v>
      </c>
      <c r="BK36" s="638" t="s">
        <v>338</v>
      </c>
      <c r="BL36" s="690">
        <v>2.032</v>
      </c>
      <c r="BM36" s="822">
        <v>2.032</v>
      </c>
      <c r="BN36" s="653">
        <f t="shared" si="5"/>
        <v>1</v>
      </c>
      <c r="BO36" s="855"/>
      <c r="BP36" s="821">
        <v>1</v>
      </c>
      <c r="BQ36" s="690"/>
      <c r="BR36" s="822"/>
      <c r="BS36" s="653" t="str">
        <f t="shared" si="6"/>
        <v/>
      </c>
      <c r="BT36" s="855"/>
      <c r="BU36" s="821">
        <v>1</v>
      </c>
      <c r="BX36" s="642" t="str">
        <f t="shared" si="3"/>
        <v>Aug</v>
      </c>
      <c r="BY36" s="643">
        <f>IF(CB36=$CB38,SUMIF($BI26:$BI37,$BX36,$BR26:$BR37),SUMIF($BI26:$BI37,$BX36,$BM26:$BM37))</f>
        <v>2.032</v>
      </c>
      <c r="BZ36" s="821">
        <f>IF(IF(CB36=CB38,SUMIF(BI26:BI37,$BX36,BU26:BU37),SUMIF(BI26:BI37,$BX36,BP26:BP37))=0,NA(),IF(CB36=CB38,SUMIF(BI26:BI37,$BX36,BU26:BU37),SUMIF(BI26:BI37,$BX36,BP26:BP37)))</f>
        <v>1</v>
      </c>
      <c r="CA36" s="644">
        <f>IF(IF(CB36=CB38,SUMIF(BI26:BI37,$BX36,BS26:BS37),SUMIF(BI26:BI37,$BX36,BN26:BN37))=0,NA(),IF(CB36=CB38,SUMIF(BI26:BI37,$BX36,BS26:BS37),SUMIF(BI26:BI37,$BX36,BN26:BN37)))</f>
        <v>1</v>
      </c>
      <c r="CB36" s="645">
        <v>23</v>
      </c>
      <c r="CC36" s="645">
        <f t="shared" si="4"/>
        <v>8</v>
      </c>
    </row>
    <row r="37" spans="1:81" ht="15" customHeight="1">
      <c r="B37" s="1159"/>
      <c r="C37" s="1160"/>
      <c r="D37" s="1160"/>
      <c r="E37" s="1160"/>
      <c r="F37" s="1160"/>
      <c r="G37" s="1160"/>
      <c r="H37" s="1160"/>
      <c r="I37" s="1160"/>
      <c r="J37" s="1161"/>
      <c r="K37" s="1124"/>
      <c r="L37" s="1124"/>
      <c r="M37" s="1124"/>
      <c r="N37" s="1124"/>
      <c r="O37" s="1124"/>
      <c r="P37" s="1124"/>
      <c r="Q37" s="1123"/>
      <c r="R37" s="1123"/>
      <c r="S37" s="1123"/>
      <c r="T37" s="1123"/>
      <c r="U37" s="1123"/>
      <c r="V37" s="1123"/>
      <c r="W37" s="1123"/>
      <c r="X37" s="1123"/>
      <c r="Y37" s="1123"/>
      <c r="Z37" s="1123"/>
      <c r="AA37" s="1123"/>
      <c r="AB37" s="1123"/>
      <c r="AC37" s="1159"/>
      <c r="AD37" s="1160"/>
      <c r="AE37" s="1160"/>
      <c r="AF37" s="1160"/>
      <c r="AG37" s="1160"/>
      <c r="AH37" s="1160"/>
      <c r="AI37" s="1160"/>
      <c r="AJ37" s="1160"/>
      <c r="AK37" s="1160"/>
      <c r="AL37" s="1160"/>
      <c r="AM37" s="1160"/>
      <c r="AN37" s="1160"/>
      <c r="AO37" s="1160"/>
      <c r="AP37" s="1160"/>
      <c r="AQ37" s="1160"/>
      <c r="AR37" s="1160"/>
      <c r="AS37" s="1160"/>
      <c r="AT37" s="1160"/>
      <c r="AU37" s="1160"/>
      <c r="AV37" s="1160"/>
      <c r="AW37" s="1160"/>
      <c r="AX37" s="1160"/>
      <c r="AY37" s="1160"/>
      <c r="AZ37" s="1160"/>
      <c r="BA37" s="1160"/>
      <c r="BB37" s="1160"/>
      <c r="BC37" s="1160"/>
      <c r="BD37" s="1160"/>
      <c r="BE37" s="1161"/>
      <c r="BH37" s="223"/>
      <c r="BI37" s="638" t="s">
        <v>344</v>
      </c>
      <c r="BJ37" s="638">
        <v>12</v>
      </c>
      <c r="BK37" s="638" t="s">
        <v>338</v>
      </c>
      <c r="BL37" s="690">
        <v>1.2090000000000001</v>
      </c>
      <c r="BM37" s="822">
        <v>1.2090000000000001</v>
      </c>
      <c r="BN37" s="653">
        <f t="shared" si="5"/>
        <v>1</v>
      </c>
      <c r="BO37" s="855"/>
      <c r="BP37" s="821">
        <v>1</v>
      </c>
      <c r="BQ37" s="690"/>
      <c r="BR37" s="822"/>
      <c r="BS37" s="653" t="str">
        <f t="shared" si="6"/>
        <v/>
      </c>
      <c r="BT37" s="855"/>
      <c r="BU37" s="821">
        <v>1</v>
      </c>
      <c r="BX37" s="642" t="str">
        <f t="shared" si="3"/>
        <v>Sep</v>
      </c>
      <c r="BY37" s="643">
        <f>IF(CB37=$CB38,SUMIF($BI26:$BI37,$BX37,$BR26:$BR37),SUMIF($BI26:$BI37,$BX37,$BM26:$BM37))</f>
        <v>1.2090000000000001</v>
      </c>
      <c r="BZ37" s="821">
        <f>IF(IF(CB37=CB38,SUMIF(BI26:BI37,$BX37,BU26:BU37),SUMIF(BI26:BI37,$BX37,BP26:BP37))=0,NA(),IF(CB37=CB38,SUMIF(BI26:BI37,$BX37,BU26:BU37),SUMIF(BI26:BI37,$BX37,BP26:BP37)))</f>
        <v>1</v>
      </c>
      <c r="CA37" s="644">
        <f>IF(IF(CB37=CB38,SUMIF(BI26:BI37,$BX37,BS26:BS37),SUMIF(BI26:BI37,$BX37,BN26:BN37))=0,NA(),IF(CB37=CB38,SUMIF(BI26:BI37,$BX37,BS26:BS37),SUMIF(BI26:BI37,$BX37,BN26:BN37)))</f>
        <v>1</v>
      </c>
      <c r="CB37" s="645">
        <v>23</v>
      </c>
      <c r="CC37" s="645">
        <f>IF(CC38-1&lt;1,CC38+11,CC38-1)</f>
        <v>9</v>
      </c>
    </row>
    <row r="38" spans="1:81" ht="45" customHeight="1">
      <c r="B38" s="1211" t="s">
        <v>345</v>
      </c>
      <c r="C38" s="1212"/>
      <c r="D38" s="1212"/>
      <c r="E38" s="1212"/>
      <c r="F38" s="1212"/>
      <c r="G38" s="1212"/>
      <c r="H38" s="1212"/>
      <c r="I38" s="1212"/>
      <c r="J38" s="1213"/>
      <c r="K38" s="1125">
        <f>SUMIF(CB!$BJ$26:$BJ$37,Cover!$M$36,CB!$BN$26:$BN$37)</f>
        <v>1</v>
      </c>
      <c r="L38" s="1125"/>
      <c r="M38" s="1125"/>
      <c r="N38" s="1125">
        <f>SUMIF(CB!$BK$26:$BK$37,Cover!$M$35,CB!$BO$26:$BO$37)</f>
        <v>1</v>
      </c>
      <c r="O38" s="1125"/>
      <c r="P38" s="1125"/>
      <c r="Q38" s="1174">
        <f>SUMIF(CB!$BJ$26:$BJ$37,Cover!$M$36,CB!$BU$26:$BU$37)</f>
        <v>1</v>
      </c>
      <c r="R38" s="1175"/>
      <c r="S38" s="1175"/>
      <c r="T38" s="1125">
        <f>IF(Cover!$M$36=1,SUMIF(CB!$BJ$26:$BJ$37,12,CB!$BN$26:$BN$37),SUMIF(CB!$BJ$26:$BJ$37,Cover!$M$36-1,CB!$BS$26:$BS$37))</f>
        <v>1</v>
      </c>
      <c r="U38" s="1125"/>
      <c r="V38" s="1125"/>
      <c r="W38" s="1125">
        <f>SUMIF(CB!$BJ$26:$BJ$37,Cover!$M$36,CB!$BS$26:$BS$37)</f>
        <v>1</v>
      </c>
      <c r="X38" s="1125"/>
      <c r="Y38" s="1125"/>
      <c r="Z38" s="1125">
        <f>SUMIF(CB!$BK$26:$BK$37,Cover!$M$35,CB!$BT$26:$BT$37)</f>
        <v>1</v>
      </c>
      <c r="AA38" s="1125"/>
      <c r="AB38" s="1125"/>
      <c r="AC38" s="1239" t="s">
        <v>757</v>
      </c>
      <c r="AD38" s="1240"/>
      <c r="AE38" s="1240"/>
      <c r="AF38" s="1240"/>
      <c r="AG38" s="1240"/>
      <c r="AH38" s="1240"/>
      <c r="AI38" s="1240"/>
      <c r="AJ38" s="1240"/>
      <c r="AK38" s="1240"/>
      <c r="AL38" s="1240"/>
      <c r="AM38" s="1240"/>
      <c r="AN38" s="1240"/>
      <c r="AO38" s="1240"/>
      <c r="AP38" s="1240"/>
      <c r="AQ38" s="1240"/>
      <c r="AR38" s="1240"/>
      <c r="AS38" s="1240"/>
      <c r="AT38" s="1240"/>
      <c r="AU38" s="1240"/>
      <c r="AV38" s="1240"/>
      <c r="AW38" s="1240"/>
      <c r="AX38" s="1240"/>
      <c r="AY38" s="1240"/>
      <c r="AZ38" s="1240"/>
      <c r="BA38" s="1240"/>
      <c r="BB38" s="1240"/>
      <c r="BC38" s="1240"/>
      <c r="BD38" s="1240"/>
      <c r="BE38" s="1241"/>
      <c r="BH38" s="160">
        <f>IF(Q38=0,4,IF(W38=0,0,IF(Q38="","",IF(W38&gt;=Q38,1,IF(W38&lt;Q38*0.9,3,2)))))</f>
        <v>1</v>
      </c>
      <c r="BJ38" s="277"/>
      <c r="BK38" s="277"/>
      <c r="BL38" s="277"/>
      <c r="BM38" s="277"/>
      <c r="BN38" s="277"/>
      <c r="BO38" s="277"/>
      <c r="BP38" s="277"/>
      <c r="BQ38" s="277"/>
      <c r="BR38" s="277"/>
      <c r="BS38" s="277"/>
      <c r="BT38" s="277"/>
      <c r="BW38" s="647" t="str">
        <f>Cover!$M$34</f>
        <v>OCT FY-24</v>
      </c>
      <c r="BX38" s="642" t="str">
        <f>TEXT(CONCATENATE(CC38,"/01/20",CB38),"MMM")</f>
        <v>Oct</v>
      </c>
      <c r="BY38" s="643">
        <f>SUMIF($BI26:$BI37,$BX38,$BR26:$BR37)</f>
        <v>2.327</v>
      </c>
      <c r="BZ38" s="821">
        <f>IF(IF(CB38=CB38,SUMIF(BI26:BI37,$BX38,BU26:BU37),SUMIF(BI26:BI37,$BX38,BP26:BP37))=0,NA(),IF(CB38=CB38,SUMIF(BI26:BI37,$BX38,BU26:BU37),SUMIF(BI26:BI37,$BX38,BP26:BP37)))</f>
        <v>1</v>
      </c>
      <c r="CA38" s="644">
        <f>IF(SUMIF($BI26:$BI37,$BX38,$BS26:$BS37)=0,NA(),SUMIF($BI26:$BI37,$BX38,$BS26:$BS37))</f>
        <v>1</v>
      </c>
      <c r="CB38" s="645">
        <v>24</v>
      </c>
      <c r="CC38" s="645">
        <f>MONTH(DATEVALUE(LEFT(BW38,3)&amp;" 1"))</f>
        <v>10</v>
      </c>
    </row>
    <row r="39" spans="1:81" ht="45" customHeight="1">
      <c r="B39" s="1208" t="s">
        <v>346</v>
      </c>
      <c r="C39" s="1209"/>
      <c r="D39" s="1209"/>
      <c r="E39" s="1209"/>
      <c r="F39" s="1209"/>
      <c r="G39" s="1209"/>
      <c r="H39" s="1209"/>
      <c r="I39" s="1209"/>
      <c r="J39" s="1210"/>
      <c r="K39" s="1125">
        <f>SUMIF(CB!$BJ$45:$BJ$56,Cover!$M$36,CB!$BN$45:$BN$56)</f>
        <v>0.99442379182156138</v>
      </c>
      <c r="L39" s="1125"/>
      <c r="M39" s="1125"/>
      <c r="N39" s="1125">
        <f>SUMIF(CB!$BK$45:$BK$56,Cover!$M$35,CB!$BO$45:$BO$56)</f>
        <v>0.99566294919454779</v>
      </c>
      <c r="O39" s="1125"/>
      <c r="P39" s="1125"/>
      <c r="Q39" s="1176">
        <f>SUMIF(CB!$BJ$45:$BJ$56,Cover!$M$36,CB!$BU$45:$BU$56)</f>
        <v>1</v>
      </c>
      <c r="R39" s="1176"/>
      <c r="S39" s="1176"/>
      <c r="T39" s="1125">
        <f>IF(Cover!$M$36=1,SUMIF(CB!$BJ$45:$BJ$56,12,CB!$BN$45:$BN$56),SUMIF(CB!$BJ$45:$BJ$56,Cover!$M$36-1,CB!$BS$45:$BS$56))</f>
        <v>1</v>
      </c>
      <c r="U39" s="1125"/>
      <c r="V39" s="1125"/>
      <c r="W39" s="1125">
        <f>SUMIF(CB!$BJ$45:$BJ$56,Cover!$M$36,CB!$BS$45:$BS$56)</f>
        <v>0.98920086393088547</v>
      </c>
      <c r="X39" s="1125"/>
      <c r="Y39" s="1125"/>
      <c r="Z39" s="1125">
        <f>SUMIF(CB!$BK$45:$BK$56,Cover!$M$35,CB!$BT$45:$BT$56)</f>
        <v>0.98920086393088547</v>
      </c>
      <c r="AA39" s="1125"/>
      <c r="AB39" s="1125"/>
      <c r="AC39" s="1242" t="s">
        <v>792</v>
      </c>
      <c r="AD39" s="1243"/>
      <c r="AE39" s="1243"/>
      <c r="AF39" s="1243"/>
      <c r="AG39" s="1243"/>
      <c r="AH39" s="1243"/>
      <c r="AI39" s="1243"/>
      <c r="AJ39" s="1243"/>
      <c r="AK39" s="1243"/>
      <c r="AL39" s="1243"/>
      <c r="AM39" s="1243"/>
      <c r="AN39" s="1243"/>
      <c r="AO39" s="1243"/>
      <c r="AP39" s="1243"/>
      <c r="AQ39" s="1243"/>
      <c r="AR39" s="1243"/>
      <c r="AS39" s="1243"/>
      <c r="AT39" s="1243"/>
      <c r="AU39" s="1243"/>
      <c r="AV39" s="1243"/>
      <c r="AW39" s="1243"/>
      <c r="AX39" s="1243"/>
      <c r="AY39" s="1243"/>
      <c r="AZ39" s="1243"/>
      <c r="BA39" s="1243"/>
      <c r="BB39" s="1243"/>
      <c r="BC39" s="1243"/>
      <c r="BD39" s="1243"/>
      <c r="BE39" s="1244"/>
      <c r="BH39" s="160">
        <f>IF(Q39=0,4,IF(W39=0,0,IF(Q39="","",IF(W39&gt;=Q39,1,IF(W39&lt;Q39*0.9,3,2)))))</f>
        <v>2</v>
      </c>
      <c r="BI39" s="37"/>
      <c r="BJ39" s="37"/>
      <c r="BK39" s="37"/>
      <c r="BL39" s="37"/>
      <c r="BM39" s="37"/>
      <c r="BN39" s="37"/>
      <c r="BO39" s="37"/>
      <c r="BP39" s="37"/>
      <c r="BQ39" s="37"/>
      <c r="BR39" s="37"/>
      <c r="BS39" s="37"/>
      <c r="BT39" s="37"/>
      <c r="BU39" s="37"/>
    </row>
    <row r="40" spans="1:81" customFormat="1" ht="45" customHeight="1">
      <c r="A40" s="6"/>
      <c r="B40" s="1211" t="str">
        <f>BJ59</f>
        <v>Cost per Manually Reconciled Item</v>
      </c>
      <c r="C40" s="1212"/>
      <c r="D40" s="1212"/>
      <c r="E40" s="1212"/>
      <c r="F40" s="1212"/>
      <c r="G40" s="1212"/>
      <c r="H40" s="1212"/>
      <c r="I40" s="1212"/>
      <c r="J40" s="1213"/>
      <c r="K40" s="1214">
        <f>SUMIF(CB!$BJ$64:$BJ$75,Cover!$M$36,CB!$BN$64:$BN$75)</f>
        <v>2.4604067097741544</v>
      </c>
      <c r="L40" s="1214"/>
      <c r="M40" s="1214"/>
      <c r="N40" s="1214">
        <f>SUMIF(CB!$BK$64:$BK$75,Cover!$M$35,CB!$BO$64:$BO$75)</f>
        <v>2.2482411907808557</v>
      </c>
      <c r="O40" s="1214"/>
      <c r="P40" s="1214"/>
      <c r="Q40" s="1236">
        <f>SUMIF(CB!$BJ$64:$BJ$75,Cover!$M$36,CB!$BU$64:$BU$75)</f>
        <v>0</v>
      </c>
      <c r="R40" s="1236"/>
      <c r="S40" s="1236"/>
      <c r="T40" s="1214">
        <f>IF(Cover!$M$36=1,SUMIF($BJ$64:$BJ$75,12,$BN$64:$BN$75),SUMIF(CB!$BJ$64:$BJ$75,Cover!$M$36-1,CB!$BS$64:$BS$75))</f>
        <v>1.9132644197359276</v>
      </c>
      <c r="U40" s="1214"/>
      <c r="V40" s="1214"/>
      <c r="W40" s="1214">
        <f>SUMIF(CB!$BJ$64:$BJ$75,Cover!$M$36,CB!$BS$64:$BS$75)</f>
        <v>1.9293276425918742</v>
      </c>
      <c r="X40" s="1214"/>
      <c r="Y40" s="1214"/>
      <c r="Z40" s="1214">
        <f>SUMIF(CB!$BK$64:$BK$75,Cover!$M$35,CB!$BT$64:$BT$75)</f>
        <v>1.9293276425918742</v>
      </c>
      <c r="AA40" s="1214"/>
      <c r="AB40" s="1214"/>
      <c r="AC40" s="1239" t="s">
        <v>758</v>
      </c>
      <c r="AD40" s="1240"/>
      <c r="AE40" s="1240"/>
      <c r="AF40" s="1240"/>
      <c r="AG40" s="1240"/>
      <c r="AH40" s="1240"/>
      <c r="AI40" s="1240"/>
      <c r="AJ40" s="1240"/>
      <c r="AK40" s="1240"/>
      <c r="AL40" s="1240"/>
      <c r="AM40" s="1240"/>
      <c r="AN40" s="1240"/>
      <c r="AO40" s="1240"/>
      <c r="AP40" s="1240"/>
      <c r="AQ40" s="1240"/>
      <c r="AR40" s="1240"/>
      <c r="AS40" s="1240"/>
      <c r="AT40" s="1240"/>
      <c r="AU40" s="1240"/>
      <c r="AV40" s="1240"/>
      <c r="AW40" s="1240"/>
      <c r="AX40" s="1240"/>
      <c r="AY40" s="1240"/>
      <c r="AZ40" s="1240"/>
      <c r="BA40" s="1240"/>
      <c r="BB40" s="1240"/>
      <c r="BC40" s="1240"/>
      <c r="BD40" s="1240"/>
      <c r="BE40" s="1241"/>
      <c r="BF40" s="6"/>
      <c r="BH40" s="160">
        <f>IF(Q40=0,4,IF(W40=0,0,IF(Q40="","",IF(W40&gt;=Q40,1,IF(W40&lt;Q40*0.9,3,2)))))</f>
        <v>4</v>
      </c>
      <c r="BI40" s="54" t="s">
        <v>292</v>
      </c>
      <c r="BJ40" s="1116" t="s">
        <v>347</v>
      </c>
      <c r="BK40" s="1116"/>
      <c r="BL40" s="1116"/>
      <c r="BM40" s="1116"/>
      <c r="BN40" s="1116"/>
      <c r="BO40" s="1116"/>
      <c r="BP40" s="1116"/>
      <c r="BQ40" s="1116"/>
      <c r="BR40" s="1116"/>
      <c r="BS40" s="1116"/>
      <c r="BT40" s="1116"/>
      <c r="BU40" s="1116"/>
      <c r="BV40" s="270"/>
      <c r="BW40" s="37"/>
      <c r="BX40" s="37"/>
      <c r="BY40" s="270"/>
      <c r="BZ40" s="270"/>
      <c r="CA40" s="270"/>
      <c r="CB40" s="270"/>
      <c r="CC40" s="270"/>
    </row>
    <row r="41" spans="1:81" ht="45" customHeight="1">
      <c r="B41" s="1208" t="str">
        <f>BJ78</f>
        <v>Canada Debit Pending Items over 60 Days</v>
      </c>
      <c r="C41" s="1209"/>
      <c r="D41" s="1209"/>
      <c r="E41" s="1209"/>
      <c r="F41" s="1209"/>
      <c r="G41" s="1209"/>
      <c r="H41" s="1209"/>
      <c r="I41" s="1209"/>
      <c r="J41" s="1210"/>
      <c r="K41" s="1207">
        <f>SUMIF(CB!$BJ$83:$BJ$94,Cover!$M$36,CB!$BN$83:$BN$94)</f>
        <v>1</v>
      </c>
      <c r="L41" s="1207"/>
      <c r="M41" s="1207"/>
      <c r="N41" s="1207">
        <f>SUMIF(CB!$BK$83:$BK$94,Cover!$M$35,CB!$BO$83:$BO$94)</f>
        <v>1</v>
      </c>
      <c r="O41" s="1207"/>
      <c r="P41" s="1207"/>
      <c r="Q41" s="1238">
        <f>SUMIF(CB!$BJ$83:$BJ$94,Cover!$M$36,CB!$BU$83:$BU$94)</f>
        <v>1</v>
      </c>
      <c r="R41" s="1238"/>
      <c r="S41" s="1238"/>
      <c r="T41" s="1237">
        <f>IF(Cover!$M$36=1,SUMIF(CB!$BJ$83:$BJ$94,12,CB!$BN$83:$BN$94),SUMIF(CB!$BJ$83:$BJ$94,Cover!$M$36-1,CB!$BS$83:$BS$94))</f>
        <v>1</v>
      </c>
      <c r="U41" s="1237"/>
      <c r="V41" s="1237"/>
      <c r="W41" s="1237">
        <f>SUMIF(CB!$BJ$83:$BJ$94,Cover!$M$36,CB!$BS$83:$BS$94)</f>
        <v>1</v>
      </c>
      <c r="X41" s="1237"/>
      <c r="Y41" s="1237"/>
      <c r="Z41" s="1237">
        <f>SUMIF(CB!$BK$83:$BK$94,Cover!$M$35,CB!$BT$83:$BT$94)</f>
        <v>1</v>
      </c>
      <c r="AA41" s="1237"/>
      <c r="AB41" s="1237"/>
      <c r="AC41" s="1242" t="s">
        <v>757</v>
      </c>
      <c r="AD41" s="1243"/>
      <c r="AE41" s="1243"/>
      <c r="AF41" s="1243"/>
      <c r="AG41" s="1243"/>
      <c r="AH41" s="1243"/>
      <c r="AI41" s="1243"/>
      <c r="AJ41" s="1243"/>
      <c r="AK41" s="1243"/>
      <c r="AL41" s="1243"/>
      <c r="AM41" s="1243"/>
      <c r="AN41" s="1243"/>
      <c r="AO41" s="1243"/>
      <c r="AP41" s="1243"/>
      <c r="AQ41" s="1243"/>
      <c r="AR41" s="1243"/>
      <c r="AS41" s="1243"/>
      <c r="AT41" s="1243"/>
      <c r="AU41" s="1243"/>
      <c r="AV41" s="1243"/>
      <c r="AW41" s="1243"/>
      <c r="AX41" s="1243"/>
      <c r="AY41" s="1243"/>
      <c r="AZ41" s="1243"/>
      <c r="BA41" s="1243"/>
      <c r="BB41" s="1243"/>
      <c r="BC41" s="1243"/>
      <c r="BD41" s="1243"/>
      <c r="BE41" s="1244"/>
      <c r="BH41" s="160">
        <f>IF(Q41=0,4,IF(W41=0,0,IF(Q41="","",IF(W41&gt;=Q41,1,IF(W41&lt;Q41*0.9,3,2)))))</f>
        <v>1</v>
      </c>
      <c r="BI41" s="54" t="s">
        <v>296</v>
      </c>
      <c r="BJ41" s="283" t="s">
        <v>348</v>
      </c>
      <c r="BK41" s="283"/>
      <c r="BL41" s="283"/>
      <c r="BM41" s="283"/>
      <c r="BN41" s="283"/>
      <c r="BO41" s="283"/>
      <c r="BP41" s="283"/>
      <c r="BQ41" s="283"/>
      <c r="BR41" s="283"/>
      <c r="BS41" s="283"/>
      <c r="BT41" s="283"/>
      <c r="BU41" s="283"/>
      <c r="BW41" s="270"/>
      <c r="BX41" s="270"/>
    </row>
    <row r="42" spans="1:81" ht="45" customHeight="1" thickBot="1">
      <c r="A42"/>
      <c r="B42" s="1211" t="str">
        <f>BJ96</f>
        <v>Canada Bank Account Reconciliation</v>
      </c>
      <c r="C42" s="1212"/>
      <c r="D42" s="1212"/>
      <c r="E42" s="1212"/>
      <c r="F42" s="1212"/>
      <c r="G42" s="1212"/>
      <c r="H42" s="1212"/>
      <c r="I42" s="1212"/>
      <c r="J42" s="1213"/>
      <c r="K42" s="1215">
        <f>SUMIF($BJ$101:$BJ$112,Cover!$M$36,$BN$101:$BN$112)</f>
        <v>1</v>
      </c>
      <c r="L42" s="1215"/>
      <c r="M42" s="1215"/>
      <c r="N42" s="1216">
        <f>SUMIF($BK$101:$BK$112,Cover!$M$35,$BO$101:$BO$112)</f>
        <v>1</v>
      </c>
      <c r="O42" s="1216"/>
      <c r="P42" s="1216"/>
      <c r="Q42" s="1174">
        <f>SUMIF($BJ$101:$BJ$112,Cover!$M$36,$BU$101:$BU$112)</f>
        <v>1</v>
      </c>
      <c r="R42" s="1175"/>
      <c r="S42" s="1175"/>
      <c r="T42" s="1217">
        <f>IF(Cover!$M$36=1,SUMIF(CB!$BJ$101:$BJ$112,12,CB!$BN$101:$BN$112),SUMIF(CB!$BJ$101:$BJ$112,Cover!$M$36-1,CB!$BS$101:$BS$112))</f>
        <v>1</v>
      </c>
      <c r="U42" s="1217"/>
      <c r="V42" s="1217"/>
      <c r="W42" s="1217">
        <f>SUMIF(CB!$BJ$101:$BJ$112,Cover!$M$36,CB!$BS$101:$BS$112)</f>
        <v>1</v>
      </c>
      <c r="X42" s="1217"/>
      <c r="Y42" s="1217"/>
      <c r="Z42" s="1217">
        <f>SUMIF(CB!$BK$101:$BK$112,Cover!$M$35,CB!$BT$101:$BT$112)</f>
        <v>1</v>
      </c>
      <c r="AA42" s="1217"/>
      <c r="AB42" s="1217"/>
      <c r="AC42" s="1218" t="s">
        <v>757</v>
      </c>
      <c r="AD42" s="1219"/>
      <c r="AE42" s="1219"/>
      <c r="AF42" s="1219"/>
      <c r="AG42" s="1219"/>
      <c r="AH42" s="1219"/>
      <c r="AI42" s="1219"/>
      <c r="AJ42" s="1219"/>
      <c r="AK42" s="1219"/>
      <c r="AL42" s="1219"/>
      <c r="AM42" s="1219"/>
      <c r="AN42" s="1219"/>
      <c r="AO42" s="1219"/>
      <c r="AP42" s="1219"/>
      <c r="AQ42" s="1219"/>
      <c r="AR42" s="1219"/>
      <c r="AS42" s="1219"/>
      <c r="AT42" s="1219"/>
      <c r="AU42" s="1219"/>
      <c r="AV42" s="1219"/>
      <c r="AW42" s="1219"/>
      <c r="AX42" s="1219"/>
      <c r="AY42" s="1219"/>
      <c r="AZ42" s="1219"/>
      <c r="BA42" s="1219"/>
      <c r="BB42" s="1219"/>
      <c r="BC42" s="1219"/>
      <c r="BD42" s="1219"/>
      <c r="BE42" s="1220"/>
      <c r="BF42"/>
      <c r="BH42" s="160">
        <f>IF(Q42=0,4,IF(W42=0,0,IF(Q42="","",IF(W42&gt;=Q42,1,IF(W42&lt;Q42*0.9,3,2)))))</f>
        <v>1</v>
      </c>
      <c r="BI42" s="54" t="s">
        <v>300</v>
      </c>
      <c r="BJ42" s="283" t="s">
        <v>349</v>
      </c>
      <c r="BK42" s="283"/>
      <c r="BL42" s="283"/>
      <c r="BM42" s="283"/>
      <c r="BN42" s="283"/>
      <c r="BO42" s="283"/>
      <c r="BP42" s="283"/>
      <c r="BQ42" s="283"/>
      <c r="BR42" s="283"/>
      <c r="BS42" s="283"/>
      <c r="BT42" s="283"/>
      <c r="BU42" s="283"/>
      <c r="BY42" s="270"/>
      <c r="BZ42" s="270"/>
      <c r="CA42" s="270"/>
      <c r="CB42" s="270"/>
      <c r="CC42" s="270"/>
    </row>
    <row r="43" spans="1:81" ht="15" customHeight="1" thickBot="1">
      <c r="B43" s="336"/>
      <c r="C43" s="336"/>
      <c r="D43" s="336"/>
      <c r="E43" s="336"/>
      <c r="F43" s="336"/>
      <c r="G43" s="336"/>
      <c r="H43" s="336"/>
      <c r="I43" s="336"/>
      <c r="J43" s="336"/>
      <c r="K43" s="336"/>
      <c r="L43" s="336"/>
      <c r="M43" s="336"/>
      <c r="N43" s="336"/>
      <c r="O43" s="336"/>
      <c r="P43" s="336"/>
      <c r="Q43" s="336"/>
      <c r="R43" s="336"/>
      <c r="S43" s="336"/>
      <c r="T43" s="336"/>
      <c r="U43" s="336"/>
      <c r="V43" s="336"/>
      <c r="W43" s="336"/>
      <c r="X43" s="336"/>
      <c r="Y43" s="336"/>
      <c r="Z43" s="336"/>
      <c r="AA43" s="336"/>
      <c r="AB43" s="336"/>
      <c r="AC43" s="336"/>
      <c r="AD43" s="336"/>
      <c r="AE43" s="336"/>
      <c r="AF43" s="336"/>
      <c r="AG43" s="336"/>
      <c r="AH43" s="336"/>
      <c r="AI43" s="336"/>
      <c r="AJ43" s="336"/>
      <c r="AK43" s="336"/>
      <c r="AL43" s="336"/>
      <c r="AM43" s="336"/>
      <c r="AN43" s="336"/>
      <c r="AO43" s="336"/>
      <c r="AP43" s="336"/>
      <c r="AQ43" s="336"/>
      <c r="AR43" s="336"/>
      <c r="AS43" s="336"/>
      <c r="AT43" s="336"/>
      <c r="AU43" s="336"/>
      <c r="AV43" s="336"/>
      <c r="AW43" s="336"/>
      <c r="AX43" s="336"/>
      <c r="AY43" s="336"/>
      <c r="AZ43" s="336"/>
      <c r="BA43" s="336"/>
      <c r="BB43" s="336"/>
      <c r="BC43" s="336"/>
      <c r="BD43" s="336"/>
      <c r="BE43" s="336"/>
      <c r="BH43" s="223"/>
      <c r="BI43" s="277"/>
      <c r="BJ43" s="277"/>
      <c r="BK43" s="277"/>
      <c r="BL43" s="1148" t="s">
        <v>302</v>
      </c>
      <c r="BM43" s="1149"/>
      <c r="BN43" s="1149"/>
      <c r="BO43" s="1149"/>
      <c r="BP43" s="1151"/>
      <c r="BQ43" s="1148" t="s">
        <v>719</v>
      </c>
      <c r="BR43" s="1149"/>
      <c r="BS43" s="1149"/>
      <c r="BT43" s="1149"/>
      <c r="BU43" s="1150"/>
      <c r="BW43" s="1148" t="s">
        <v>303</v>
      </c>
      <c r="BX43" s="1149"/>
      <c r="BY43" s="1149"/>
      <c r="BZ43" s="1149"/>
      <c r="CA43" s="1149"/>
      <c r="CB43" s="1149"/>
      <c r="CC43" s="1150"/>
    </row>
    <row r="44" spans="1:81" ht="15" customHeight="1">
      <c r="B44" s="531" t="s">
        <v>350</v>
      </c>
      <c r="C44" s="533"/>
      <c r="D44" s="533"/>
      <c r="E44" s="533"/>
      <c r="F44" s="533"/>
      <c r="G44" s="532"/>
      <c r="H44" s="532"/>
      <c r="I44" s="532"/>
      <c r="J44" s="532"/>
      <c r="K44" s="532"/>
      <c r="L44" s="539"/>
      <c r="M44" s="533"/>
      <c r="N44" s="533"/>
      <c r="O44" s="532"/>
      <c r="P44" s="532"/>
      <c r="Q44" s="532"/>
      <c r="R44" s="532"/>
      <c r="S44" s="532"/>
      <c r="T44" s="532"/>
      <c r="U44" s="532"/>
      <c r="V44" s="532"/>
      <c r="W44" s="532"/>
      <c r="X44" s="532"/>
      <c r="Y44" s="532"/>
      <c r="Z44" s="532"/>
      <c r="AA44" s="532"/>
      <c r="AB44" s="532"/>
      <c r="AC44" s="532"/>
      <c r="AD44" s="532"/>
      <c r="AE44" s="532"/>
      <c r="AF44" s="532"/>
      <c r="AG44" s="532"/>
      <c r="AH44" s="532"/>
      <c r="AI44" s="532"/>
      <c r="AJ44" s="532"/>
      <c r="AK44" s="532"/>
      <c r="AL44" s="532"/>
      <c r="AM44" s="532"/>
      <c r="AN44" s="532"/>
      <c r="AO44" s="532"/>
      <c r="AP44" s="532"/>
      <c r="AQ44" s="532"/>
      <c r="AR44" s="532"/>
      <c r="AS44" s="532"/>
      <c r="AT44" s="532"/>
      <c r="AU44" s="532"/>
      <c r="AV44" s="532"/>
      <c r="AW44" s="532"/>
      <c r="AX44" s="532"/>
      <c r="AY44" s="532"/>
      <c r="AZ44" s="532"/>
      <c r="BA44" s="532"/>
      <c r="BB44" s="532"/>
      <c r="BC44" s="532"/>
      <c r="BD44" s="532"/>
      <c r="BE44" s="532"/>
      <c r="BI44" s="636" t="s">
        <v>23</v>
      </c>
      <c r="BJ44" s="636" t="s">
        <v>37</v>
      </c>
      <c r="BK44" s="636" t="s">
        <v>304</v>
      </c>
      <c r="BL44" s="637" t="s">
        <v>305</v>
      </c>
      <c r="BM44" s="637" t="s">
        <v>310</v>
      </c>
      <c r="BN44" s="637" t="s">
        <v>311</v>
      </c>
      <c r="BO44" s="278" t="s">
        <v>312</v>
      </c>
      <c r="BP44" s="637" t="s">
        <v>313</v>
      </c>
      <c r="BQ44" s="637" t="s">
        <v>305</v>
      </c>
      <c r="BR44" s="637" t="s">
        <v>715</v>
      </c>
      <c r="BS44" s="637" t="s">
        <v>716</v>
      </c>
      <c r="BT44" s="278" t="s">
        <v>717</v>
      </c>
      <c r="BU44" s="637" t="s">
        <v>718</v>
      </c>
      <c r="BW44" s="279" t="s">
        <v>314</v>
      </c>
      <c r="BX44" s="279" t="s">
        <v>23</v>
      </c>
      <c r="BY44" s="279" t="s">
        <v>315</v>
      </c>
      <c r="BZ44" s="279" t="s">
        <v>122</v>
      </c>
      <c r="CA44" s="279" t="s">
        <v>316</v>
      </c>
      <c r="CB44" s="279" t="s">
        <v>317</v>
      </c>
      <c r="CC44" s="279" t="s">
        <v>318</v>
      </c>
    </row>
    <row r="45" spans="1:81" ht="15" customHeight="1">
      <c r="F45" s="337"/>
      <c r="G45" s="338"/>
      <c r="BI45" s="638" t="s">
        <v>319</v>
      </c>
      <c r="BJ45" s="638">
        <v>1</v>
      </c>
      <c r="BK45" s="638" t="s">
        <v>320</v>
      </c>
      <c r="BL45" s="822">
        <v>0.53500000000000003</v>
      </c>
      <c r="BM45" s="689">
        <v>0.53800000000000003</v>
      </c>
      <c r="BN45" s="653">
        <f>IF(BM45="","",BL45/BM45)</f>
        <v>0.99442379182156138</v>
      </c>
      <c r="BO45" s="289">
        <f>IF(SUM(BM45:BM47=0),0,SUM(BL45:BL47)/SUM(BM45:BM47))</f>
        <v>0.99566294919454779</v>
      </c>
      <c r="BP45" s="821">
        <v>1</v>
      </c>
      <c r="BQ45" s="822">
        <v>0.45800000000000002</v>
      </c>
      <c r="BR45" s="689">
        <v>0.46300000000000002</v>
      </c>
      <c r="BS45" s="653">
        <f>IF(BR45="","",BQ45/BR45)</f>
        <v>0.98920086393088547</v>
      </c>
      <c r="BT45" s="289">
        <f>IF(SUM(BR45:BR47=0),0,SUM(BQ45:BQ47)/SUM(BR45:BR47))</f>
        <v>0.98920086393088547</v>
      </c>
      <c r="BU45" s="821">
        <v>1</v>
      </c>
      <c r="BX45" s="642" t="str">
        <f t="shared" ref="BX45:BX56" si="7">TEXT(CONCATENATE(CC45,"/01/20",CB45),"MMM")</f>
        <v>Oct</v>
      </c>
      <c r="BY45" s="649">
        <f>IF(CB45=$CB57,SUMIF($BI45:$BI56,$BX45,$BR45:$BR56),SUMIF($BI45:$BI56,$BX45,$BM45:$BM56))*1000</f>
        <v>538</v>
      </c>
      <c r="BZ45" s="821">
        <f>IF(IF(CB45=CB57,SUMIF(BI45:BI56,$BX45,BU45:BU56),SUMIF(BI45:BI56,$BX45,BP45:BP56))=0,NA(),IF(CB45=CB57,SUMIF(BI45:BI56,$BX45,BU45:BU56),SUMIF(BI45:BI56,$BX45,BP45:BP56)))</f>
        <v>1</v>
      </c>
      <c r="CA45" s="644">
        <f>IF(IF(CB45=CB57,SUMIF(BI45:BI56,$BX45,BS45:BS56),SUMIF(BI45:BI56,$BX45,BN45:BN56))=0,NA(),IF(CB45=CB57,SUMIF(BI45:BI56,$BX45,BS45:BS56),SUMIF(BI45:BI56,$BX45,BN45:BN56)))</f>
        <v>0.99442379182156138</v>
      </c>
      <c r="CB45" s="645">
        <f>CB26</f>
        <v>23</v>
      </c>
      <c r="CC45" s="645">
        <f t="shared" ref="CC45:CC55" si="8">IF(CC46-1&lt;1,CC46+11,CC46-1)</f>
        <v>10</v>
      </c>
    </row>
    <row r="46" spans="1:81" ht="15" customHeight="1">
      <c r="B46" s="52"/>
      <c r="F46" s="337"/>
      <c r="G46" s="338"/>
      <c r="AD46" s="336"/>
      <c r="BI46" s="638" t="s">
        <v>321</v>
      </c>
      <c r="BJ46" s="638">
        <v>2</v>
      </c>
      <c r="BK46" s="638" t="s">
        <v>320</v>
      </c>
      <c r="BL46" s="822">
        <v>0.53500000000000003</v>
      </c>
      <c r="BM46" s="689">
        <v>0.53800000000000003</v>
      </c>
      <c r="BN46" s="653">
        <f t="shared" ref="BN46:BN56" si="9">IF(BM46="","",BL46/BM46)</f>
        <v>0.99442379182156138</v>
      </c>
      <c r="BO46" s="855"/>
      <c r="BP46" s="821">
        <v>1</v>
      </c>
      <c r="BQ46" s="822"/>
      <c r="BR46" s="689"/>
      <c r="BS46" s="653" t="str">
        <f t="shared" ref="BS46:BS56" si="10">IF(BR46="","",BQ46/BR46)</f>
        <v/>
      </c>
      <c r="BT46" s="855"/>
      <c r="BU46" s="821">
        <v>1</v>
      </c>
      <c r="BX46" s="642" t="str">
        <f t="shared" si="7"/>
        <v>Nov</v>
      </c>
      <c r="BY46" s="649">
        <f>IF(CB46=$CB57,SUMIF($BI45:$BI56,$BX46,$BR45:$BR56),SUMIF($BI45:$BI56,$BX46,$BM45:$BM56))*1000</f>
        <v>538</v>
      </c>
      <c r="BZ46" s="821">
        <f>IF(IF(CB46=CB57,SUMIF(BI45:BI56,$BX46,BU45:BU56),SUMIF(BI45:BI56,$BX46,BP45:BP56))=0,NA(),IF(CB46=CB57,SUMIF(BI45:BI56,$BX46,BU45:BU56),SUMIF(BI45:BI56,$BX46,BP45:BP56)))</f>
        <v>1</v>
      </c>
      <c r="CA46" s="644">
        <f>IF(IF(CB46=CB57,SUMIF(BI45:BI56,$BX46,BS45:BS56),SUMIF(BI45:BI56,$BX46,BN45:BN56))=0,NA(),IF(CB46=CB57,SUMIF(BI45:BI56,$BX46,BS45:BS56),SUMIF(BI45:BI56,$BX46,BN45:BN56)))</f>
        <v>0.99442379182156138</v>
      </c>
      <c r="CB46" s="645">
        <f t="shared" ref="CB46:CB57" si="11">CB27</f>
        <v>23</v>
      </c>
      <c r="CC46" s="645">
        <f t="shared" si="8"/>
        <v>11</v>
      </c>
    </row>
    <row r="47" spans="1:81" ht="15" customHeight="1">
      <c r="BI47" s="638" t="s">
        <v>322</v>
      </c>
      <c r="BJ47" s="638">
        <v>3</v>
      </c>
      <c r="BK47" s="638" t="s">
        <v>320</v>
      </c>
      <c r="BL47" s="822">
        <v>0.53700000000000003</v>
      </c>
      <c r="BM47" s="689">
        <v>0.53800000000000003</v>
      </c>
      <c r="BN47" s="653">
        <f t="shared" si="9"/>
        <v>0.9981412639405205</v>
      </c>
      <c r="BO47" s="855"/>
      <c r="BP47" s="821">
        <v>1</v>
      </c>
      <c r="BQ47" s="822"/>
      <c r="BR47" s="689"/>
      <c r="BS47" s="653" t="str">
        <f t="shared" si="10"/>
        <v/>
      </c>
      <c r="BT47" s="855"/>
      <c r="BU47" s="821">
        <v>1</v>
      </c>
      <c r="BX47" s="642" t="str">
        <f t="shared" si="7"/>
        <v>Dec</v>
      </c>
      <c r="BY47" s="649">
        <f>IF(CB47=$CB57,SUMIF($BI45:$BI56,$BX47,$BR45:$BR56),SUMIF($BI45:$BI56,$BX47,$BM45:$BM56))*1000</f>
        <v>538</v>
      </c>
      <c r="BZ47" s="821">
        <f>IF(IF(CB47=CB57,SUMIF(BI45:BI56,$BX47,BU45:BU56),SUMIF(BI45:BI56,$BX47,BP45:BP56))=0,NA(),IF(CB47=CB57,SUMIF(BI45:BI56,$BX47,BU45:BU56),SUMIF(BI45:BI56,$BX47,BP45:BP56)))</f>
        <v>1</v>
      </c>
      <c r="CA47" s="644">
        <f>IF(IF(CB47=CB57,SUMIF(BI45:BI56,$BX47,BS45:BS56),SUMIF(BI45:BI56,$BX47,BN45:BN56))=0,NA(),IF(CB47=CB57,SUMIF(BI45:BI56,$BX47,BS45:BS56),SUMIF(BI45:BI56,$BX47,BN45:BN56)))</f>
        <v>0.9981412639405205</v>
      </c>
      <c r="CB47" s="645">
        <f t="shared" si="11"/>
        <v>23</v>
      </c>
      <c r="CC47" s="645">
        <f t="shared" si="8"/>
        <v>12</v>
      </c>
    </row>
    <row r="48" spans="1:81" ht="15" customHeight="1">
      <c r="BI48" s="638" t="s">
        <v>323</v>
      </c>
      <c r="BJ48" s="638">
        <v>4</v>
      </c>
      <c r="BK48" s="638" t="s">
        <v>324</v>
      </c>
      <c r="BL48" s="822">
        <v>0.53800000000000003</v>
      </c>
      <c r="BM48" s="689">
        <v>0.53800000000000003</v>
      </c>
      <c r="BN48" s="653">
        <f t="shared" si="9"/>
        <v>1</v>
      </c>
      <c r="BO48" s="289">
        <f>IF(SUM(BM48:BM50=0),0,SUM(BL48:BL50)/SUM(BM48:BM50))</f>
        <v>1</v>
      </c>
      <c r="BP48" s="821">
        <v>1</v>
      </c>
      <c r="BQ48" s="822"/>
      <c r="BR48" s="689"/>
      <c r="BS48" s="653" t="str">
        <f t="shared" si="10"/>
        <v/>
      </c>
      <c r="BT48" s="289">
        <f>IF(SUM(BR48:BR50=0),0,SUM(BQ48:BQ50)/SUM(BR48:BR50))</f>
        <v>0</v>
      </c>
      <c r="BU48" s="821">
        <v>1</v>
      </c>
      <c r="BX48" s="642" t="str">
        <f t="shared" si="7"/>
        <v>Jan</v>
      </c>
      <c r="BY48" s="649">
        <f>IF(CB48=$CB57,SUMIF($BI45:$BI56,$BX48,$BR45:$BR56),SUMIF($BI45:$BI56,$BX48,$BM45:$BM56))*1000</f>
        <v>538</v>
      </c>
      <c r="BZ48" s="821">
        <f>IF(IF(CB48=CB57,SUMIF(BI45:BI56,$BX48,BU45:BU56),SUMIF(BI45:BI56,$BX48,BP45:BP56))=0,NA(),IF(CB48=CB57,SUMIF(BI45:BI56,$BX48,BU45:BU56),SUMIF(BI45:BI56,$BX48,BP45:BP56)))</f>
        <v>1</v>
      </c>
      <c r="CA48" s="644">
        <f>IF(IF(CB48=CB57,SUMIF(BI45:BI56,$BX48,BS45:BS56),SUMIF(BI45:BI56,$BX48,BN45:BN56))=0,NA(),IF(CB48=CB57,SUMIF(BI45:BI56,$BX48,BS45:BS56),SUMIF(BI45:BI56,$BX48,BN45:BN56)))</f>
        <v>1</v>
      </c>
      <c r="CB48" s="645">
        <f t="shared" si="11"/>
        <v>23</v>
      </c>
      <c r="CC48" s="645">
        <f t="shared" si="8"/>
        <v>1</v>
      </c>
    </row>
    <row r="49" spans="2:81" ht="15" customHeight="1">
      <c r="BI49" s="638" t="s">
        <v>325</v>
      </c>
      <c r="BJ49" s="638">
        <v>5</v>
      </c>
      <c r="BK49" s="638" t="s">
        <v>324</v>
      </c>
      <c r="BL49" s="690">
        <v>0.46800000000000003</v>
      </c>
      <c r="BM49" s="822">
        <v>0.46800000000000003</v>
      </c>
      <c r="BN49" s="653">
        <f t="shared" si="9"/>
        <v>1</v>
      </c>
      <c r="BO49" s="855"/>
      <c r="BP49" s="821">
        <v>1</v>
      </c>
      <c r="BQ49" s="690"/>
      <c r="BR49" s="822"/>
      <c r="BS49" s="653" t="str">
        <f t="shared" si="10"/>
        <v/>
      </c>
      <c r="BT49" s="855"/>
      <c r="BU49" s="821">
        <v>1</v>
      </c>
      <c r="BX49" s="642" t="str">
        <f t="shared" si="7"/>
        <v>Feb</v>
      </c>
      <c r="BY49" s="649">
        <f>IF(CB49=$CB57,SUMIF($BI45:$BI56,$BX49,$BR45:$BR56),SUMIF($BI45:$BI56,$BX49,$BM45:$BM56))*1000</f>
        <v>468</v>
      </c>
      <c r="BZ49" s="821">
        <f>IF(IF(CB49=CB57,SUMIF(BI45:BI56,$BX49,BU45:BU56),SUMIF(BI45:BI56,$BX49,BP45:BP56))=0,NA(),IF(CB49=CB57,SUMIF(BI45:BI56,$BX49,BU45:BU56),SUMIF(BI45:BI56,$BX49,BP45:BP56)))</f>
        <v>1</v>
      </c>
      <c r="CA49" s="644">
        <f>IF(IF(CB49=CB57,SUMIF(BI45:BI56,$BX49,BS45:BS56),SUMIF(BI45:BI56,$BX49,BN45:BN56))=0,NA(),IF(CB49=CB57,SUMIF(BI45:BI56,$BX49,BS45:BS56),SUMIF(BI45:BI56,$BX49,BN45:BN56)))</f>
        <v>1</v>
      </c>
      <c r="CB49" s="645">
        <f t="shared" si="11"/>
        <v>23</v>
      </c>
      <c r="CC49" s="645">
        <f t="shared" si="8"/>
        <v>2</v>
      </c>
    </row>
    <row r="50" spans="2:81" ht="15" customHeight="1">
      <c r="BI50" s="638" t="s">
        <v>326</v>
      </c>
      <c r="BJ50" s="638">
        <v>6</v>
      </c>
      <c r="BK50" s="638" t="s">
        <v>324</v>
      </c>
      <c r="BL50" s="690">
        <v>0.45100000000000001</v>
      </c>
      <c r="BM50" s="822">
        <v>0.45100000000000001</v>
      </c>
      <c r="BN50" s="653">
        <f t="shared" si="9"/>
        <v>1</v>
      </c>
      <c r="BO50" s="855"/>
      <c r="BP50" s="821">
        <v>1</v>
      </c>
      <c r="BQ50" s="690"/>
      <c r="BR50" s="822"/>
      <c r="BS50" s="653" t="str">
        <f t="shared" si="10"/>
        <v/>
      </c>
      <c r="BT50" s="855"/>
      <c r="BU50" s="821">
        <v>1</v>
      </c>
      <c r="BX50" s="642" t="str">
        <f t="shared" si="7"/>
        <v>Mar</v>
      </c>
      <c r="BY50" s="649">
        <f>IF(CB50=$CB57,SUMIF($BI45:$BI56,$BX50,$BR45:$BR56),SUMIF($BI45:$BI56,$BX50,$BM45:$BM56))*1000</f>
        <v>451</v>
      </c>
      <c r="BZ50" s="821">
        <f>IF(IF(CB50=CB57,SUMIF(BI45:BI56,$BX50,BU45:BU56),SUMIF(BI45:BI56,$BX50,BP45:BP56))=0,NA(),IF(CB50=CB57,SUMIF(BI45:BI56,$BX50,BU45:BU56),SUMIF(BI45:BI56,$BX50,BP45:BP56)))</f>
        <v>1</v>
      </c>
      <c r="CA50" s="644">
        <f>IF(IF(CB50=CB57,SUMIF(BI45:BI56,$BX50,BS45:BS56),SUMIF(BI45:BI56,$BX50,BN45:BN56))=0,NA(),IF(CB50=CB57,SUMIF(BI45:BI56,$BX50,BS45:BS56),SUMIF(BI45:BI56,$BX50,BN45:BN56)))</f>
        <v>1</v>
      </c>
      <c r="CB50" s="645">
        <f t="shared" si="11"/>
        <v>23</v>
      </c>
      <c r="CC50" s="645">
        <f t="shared" si="8"/>
        <v>3</v>
      </c>
    </row>
    <row r="51" spans="2:81" ht="15" customHeight="1">
      <c r="BI51" s="638" t="s">
        <v>327</v>
      </c>
      <c r="BJ51" s="638">
        <v>7</v>
      </c>
      <c r="BK51" s="638" t="s">
        <v>328</v>
      </c>
      <c r="BL51" s="690">
        <v>0.46200000000000002</v>
      </c>
      <c r="BM51" s="822">
        <v>0.46200000000000002</v>
      </c>
      <c r="BN51" s="653">
        <f t="shared" si="9"/>
        <v>1</v>
      </c>
      <c r="BO51" s="289">
        <f>IF(SUM(BM51:BM53=0),0,SUM(BL51:BL53)/SUM(BM51:BM53))</f>
        <v>1</v>
      </c>
      <c r="BP51" s="821">
        <v>1</v>
      </c>
      <c r="BQ51" s="690"/>
      <c r="BR51" s="822"/>
      <c r="BS51" s="653" t="str">
        <f t="shared" si="10"/>
        <v/>
      </c>
      <c r="BT51" s="289">
        <f>IF(SUM(BR51:BR53=0),0,SUM(BQ51:BQ53)/SUM(BR51:BR53))</f>
        <v>0</v>
      </c>
      <c r="BU51" s="821">
        <v>1</v>
      </c>
      <c r="BX51" s="642" t="str">
        <f t="shared" si="7"/>
        <v>Apr</v>
      </c>
      <c r="BY51" s="649">
        <f>IF(CB51=$CB57,SUMIF($BI45:$BI56,$BX51,$BR45:$BR56),SUMIF($BI45:$BI56,$BX51,$BM45:$BM56))*1000</f>
        <v>462</v>
      </c>
      <c r="BZ51" s="821">
        <f>IF(IF(CB51=CB57,SUMIF(BI45:BI56,$BX51,BU45:BU56),SUMIF(BI45:BI56,$BX51,BP45:BP56))=0,NA(),IF(CB51=CB57,SUMIF(BI45:BI56,$BX51,BU45:BU56),SUMIF(BI45:BI56,$BX51,BP45:BP56)))</f>
        <v>1</v>
      </c>
      <c r="CA51" s="644">
        <f>IF(IF(CB51=CB57,SUMIF(BI45:BI56,$BX51,BS45:BS56),SUMIF(BI45:BI56,$BX51,BN45:BN56))=0,NA(),IF(CB51=CB57,SUMIF(BI45:BI56,$BX51,BS45:BS56),SUMIF(BI45:BI56,$BX51,BN45:BN56)))</f>
        <v>1</v>
      </c>
      <c r="CB51" s="645">
        <f t="shared" si="11"/>
        <v>23</v>
      </c>
      <c r="CC51" s="645">
        <f t="shared" si="8"/>
        <v>4</v>
      </c>
    </row>
    <row r="52" spans="2:81" ht="15" customHeight="1">
      <c r="BI52" s="638" t="s">
        <v>329</v>
      </c>
      <c r="BJ52" s="638">
        <v>8</v>
      </c>
      <c r="BK52" s="638" t="s">
        <v>328</v>
      </c>
      <c r="BL52" s="690">
        <v>0.46100000000000002</v>
      </c>
      <c r="BM52" s="822">
        <v>0.46100000000000002</v>
      </c>
      <c r="BN52" s="653">
        <f t="shared" si="9"/>
        <v>1</v>
      </c>
      <c r="BO52" s="855"/>
      <c r="BP52" s="821">
        <v>1</v>
      </c>
      <c r="BQ52" s="690"/>
      <c r="BR52" s="822"/>
      <c r="BS52" s="653" t="str">
        <f t="shared" si="10"/>
        <v/>
      </c>
      <c r="BT52" s="855"/>
      <c r="BU52" s="821">
        <v>1</v>
      </c>
      <c r="BX52" s="642" t="str">
        <f t="shared" si="7"/>
        <v>May</v>
      </c>
      <c r="BY52" s="649">
        <f>IF(CB52=$CB57,SUMIF($BI45:$BI56,$BX52,$BR45:$BR56),SUMIF($BI45:$BI56,$BX52,$BM45:$BM56))*1000</f>
        <v>461</v>
      </c>
      <c r="BZ52" s="821">
        <f>IF(IF(CB52=CB57,SUMIF(BI45:BI56,$BX52,BU45:BU56),SUMIF(BI45:BI56,$BX52,BP45:BP56))=0,NA(),IF(CB52=CB57,SUMIF(BI45:BI56,$BX52,BU45:BU56),SUMIF(BI45:BI56,$BX52,BP45:BP56)))</f>
        <v>1</v>
      </c>
      <c r="CA52" s="644">
        <f>IF(IF(CB52=CB57,SUMIF(BI45:BI56,$BX52,BS45:BS56),SUMIF(BI45:BI56,$BX52,BN45:BN56))=0,NA(),IF(CB52=CB57,SUMIF(BI45:BI56,$BX52,BS45:BS56),SUMIF(BI45:BI56,$BX52,BN45:BN56)))</f>
        <v>1</v>
      </c>
      <c r="CB52" s="645">
        <f t="shared" si="11"/>
        <v>23</v>
      </c>
      <c r="CC52" s="645">
        <f t="shared" si="8"/>
        <v>5</v>
      </c>
    </row>
    <row r="53" spans="2:81" ht="15" customHeight="1">
      <c r="BI53" s="638" t="s">
        <v>331</v>
      </c>
      <c r="BJ53" s="638">
        <v>9</v>
      </c>
      <c r="BK53" s="638" t="s">
        <v>328</v>
      </c>
      <c r="BL53" s="690">
        <v>0.46100000000000002</v>
      </c>
      <c r="BM53" s="822">
        <v>0.46100000000000002</v>
      </c>
      <c r="BN53" s="653">
        <f t="shared" si="9"/>
        <v>1</v>
      </c>
      <c r="BO53" s="855"/>
      <c r="BP53" s="821">
        <v>1</v>
      </c>
      <c r="BQ53" s="690"/>
      <c r="BR53" s="822"/>
      <c r="BS53" s="653" t="str">
        <f t="shared" si="10"/>
        <v/>
      </c>
      <c r="BT53" s="855"/>
      <c r="BU53" s="821">
        <v>1</v>
      </c>
      <c r="BX53" s="642" t="str">
        <f t="shared" si="7"/>
        <v>Jun</v>
      </c>
      <c r="BY53" s="649">
        <f>IF(CB53=$CB57,SUMIF($BI45:$BI56,$BX53,$BR45:$BR56),SUMIF($BI45:$BI56,$BX53,$BM45:$BM56))*1000</f>
        <v>461</v>
      </c>
      <c r="BZ53" s="821">
        <f>IF(IF(CB53=CB57,SUMIF(BI45:BI56,$BX53,BU45:BU56),SUMIF(BI45:BI56,$BX53,BP45:BP56))=0,NA(),IF(CB53=CB57,SUMIF(BI45:BI56,$BX53,BU45:BU56),SUMIF(BI45:BI56,$BX53,BP45:BP56)))</f>
        <v>1</v>
      </c>
      <c r="CA53" s="644">
        <f>IF(IF(CB53=CB57,SUMIF(BI45:BI56,$BX53,BS45:BS56),SUMIF(BI45:BI56,$BX53,BN45:BN56))=0,NA(),IF(CB53=CB57,SUMIF(BI45:BI56,$BX53,BS45:BS56),SUMIF(BI45:BI56,$BX53,BN45:BN56)))</f>
        <v>1</v>
      </c>
      <c r="CB53" s="645">
        <f t="shared" si="11"/>
        <v>23</v>
      </c>
      <c r="CC53" s="645">
        <f t="shared" si="8"/>
        <v>6</v>
      </c>
    </row>
    <row r="54" spans="2:81" ht="15" customHeight="1">
      <c r="BI54" s="638" t="s">
        <v>337</v>
      </c>
      <c r="BJ54" s="638">
        <v>10</v>
      </c>
      <c r="BK54" s="638" t="s">
        <v>338</v>
      </c>
      <c r="BL54" s="690">
        <v>0.45800000000000002</v>
      </c>
      <c r="BM54" s="822">
        <v>0.45800000000000002</v>
      </c>
      <c r="BN54" s="653">
        <f t="shared" si="9"/>
        <v>1</v>
      </c>
      <c r="BO54" s="289">
        <f>IF(SUM(BM54:BM56=0),0,SUM(BL54:BL56)/SUM(BM54:BM56))</f>
        <v>1</v>
      </c>
      <c r="BP54" s="821">
        <v>1</v>
      </c>
      <c r="BQ54" s="690"/>
      <c r="BR54" s="822"/>
      <c r="BS54" s="653" t="str">
        <f t="shared" si="10"/>
        <v/>
      </c>
      <c r="BT54" s="289">
        <f>IF(SUM(BR54:BR56=0),0,SUM(BQ54:BQ56)/SUM(BR54:BR56))</f>
        <v>0</v>
      </c>
      <c r="BU54" s="821">
        <v>1</v>
      </c>
      <c r="BX54" s="642" t="str">
        <f t="shared" si="7"/>
        <v>Jul</v>
      </c>
      <c r="BY54" s="649">
        <f>IF(CB54=$CB57,SUMIF($BI45:$BI56,$BX54,$BR45:$BR56),SUMIF($BI45:$BI56,$BX54,$BM45:$BM56))*1000</f>
        <v>458</v>
      </c>
      <c r="BZ54" s="821">
        <f>IF(IF(CB54=CB57,SUMIF(BI45:BI56,$BX54,BU45:BU56),SUMIF(BI45:BI56,$BX54,BP45:BP56))=0,NA(),IF(CB54=CB57,SUMIF(BI45:BI56,$BX54,BU45:BU56),SUMIF(BI45:BI56,$BX54,BP45:BP56)))</f>
        <v>1</v>
      </c>
      <c r="CA54" s="644">
        <f>IF(IF(CB54=CB57,SUMIF(BI45:BI56,$BX54,BS45:BS56),SUMIF(BI45:BI56,$BX54,BN45:BN56))=0,NA(),IF(CB54=CB57,SUMIF(BI45:BI56,$BX54,BS45:BS56),SUMIF(BI45:BI56,$BX54,BN45:BN56)))</f>
        <v>1</v>
      </c>
      <c r="CB54" s="645">
        <f t="shared" si="11"/>
        <v>23</v>
      </c>
      <c r="CC54" s="645">
        <f t="shared" si="8"/>
        <v>7</v>
      </c>
    </row>
    <row r="55" spans="2:81" ht="15" customHeight="1">
      <c r="BI55" s="638" t="s">
        <v>343</v>
      </c>
      <c r="BJ55" s="638">
        <v>11</v>
      </c>
      <c r="BK55" s="638" t="s">
        <v>338</v>
      </c>
      <c r="BL55" s="690">
        <v>0.46200000000000002</v>
      </c>
      <c r="BM55" s="822">
        <v>0.46200000000000002</v>
      </c>
      <c r="BN55" s="653">
        <f t="shared" si="9"/>
        <v>1</v>
      </c>
      <c r="BO55" s="855"/>
      <c r="BP55" s="821">
        <v>1</v>
      </c>
      <c r="BQ55" s="690"/>
      <c r="BR55" s="822"/>
      <c r="BS55" s="653" t="str">
        <f t="shared" si="10"/>
        <v/>
      </c>
      <c r="BT55" s="855"/>
      <c r="BU55" s="821">
        <v>1</v>
      </c>
      <c r="BX55" s="642" t="str">
        <f t="shared" si="7"/>
        <v>Aug</v>
      </c>
      <c r="BY55" s="649">
        <f>IF(CB55=$CB57,SUMIF($BI45:$BI56,$BX55,$BR45:$BR56),SUMIF($BI45:$BI56,$BX55,$BM45:$BM56))*1000</f>
        <v>462</v>
      </c>
      <c r="BZ55" s="821">
        <f>IF(IF(CB55=CB57,SUMIF(BI45:BI56,$BX55,BU45:BU56),SUMIF(BI45:BI56,$BX55,BP45:BP56))=0,NA(),IF(CB55=CB57,SUMIF(BI45:BI56,$BX55,BU45:BU56),SUMIF(BI45:BI56,$BX55,BP45:BP56)))</f>
        <v>1</v>
      </c>
      <c r="CA55" s="644">
        <f>IF(IF(CB55=CB57,SUMIF(BI45:BI56,$BX55,BS45:BS56),SUMIF(BI45:BI56,$BX55,BN45:BN56))=0,NA(),IF(CB55=CB57,SUMIF(BI45:BI56,$BX55,BS45:BS56),SUMIF(BI45:BI56,$BX55,BN45:BN56)))</f>
        <v>1</v>
      </c>
      <c r="CB55" s="645">
        <f t="shared" si="11"/>
        <v>23</v>
      </c>
      <c r="CC55" s="645">
        <f t="shared" si="8"/>
        <v>8</v>
      </c>
    </row>
    <row r="56" spans="2:81" ht="15" customHeight="1">
      <c r="BI56" s="638" t="s">
        <v>344</v>
      </c>
      <c r="BJ56" s="638">
        <v>12</v>
      </c>
      <c r="BK56" s="638" t="s">
        <v>338</v>
      </c>
      <c r="BL56" s="690">
        <v>0.46200000000000002</v>
      </c>
      <c r="BM56" s="822">
        <v>0.46200000000000002</v>
      </c>
      <c r="BN56" s="653">
        <f t="shared" si="9"/>
        <v>1</v>
      </c>
      <c r="BO56" s="855"/>
      <c r="BP56" s="821">
        <v>1</v>
      </c>
      <c r="BQ56" s="690"/>
      <c r="BR56" s="822"/>
      <c r="BS56" s="653" t="str">
        <f t="shared" si="10"/>
        <v/>
      </c>
      <c r="BT56" s="855"/>
      <c r="BU56" s="821">
        <v>1</v>
      </c>
      <c r="BX56" s="642" t="str">
        <f t="shared" si="7"/>
        <v>Sep</v>
      </c>
      <c r="BY56" s="649">
        <f>IF(CB56=$CB57,SUMIF($BI45:$BI56,$BX56,$BR45:$BR56),SUMIF($BI45:$BI56,$BX56,$BM45:$BM56))*1000</f>
        <v>462</v>
      </c>
      <c r="BZ56" s="821">
        <f>IF(IF(CB56=CB57,SUMIF(BI45:BI56,$BX56,BU45:BU56),SUMIF(BI45:BI56,$BX56,BP45:BP56))=0,NA(),IF(CB56=CB57,SUMIF(BI45:BI56,$BX56,BU45:BU56),SUMIF(BI45:BI56,$BX56,BP45:BP56)))</f>
        <v>1</v>
      </c>
      <c r="CA56" s="644">
        <f>IF(IF(CB56=CB57,SUMIF(BI45:BI56,$BX56,BS45:BS56),SUMIF(BI45:BI56,$BX56,BN45:BN56))=0,NA(),IF(CB56=CB57,SUMIF(BI45:BI56,$BX56,BS45:BS56),SUMIF(BI45:BI56,$BX56,BN45:BN56)))</f>
        <v>1</v>
      </c>
      <c r="CB56" s="645">
        <f t="shared" si="11"/>
        <v>23</v>
      </c>
      <c r="CC56" s="645">
        <f>IF(CC57-1&lt;1,CC57+11,CC57-1)</f>
        <v>9</v>
      </c>
    </row>
    <row r="57" spans="2:81" ht="15" customHeight="1">
      <c r="BJ57" s="277"/>
      <c r="BK57" s="277"/>
      <c r="BL57" s="277"/>
      <c r="BM57" s="277"/>
      <c r="BN57" s="277"/>
      <c r="BO57" s="277"/>
      <c r="BP57" s="277"/>
      <c r="BQ57" s="277"/>
      <c r="BR57" s="277"/>
      <c r="BS57" s="277"/>
      <c r="BT57" s="277"/>
      <c r="BW57" s="647" t="str">
        <f>Cover!$M$34</f>
        <v>OCT FY-24</v>
      </c>
      <c r="BX57" s="642" t="str">
        <f>TEXT(CONCATENATE(CC57,"/01/20",CB57),"MMM")</f>
        <v>Oct</v>
      </c>
      <c r="BY57" s="649">
        <f>SUMIF($BI45:$BI56,$BX57,$BR45:$BR56)*1000</f>
        <v>463</v>
      </c>
      <c r="BZ57" s="821">
        <f>IF(IF(CB57=CB57,SUMIF(BI45:BI56,$BX57,BU45:BU56),SUMIF(BI45:BI56,$BX57,BP45:BP56))=0,NA(),IF(CB57=CB57,SUMIF(BI45:BI56,$BX57,BU45:BU56),SUMIF(BI45:BI56,$BX57,BP45:BP56)))</f>
        <v>1</v>
      </c>
      <c r="CA57" s="644">
        <f>IF(SUMIF($BI45:$BI56,$BX57,$BS45:$BS56)=0,NA(),SUMIF($BI45:$BI56,$BX57,$BS45:$BS56))</f>
        <v>0.98920086393088547</v>
      </c>
      <c r="CB57" s="645">
        <f t="shared" si="11"/>
        <v>24</v>
      </c>
      <c r="CC57" s="645">
        <f>MONTH(DATEVALUE(LEFT(BW57,3)&amp;" 1"))</f>
        <v>10</v>
      </c>
    </row>
    <row r="58" spans="2:81" ht="15" customHeight="1">
      <c r="BI58" s="37"/>
      <c r="BJ58" s="37"/>
      <c r="BK58" s="37"/>
      <c r="BL58" s="37"/>
      <c r="BM58" s="37"/>
      <c r="BN58" s="37"/>
      <c r="BO58" s="37"/>
      <c r="BP58" s="37"/>
      <c r="BQ58" s="37"/>
      <c r="BR58" s="37"/>
      <c r="BS58" s="37"/>
      <c r="BT58" s="37"/>
      <c r="BU58" s="37"/>
    </row>
    <row r="59" spans="2:81" ht="15" customHeight="1">
      <c r="BI59" s="54" t="s">
        <v>292</v>
      </c>
      <c r="BJ59" s="287" t="s">
        <v>351</v>
      </c>
      <c r="BK59" s="287"/>
      <c r="BL59" s="287"/>
      <c r="BM59" s="287"/>
      <c r="BN59" s="287"/>
      <c r="BO59" s="287"/>
      <c r="BP59" s="287"/>
      <c r="BQ59" s="287"/>
      <c r="BR59" s="287"/>
      <c r="BS59" s="287"/>
      <c r="BT59" s="287"/>
      <c r="BU59" s="287"/>
    </row>
    <row r="60" spans="2:81" ht="15" customHeight="1">
      <c r="BI60" s="54" t="s">
        <v>296</v>
      </c>
      <c r="BJ60" s="287" t="s">
        <v>352</v>
      </c>
      <c r="BK60" s="287"/>
      <c r="BL60" s="287"/>
      <c r="BM60" s="287"/>
      <c r="BN60" s="287"/>
      <c r="BO60" s="287"/>
      <c r="BP60" s="287"/>
      <c r="BQ60" s="287"/>
      <c r="BR60" s="287"/>
      <c r="BS60" s="287"/>
      <c r="BT60" s="287"/>
      <c r="BU60" s="287"/>
    </row>
    <row r="61" spans="2:81" ht="15" customHeight="1" thickBot="1">
      <c r="BI61" s="54" t="s">
        <v>300</v>
      </c>
      <c r="BJ61" s="287" t="s">
        <v>353</v>
      </c>
      <c r="BK61" s="287"/>
      <c r="BL61" s="287"/>
      <c r="BM61" s="287"/>
      <c r="BN61" s="287"/>
      <c r="BO61" s="287"/>
      <c r="BP61" s="287"/>
      <c r="BQ61" s="287"/>
      <c r="BR61" s="287"/>
      <c r="BS61" s="287"/>
      <c r="BT61" s="287"/>
      <c r="BU61" s="287"/>
    </row>
    <row r="62" spans="2:81" ht="15" customHeight="1" thickBot="1">
      <c r="BI62" s="277"/>
      <c r="BJ62" s="277"/>
      <c r="BK62" s="277"/>
      <c r="BL62" s="1148" t="s">
        <v>302</v>
      </c>
      <c r="BM62" s="1149"/>
      <c r="BN62" s="1149"/>
      <c r="BO62" s="1149"/>
      <c r="BP62" s="1151"/>
      <c r="BQ62" s="1148" t="s">
        <v>719</v>
      </c>
      <c r="BR62" s="1149"/>
      <c r="BS62" s="1149"/>
      <c r="BT62" s="1149"/>
      <c r="BU62" s="1150"/>
      <c r="BW62" s="1148" t="s">
        <v>303</v>
      </c>
      <c r="BX62" s="1149"/>
      <c r="BY62" s="1149"/>
      <c r="BZ62" s="1149"/>
      <c r="CA62" s="1149"/>
      <c r="CB62" s="1149"/>
      <c r="CC62" s="1150"/>
    </row>
    <row r="63" spans="2:81" ht="15" customHeight="1">
      <c r="B63" s="267" t="s">
        <v>242</v>
      </c>
      <c r="C63" s="267"/>
      <c r="D63" s="267"/>
      <c r="E63" s="334"/>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E63" s="267" t="s">
        <v>242</v>
      </c>
      <c r="AF63" s="267"/>
      <c r="AG63" s="267"/>
      <c r="AH63" s="334"/>
      <c r="AI63" s="326"/>
      <c r="AJ63" s="326"/>
      <c r="AK63" s="326"/>
      <c r="AL63" s="326"/>
      <c r="AM63" s="326"/>
      <c r="AN63" s="326"/>
      <c r="AO63" s="326"/>
      <c r="AP63" s="326"/>
      <c r="AQ63" s="326"/>
      <c r="AR63" s="326"/>
      <c r="AS63" s="326"/>
      <c r="AT63" s="326"/>
      <c r="AU63" s="326"/>
      <c r="AV63" s="326"/>
      <c r="AW63" s="326"/>
      <c r="AX63" s="326"/>
      <c r="AY63" s="326"/>
      <c r="AZ63" s="326"/>
      <c r="BA63" s="326"/>
      <c r="BB63" s="326"/>
      <c r="BC63" s="326"/>
      <c r="BD63" s="326"/>
      <c r="BE63" s="326"/>
      <c r="BI63" s="636" t="s">
        <v>23</v>
      </c>
      <c r="BJ63" s="636" t="s">
        <v>37</v>
      </c>
      <c r="BK63" s="636" t="s">
        <v>304</v>
      </c>
      <c r="BL63" s="637" t="s">
        <v>305</v>
      </c>
      <c r="BM63" s="637" t="s">
        <v>310</v>
      </c>
      <c r="BN63" s="637" t="s">
        <v>311</v>
      </c>
      <c r="BO63" s="278" t="s">
        <v>312</v>
      </c>
      <c r="BP63" s="637" t="s">
        <v>313</v>
      </c>
      <c r="BQ63" s="637" t="s">
        <v>305</v>
      </c>
      <c r="BR63" s="637" t="s">
        <v>715</v>
      </c>
      <c r="BS63" s="637" t="s">
        <v>716</v>
      </c>
      <c r="BT63" s="278" t="s">
        <v>717</v>
      </c>
      <c r="BU63" s="637" t="s">
        <v>718</v>
      </c>
      <c r="BW63" s="279" t="s">
        <v>314</v>
      </c>
      <c r="BX63" s="279" t="s">
        <v>23</v>
      </c>
      <c r="BY63" s="279" t="s">
        <v>315</v>
      </c>
      <c r="BZ63" s="279" t="s">
        <v>122</v>
      </c>
      <c r="CA63" s="279" t="s">
        <v>316</v>
      </c>
      <c r="CB63" s="279" t="s">
        <v>317</v>
      </c>
      <c r="CC63" s="279" t="s">
        <v>318</v>
      </c>
    </row>
    <row r="64" spans="2:81" ht="15" customHeight="1">
      <c r="B64" s="1137" t="str">
        <f>AC38</f>
        <v>Successfully met KPI</v>
      </c>
      <c r="C64" s="1138"/>
      <c r="D64" s="1138"/>
      <c r="E64" s="1138"/>
      <c r="F64" s="1138"/>
      <c r="G64" s="1138"/>
      <c r="H64" s="1138"/>
      <c r="I64" s="1138"/>
      <c r="J64" s="1138"/>
      <c r="K64" s="1138"/>
      <c r="L64" s="1138"/>
      <c r="M64" s="1138"/>
      <c r="N64" s="1138"/>
      <c r="O64" s="1138"/>
      <c r="P64" s="1138"/>
      <c r="Q64" s="1138"/>
      <c r="R64" s="1138"/>
      <c r="S64" s="1138"/>
      <c r="T64" s="1138"/>
      <c r="U64" s="1138"/>
      <c r="V64" s="1138"/>
      <c r="W64" s="1138"/>
      <c r="X64" s="1138"/>
      <c r="Y64" s="1138"/>
      <c r="Z64" s="1138"/>
      <c r="AA64" s="1138"/>
      <c r="AB64" s="1139"/>
      <c r="AE64" s="1137" t="str">
        <f>AC39</f>
        <v>Missing one non-BAI bank statement.  4 statements were incomplete due to bank conversion.</v>
      </c>
      <c r="AF64" s="1138"/>
      <c r="AG64" s="1138"/>
      <c r="AH64" s="1138"/>
      <c r="AI64" s="1138"/>
      <c r="AJ64" s="1138"/>
      <c r="AK64" s="1138"/>
      <c r="AL64" s="1138"/>
      <c r="AM64" s="1138"/>
      <c r="AN64" s="1138"/>
      <c r="AO64" s="1138"/>
      <c r="AP64" s="1138"/>
      <c r="AQ64" s="1138"/>
      <c r="AR64" s="1138"/>
      <c r="AS64" s="1138"/>
      <c r="AT64" s="1138"/>
      <c r="AU64" s="1138"/>
      <c r="AV64" s="1138"/>
      <c r="AW64" s="1138"/>
      <c r="AX64" s="1138"/>
      <c r="AY64" s="1138"/>
      <c r="AZ64" s="1138"/>
      <c r="BA64" s="1138"/>
      <c r="BB64" s="1138"/>
      <c r="BC64" s="1138"/>
      <c r="BD64" s="1138"/>
      <c r="BE64" s="1139"/>
      <c r="BI64" s="638" t="s">
        <v>319</v>
      </c>
      <c r="BJ64" s="638">
        <v>1</v>
      </c>
      <c r="BK64" s="638" t="s">
        <v>320</v>
      </c>
      <c r="BL64" s="690">
        <v>131.27500000000001</v>
      </c>
      <c r="BM64" s="822">
        <v>53.354999999999997</v>
      </c>
      <c r="BN64" s="653">
        <f>IF(BM64="","",BL64/BM64)</f>
        <v>2.4604067097741544</v>
      </c>
      <c r="BO64" s="289">
        <f>IF(SUM(BM64:BM66=0),0,SUM(BL64:BL66)/SUM(BM64:BM66))</f>
        <v>2.2482411907808557</v>
      </c>
      <c r="BP64" s="641"/>
      <c r="BQ64" s="690">
        <v>139.22800000000001</v>
      </c>
      <c r="BR64" s="822">
        <v>72.164000000000001</v>
      </c>
      <c r="BS64" s="654">
        <f>IF(BR64="","",BQ64/BR64)</f>
        <v>1.9293276425918742</v>
      </c>
      <c r="BT64" s="289">
        <f>IF(SUM(BR64:BR66=0),0,SUM(BQ64:BQ66)/SUM(BR64:BR66))</f>
        <v>1.9293276425918742</v>
      </c>
      <c r="BU64" s="655"/>
      <c r="BX64" s="642" t="str">
        <f t="shared" ref="BX64:BX75" si="12">TEXT(CONCATENATE(CC64,"/01/20",CB64),"MMM")</f>
        <v>Oct</v>
      </c>
      <c r="BY64" s="643">
        <f>IF(CB64=$CB76,SUMIF($BI64:$BI75,$BX64,$BR64:$BR75),SUMIF($BI64:$BI75,$BX64,$BM64:$BM75))</f>
        <v>53.354999999999997</v>
      </c>
      <c r="BZ64" s="656" t="e">
        <f>IF(IF(CB64=CB76,SUMIF(BI64:BI75,$BX64,BU64:BU75),SUMIF(BI64:BI75,$BX64,BP64:BP75))=0,NA(),IF(CB64=CB76,SUMIF(BI64:BI75,$BX64,BU64:BU75),SUMIF(BI64:BI75,$BX64,BP64:BP75)))</f>
        <v>#N/A</v>
      </c>
      <c r="CA64" s="664">
        <f>IF(IF(CB64=CB76,SUMIF(BI64:BI75,$BX64,BS64:BS75),SUMIF(BI64:BI75,$BX64,BN64:BN75))=0,NA(),IF(CB64=CB76,SUMIF(BI64:BI75,$BX64,BS64:BS75),SUMIF(BI64:BI75,$BX64,BN64:BN75)))</f>
        <v>2.4604067097741544</v>
      </c>
      <c r="CB64" s="645">
        <f>CB45</f>
        <v>23</v>
      </c>
      <c r="CC64" s="645">
        <f t="shared" ref="CC64:CC74" si="13">IF(CC65-1&lt;1,CC65+11,CC65-1)</f>
        <v>10</v>
      </c>
    </row>
    <row r="65" spans="2:81" ht="15" customHeight="1">
      <c r="B65" s="1140"/>
      <c r="C65" s="1141"/>
      <c r="D65" s="1141"/>
      <c r="E65" s="1141"/>
      <c r="F65" s="1141"/>
      <c r="G65" s="1141"/>
      <c r="H65" s="1141"/>
      <c r="I65" s="1141"/>
      <c r="J65" s="1141"/>
      <c r="K65" s="1141"/>
      <c r="L65" s="1141"/>
      <c r="M65" s="1141"/>
      <c r="N65" s="1141"/>
      <c r="O65" s="1141"/>
      <c r="P65" s="1141"/>
      <c r="Q65" s="1141"/>
      <c r="R65" s="1141"/>
      <c r="S65" s="1141"/>
      <c r="T65" s="1141"/>
      <c r="U65" s="1141"/>
      <c r="V65" s="1141"/>
      <c r="W65" s="1141"/>
      <c r="X65" s="1141"/>
      <c r="Y65" s="1141"/>
      <c r="Z65" s="1141"/>
      <c r="AA65" s="1141"/>
      <c r="AB65" s="1142"/>
      <c r="AE65" s="1140"/>
      <c r="AF65" s="1141"/>
      <c r="AG65" s="1141"/>
      <c r="AH65" s="1141"/>
      <c r="AI65" s="1141"/>
      <c r="AJ65" s="1141"/>
      <c r="AK65" s="1141"/>
      <c r="AL65" s="1141"/>
      <c r="AM65" s="1141"/>
      <c r="AN65" s="1141"/>
      <c r="AO65" s="1141"/>
      <c r="AP65" s="1141"/>
      <c r="AQ65" s="1141"/>
      <c r="AR65" s="1141"/>
      <c r="AS65" s="1141"/>
      <c r="AT65" s="1141"/>
      <c r="AU65" s="1141"/>
      <c r="AV65" s="1141"/>
      <c r="AW65" s="1141"/>
      <c r="AX65" s="1141"/>
      <c r="AY65" s="1141"/>
      <c r="AZ65" s="1141"/>
      <c r="BA65" s="1141"/>
      <c r="BB65" s="1141"/>
      <c r="BC65" s="1141"/>
      <c r="BD65" s="1141"/>
      <c r="BE65" s="1142"/>
      <c r="BI65" s="638" t="s">
        <v>321</v>
      </c>
      <c r="BJ65" s="638">
        <v>2</v>
      </c>
      <c r="BK65" s="638" t="s">
        <v>320</v>
      </c>
      <c r="BL65" s="690">
        <v>140.40100000000001</v>
      </c>
      <c r="BM65" s="822">
        <v>69.843999999999994</v>
      </c>
      <c r="BN65" s="653">
        <f t="shared" ref="BN65:BN75" si="14">IF(BM65="","",BL65/BM65)</f>
        <v>2.010208464578203</v>
      </c>
      <c r="BO65" s="290"/>
      <c r="BP65" s="641"/>
      <c r="BQ65" s="690"/>
      <c r="BR65" s="822"/>
      <c r="BS65" s="654" t="str">
        <f t="shared" ref="BS65:BS75" si="15">IF(BR65="","",BQ65/BR65)</f>
        <v/>
      </c>
      <c r="BT65" s="290"/>
      <c r="BU65" s="655"/>
      <c r="BX65" s="642" t="str">
        <f t="shared" si="12"/>
        <v>Nov</v>
      </c>
      <c r="BY65" s="643">
        <f>IF(CB65=$CB76,SUMIF($BI64:$BI75,$BX65,$BR64:$BR75),SUMIF($BI64:$BI75,$BX65,$BM64:$BM75))</f>
        <v>69.843999999999994</v>
      </c>
      <c r="BZ65" s="656" t="e">
        <f>IF(IF(CB65=CB76,SUMIF(BI64:BI75,$BX65,BU64:BU75),SUMIF(BI64:BI75,$BX65,BP64:BP75))=0,NA(),IF(CB65=CB76,SUMIF(BI64:BI75,$BX65,BU64:BU75),SUMIF(BI64:BI75,$BX65,BP64:BP75)))</f>
        <v>#N/A</v>
      </c>
      <c r="CA65" s="664">
        <f>IF(IF(CB65=CB76,SUMIF(BI64:BI75,$BX65,BS64:BS75),SUMIF(BI64:BI75,$BX65,BN64:BN75))=0,NA(),IF(CB65=CB76,SUMIF(BI64:BI75,$BX65,BS64:BS75),SUMIF(BI64:BI75,$BX65,BN64:BN75)))</f>
        <v>2.010208464578203</v>
      </c>
      <c r="CB65" s="645">
        <f t="shared" ref="CB65:CB76" si="16">CB46</f>
        <v>23</v>
      </c>
      <c r="CC65" s="645">
        <f t="shared" si="13"/>
        <v>11</v>
      </c>
    </row>
    <row r="66" spans="2:81" ht="15" customHeight="1">
      <c r="B66" s="1140"/>
      <c r="C66" s="1141"/>
      <c r="D66" s="1141"/>
      <c r="E66" s="1141"/>
      <c r="F66" s="1141"/>
      <c r="G66" s="1141"/>
      <c r="H66" s="1141"/>
      <c r="I66" s="1141"/>
      <c r="J66" s="1141"/>
      <c r="K66" s="1141"/>
      <c r="L66" s="1141"/>
      <c r="M66" s="1141"/>
      <c r="N66" s="1141"/>
      <c r="O66" s="1141"/>
      <c r="P66" s="1141"/>
      <c r="Q66" s="1141"/>
      <c r="R66" s="1141"/>
      <c r="S66" s="1141"/>
      <c r="T66" s="1141"/>
      <c r="U66" s="1141"/>
      <c r="V66" s="1141"/>
      <c r="W66" s="1141"/>
      <c r="X66" s="1141"/>
      <c r="Y66" s="1141"/>
      <c r="Z66" s="1141"/>
      <c r="AA66" s="1141"/>
      <c r="AB66" s="1142"/>
      <c r="AE66" s="1140"/>
      <c r="AF66" s="1141"/>
      <c r="AG66" s="1141"/>
      <c r="AH66" s="1141"/>
      <c r="AI66" s="1141"/>
      <c r="AJ66" s="1141"/>
      <c r="AK66" s="1141"/>
      <c r="AL66" s="1141"/>
      <c r="AM66" s="1141"/>
      <c r="AN66" s="1141"/>
      <c r="AO66" s="1141"/>
      <c r="AP66" s="1141"/>
      <c r="AQ66" s="1141"/>
      <c r="AR66" s="1141"/>
      <c r="AS66" s="1141"/>
      <c r="AT66" s="1141"/>
      <c r="AU66" s="1141"/>
      <c r="AV66" s="1141"/>
      <c r="AW66" s="1141"/>
      <c r="AX66" s="1141"/>
      <c r="AY66" s="1141"/>
      <c r="AZ66" s="1141"/>
      <c r="BA66" s="1141"/>
      <c r="BB66" s="1141"/>
      <c r="BC66" s="1141"/>
      <c r="BD66" s="1141"/>
      <c r="BE66" s="1142"/>
      <c r="BI66" s="638" t="s">
        <v>322</v>
      </c>
      <c r="BJ66" s="638">
        <v>3</v>
      </c>
      <c r="BK66" s="638" t="s">
        <v>320</v>
      </c>
      <c r="BL66" s="690">
        <v>172.84399999999999</v>
      </c>
      <c r="BM66" s="822">
        <v>74.52</v>
      </c>
      <c r="BN66" s="653">
        <f t="shared" si="14"/>
        <v>2.3194310252281269</v>
      </c>
      <c r="BO66" s="290"/>
      <c r="BP66" s="641"/>
      <c r="BQ66" s="690"/>
      <c r="BR66" s="822"/>
      <c r="BS66" s="654" t="str">
        <f t="shared" si="15"/>
        <v/>
      </c>
      <c r="BT66" s="290"/>
      <c r="BU66" s="655"/>
      <c r="BX66" s="642" t="str">
        <f t="shared" si="12"/>
        <v>Dec</v>
      </c>
      <c r="BY66" s="643">
        <f>IF(CB66=$CB76,SUMIF($BI64:$BI75,$BX66,$BR64:$BR75),SUMIF($BI64:$BI75,$BX66,$BM64:$BM75))</f>
        <v>74.52</v>
      </c>
      <c r="BZ66" s="656" t="e">
        <f>IF(IF(CB66=CB76,SUMIF(BI64:BI75,$BX66,BU64:BU75),SUMIF(BI64:BI75,$BX66,BP64:BP75))=0,NA(),IF(CB66=CB76,SUMIF(BI64:BI75,$BX66,BU64:BU75),SUMIF(BI64:BI75,$BX66,BP64:BP75)))</f>
        <v>#N/A</v>
      </c>
      <c r="CA66" s="664">
        <f>IF(IF(CB66=CB76,SUMIF(BI64:BI75,$BX66,BS64:BS75),SUMIF(BI64:BI75,$BX66,BN64:BN75))=0,NA(),IF(CB66=CB76,SUMIF(BI64:BI75,$BX66,BS64:BS75),SUMIF(BI64:BI75,$BX66,BN64:BN75)))</f>
        <v>2.3194310252281269</v>
      </c>
      <c r="CB66" s="645">
        <f t="shared" si="16"/>
        <v>23</v>
      </c>
      <c r="CC66" s="645">
        <f t="shared" si="13"/>
        <v>12</v>
      </c>
    </row>
    <row r="67" spans="2:81" ht="15" customHeight="1">
      <c r="B67" s="1143"/>
      <c r="C67" s="1144"/>
      <c r="D67" s="1144"/>
      <c r="E67" s="1144"/>
      <c r="F67" s="1144"/>
      <c r="G67" s="1144"/>
      <c r="H67" s="1144"/>
      <c r="I67" s="1144"/>
      <c r="J67" s="1144"/>
      <c r="K67" s="1144"/>
      <c r="L67" s="1144"/>
      <c r="M67" s="1144"/>
      <c r="N67" s="1144"/>
      <c r="O67" s="1144"/>
      <c r="P67" s="1144"/>
      <c r="Q67" s="1144"/>
      <c r="R67" s="1144"/>
      <c r="S67" s="1144"/>
      <c r="T67" s="1144"/>
      <c r="U67" s="1144"/>
      <c r="V67" s="1144"/>
      <c r="W67" s="1144"/>
      <c r="X67" s="1144"/>
      <c r="Y67" s="1144"/>
      <c r="Z67" s="1144"/>
      <c r="AA67" s="1144"/>
      <c r="AB67" s="1145"/>
      <c r="AE67" s="1143"/>
      <c r="AF67" s="1144"/>
      <c r="AG67" s="1144"/>
      <c r="AH67" s="1144"/>
      <c r="AI67" s="1144"/>
      <c r="AJ67" s="1144"/>
      <c r="AK67" s="1144"/>
      <c r="AL67" s="1144"/>
      <c r="AM67" s="1144"/>
      <c r="AN67" s="1144"/>
      <c r="AO67" s="1144"/>
      <c r="AP67" s="1144"/>
      <c r="AQ67" s="1144"/>
      <c r="AR67" s="1144"/>
      <c r="AS67" s="1144"/>
      <c r="AT67" s="1144"/>
      <c r="AU67" s="1144"/>
      <c r="AV67" s="1144"/>
      <c r="AW67" s="1144"/>
      <c r="AX67" s="1144"/>
      <c r="AY67" s="1144"/>
      <c r="AZ67" s="1144"/>
      <c r="BA67" s="1144"/>
      <c r="BB67" s="1144"/>
      <c r="BC67" s="1144"/>
      <c r="BD67" s="1144"/>
      <c r="BE67" s="1145"/>
      <c r="BI67" s="638" t="s">
        <v>323</v>
      </c>
      <c r="BJ67" s="638">
        <v>4</v>
      </c>
      <c r="BK67" s="638" t="s">
        <v>324</v>
      </c>
      <c r="BL67" s="690">
        <v>147.82400000000001</v>
      </c>
      <c r="BM67" s="822">
        <v>58.140999999999998</v>
      </c>
      <c r="BN67" s="653">
        <f t="shared" si="14"/>
        <v>2.5425087287800352</v>
      </c>
      <c r="BO67" s="289">
        <f>IF(SUM(BM67:BM69=0),0,SUM(BL67:BL69)/SUM(BM67:BM69))</f>
        <v>2.3336506568597</v>
      </c>
      <c r="BP67" s="641"/>
      <c r="BQ67" s="690"/>
      <c r="BR67" s="822"/>
      <c r="BS67" s="654" t="str">
        <f t="shared" si="15"/>
        <v/>
      </c>
      <c r="BT67" s="289">
        <f>IF(SUM(BR67:BR69=0),0,SUM(BQ67:BQ69)/SUM(BR67:BR69))</f>
        <v>0</v>
      </c>
      <c r="BU67" s="655"/>
      <c r="BX67" s="642" t="str">
        <f t="shared" si="12"/>
        <v>Jan</v>
      </c>
      <c r="BY67" s="643">
        <f>IF(CB67=$CB76,SUMIF($BI64:$BI75,$BX67,$BR64:$BR75),SUMIF($BI64:$BI75,$BX67,$BM64:$BM75))</f>
        <v>58.140999999999998</v>
      </c>
      <c r="BZ67" s="656" t="e">
        <f>IF(IF(CB67=CB76,SUMIF(BI64:BI75,$BX67,BU64:BU75),SUMIF(BI64:BI75,$BX67,BP64:BP75))=0,NA(),IF(CB67=CB76,SUMIF(BI64:BI75,$BX67,BU64:BU75),SUMIF(BI64:BI75,$BX67,BP64:BP75)))</f>
        <v>#N/A</v>
      </c>
      <c r="CA67" s="664">
        <f>IF(IF(CB67=CB76,SUMIF(BI64:BI75,$BX67,BS64:BS75),SUMIF(BI64:BI75,$BX67,BN64:BN75))=0,NA(),IF(CB67=CB76,SUMIF(BI64:BI75,$BX67,BS64:BS75),SUMIF(BI64:BI75,$BX67,BN64:BN75)))</f>
        <v>2.5425087287800352</v>
      </c>
      <c r="CB67" s="645">
        <f t="shared" si="16"/>
        <v>23</v>
      </c>
      <c r="CC67" s="645">
        <f t="shared" si="13"/>
        <v>1</v>
      </c>
    </row>
    <row r="68" spans="2:81" ht="15" customHeight="1">
      <c r="BI68" s="638" t="s">
        <v>325</v>
      </c>
      <c r="BJ68" s="638">
        <v>5</v>
      </c>
      <c r="BK68" s="638" t="s">
        <v>324</v>
      </c>
      <c r="BL68" s="690">
        <v>144.614</v>
      </c>
      <c r="BM68" s="822">
        <v>64.344999999999999</v>
      </c>
      <c r="BN68" s="653">
        <f t="shared" si="14"/>
        <v>2.247478436552957</v>
      </c>
      <c r="BO68" s="290"/>
      <c r="BP68" s="641"/>
      <c r="BQ68" s="690"/>
      <c r="BR68" s="822"/>
      <c r="BS68" s="654" t="str">
        <f t="shared" si="15"/>
        <v/>
      </c>
      <c r="BT68" s="290"/>
      <c r="BU68" s="655"/>
      <c r="BX68" s="642" t="str">
        <f t="shared" si="12"/>
        <v>Feb</v>
      </c>
      <c r="BY68" s="643">
        <f>IF(CB68=$CB76,SUMIF($BI64:$BI75,$BX68,$BR64:$BR75),SUMIF($BI64:$BI75,$BX68,$BM64:$BM75))</f>
        <v>64.344999999999999</v>
      </c>
      <c r="BZ68" s="656" t="e">
        <f>IF(IF(CB68=CB76,SUMIF(BI64:BI75,$BX68,BU64:BU75),SUMIF(BI64:BI75,$BX68,BP64:BP75))=0,NA(),IF(CB68=CB76,SUMIF(BI64:BI75,$BX68,BU64:BU75),SUMIF(BI64:BI75,$BX68,BP64:BP75)))</f>
        <v>#N/A</v>
      </c>
      <c r="CA68" s="664">
        <f>IF(IF(CB68=CB76,SUMIF(BI64:BI75,$BX68,BS64:BS75),SUMIF(BI64:BI75,$BX68,BN64:BN75))=0,NA(),IF(CB68=CB76,SUMIF(BI64:BI75,$BX68,BS64:BS75),SUMIF(BI64:BI75,$BX68,BN64:BN75)))</f>
        <v>2.247478436552957</v>
      </c>
      <c r="CB68" s="645">
        <f t="shared" si="16"/>
        <v>23</v>
      </c>
      <c r="CC68" s="645">
        <f t="shared" si="13"/>
        <v>2</v>
      </c>
    </row>
    <row r="69" spans="2:81" ht="15" customHeight="1">
      <c r="B69" s="336"/>
      <c r="AD69" s="336"/>
      <c r="BI69" s="638" t="s">
        <v>326</v>
      </c>
      <c r="BJ69" s="638">
        <v>6</v>
      </c>
      <c r="BK69" s="638" t="s">
        <v>324</v>
      </c>
      <c r="BL69" s="690">
        <v>173.32599999999999</v>
      </c>
      <c r="BM69" s="822">
        <v>77.099999999999994</v>
      </c>
      <c r="BN69" s="653">
        <f t="shared" si="14"/>
        <v>2.2480674448767837</v>
      </c>
      <c r="BO69" s="290"/>
      <c r="BP69" s="641"/>
      <c r="BQ69" s="690"/>
      <c r="BR69" s="822"/>
      <c r="BS69" s="654" t="str">
        <f t="shared" si="15"/>
        <v/>
      </c>
      <c r="BT69" s="290"/>
      <c r="BU69" s="655"/>
      <c r="BX69" s="642" t="str">
        <f t="shared" si="12"/>
        <v>Mar</v>
      </c>
      <c r="BY69" s="643">
        <f>IF(CB69=$CB76,SUMIF($BI64:$BI75,$BX69,$BR64:$BR75),SUMIF($BI64:$BI75,$BX69,$BM64:$BM75))</f>
        <v>77.099999999999994</v>
      </c>
      <c r="BZ69" s="656" t="e">
        <f>IF(IF(CB69=CB76,SUMIF(BI64:BI75,$BX69,BU64:BU75),SUMIF(BI64:BI75,$BX69,BP64:BP75))=0,NA(),IF(CB69=CB76,SUMIF(BI64:BI75,$BX69,BU64:BU75),SUMIF(BI64:BI75,$BX69,BP64:BP75)))</f>
        <v>#N/A</v>
      </c>
      <c r="CA69" s="664">
        <f>IF(IF(CB69=CB76,SUMIF(BI64:BI75,$BX69,BS64:BS75),SUMIF(BI64:BI75,$BX69,BN64:BN75))=0,NA(),IF(CB69=CB76,SUMIF(BI64:BI75,$BX69,BS64:BS75),SUMIF(BI64:BI75,$BX69,BN64:BN75)))</f>
        <v>2.2480674448767837</v>
      </c>
      <c r="CB69" s="645">
        <f t="shared" si="16"/>
        <v>23</v>
      </c>
      <c r="CC69" s="645">
        <f t="shared" si="13"/>
        <v>3</v>
      </c>
    </row>
    <row r="70" spans="2:81" ht="15" customHeight="1">
      <c r="BI70" s="638" t="s">
        <v>327</v>
      </c>
      <c r="BJ70" s="638">
        <v>7</v>
      </c>
      <c r="BK70" s="638" t="s">
        <v>328</v>
      </c>
      <c r="BL70" s="690">
        <v>131.06</v>
      </c>
      <c r="BM70" s="822">
        <v>67.213999999999999</v>
      </c>
      <c r="BN70" s="653">
        <f t="shared" si="14"/>
        <v>1.9498913916743537</v>
      </c>
      <c r="BO70" s="289">
        <f>IF(SUM(BM70:BM72=0),0,SUM(BL70:BL72)/SUM(BM70:BM72))</f>
        <v>2.2167282785585418</v>
      </c>
      <c r="BP70" s="641"/>
      <c r="BQ70" s="690"/>
      <c r="BR70" s="822"/>
      <c r="BS70" s="654" t="str">
        <f t="shared" si="15"/>
        <v/>
      </c>
      <c r="BT70" s="289">
        <f>IF(SUM(BR70:BR72=0),0,SUM(BQ70:BQ72)/SUM(BR70:BR72))</f>
        <v>0</v>
      </c>
      <c r="BU70" s="655"/>
      <c r="BX70" s="642" t="str">
        <f t="shared" si="12"/>
        <v>Apr</v>
      </c>
      <c r="BY70" s="643">
        <f>IF(CB70=$CB76,SUMIF($BI64:$BI75,$BX70,$BR64:$BR75),SUMIF($BI64:$BI75,$BX70,$BM64:$BM75))</f>
        <v>67.213999999999999</v>
      </c>
      <c r="BZ70" s="656" t="e">
        <f>IF(IF(CB70=CB76,SUMIF(BI64:BI75,$BX70,BU64:BU75),SUMIF(BI64:BI75,$BX70,BP64:BP75))=0,NA(),IF(CB70=CB76,SUMIF(BI64:BI75,$BX70,BU64:BU75),SUMIF(BI64:BI75,$BX70,BP64:BP75)))</f>
        <v>#N/A</v>
      </c>
      <c r="CA70" s="664">
        <f>IF(IF(CB70=CB76,SUMIF(BI64:BI75,$BX70,BS64:BS75),SUMIF(BI64:BI75,$BX70,BN64:BN75))=0,NA(),IF(CB70=CB76,SUMIF(BI64:BI75,$BX70,BS64:BS75),SUMIF(BI64:BI75,$BX70,BN64:BN75)))</f>
        <v>1.9498913916743537</v>
      </c>
      <c r="CB70" s="645">
        <f t="shared" si="16"/>
        <v>23</v>
      </c>
      <c r="CC70" s="645">
        <f t="shared" si="13"/>
        <v>4</v>
      </c>
    </row>
    <row r="71" spans="2:81" ht="15" customHeight="1">
      <c r="BI71" s="638" t="s">
        <v>329</v>
      </c>
      <c r="BJ71" s="638">
        <v>8</v>
      </c>
      <c r="BK71" s="638" t="s">
        <v>328</v>
      </c>
      <c r="BL71" s="690">
        <v>133.04599999999999</v>
      </c>
      <c r="BM71" s="822">
        <v>60.009</v>
      </c>
      <c r="BN71" s="653">
        <f t="shared" si="14"/>
        <v>2.2171007682181005</v>
      </c>
      <c r="BO71" s="290"/>
      <c r="BP71" s="641"/>
      <c r="BQ71" s="690"/>
      <c r="BR71" s="822"/>
      <c r="BS71" s="654" t="str">
        <f t="shared" si="15"/>
        <v/>
      </c>
      <c r="BT71" s="290"/>
      <c r="BU71" s="655"/>
      <c r="BX71" s="642" t="str">
        <f t="shared" si="12"/>
        <v>May</v>
      </c>
      <c r="BY71" s="643">
        <f>IF(CB71=$CB76,SUMIF($BI64:$BI75,$BX71,$BR64:$BR75),SUMIF($BI64:$BI75,$BX71,$BM64:$BM75))</f>
        <v>60.009</v>
      </c>
      <c r="BZ71" s="656" t="e">
        <f>IF(IF(CB71=CB76,SUMIF(BI64:BI75,$BX71,BU64:BU75),SUMIF(BI64:BI75,$BX71,BP64:BP75))=0,NA(),IF(CB71=CB76,SUMIF(BI64:BI75,$BX71,BU64:BU75),SUMIF(BI64:BI75,$BX71,BP64:BP75)))</f>
        <v>#N/A</v>
      </c>
      <c r="CA71" s="664">
        <f>IF(IF(CB71=CB76,SUMIF(BI64:BI75,$BX71,BS64:BS75),SUMIF(BI64:BI75,$BX71,BN64:BN75))=0,NA(),IF(CB71=CB76,SUMIF(BI64:BI75,$BX71,BS64:BS75),SUMIF(BI64:BI75,$BX71,BN64:BN75)))</f>
        <v>2.2171007682181005</v>
      </c>
      <c r="CB71" s="645">
        <f t="shared" si="16"/>
        <v>23</v>
      </c>
      <c r="CC71" s="645">
        <f t="shared" si="13"/>
        <v>5</v>
      </c>
    </row>
    <row r="72" spans="2:81" ht="15" customHeight="1">
      <c r="BI72" s="638" t="s">
        <v>331</v>
      </c>
      <c r="BJ72" s="638">
        <v>9</v>
      </c>
      <c r="BK72" s="638" t="s">
        <v>328</v>
      </c>
      <c r="BL72" s="690">
        <v>162.244</v>
      </c>
      <c r="BM72" s="822">
        <v>65.11</v>
      </c>
      <c r="BN72" s="653">
        <f t="shared" si="14"/>
        <v>2.4918445707264629</v>
      </c>
      <c r="BO72" s="290"/>
      <c r="BP72" s="641"/>
      <c r="BQ72" s="690"/>
      <c r="BR72" s="822"/>
      <c r="BS72" s="654" t="str">
        <f t="shared" si="15"/>
        <v/>
      </c>
      <c r="BT72" s="290"/>
      <c r="BU72" s="655"/>
      <c r="BX72" s="642" t="str">
        <f t="shared" si="12"/>
        <v>Jun</v>
      </c>
      <c r="BY72" s="643">
        <f>IF(CB72=$CB76,SUMIF($BI64:$BI75,$BX72,$BR64:$BR75),SUMIF($BI64:$BI75,$BX72,$BM64:$BM75))</f>
        <v>65.11</v>
      </c>
      <c r="BZ72" s="656" t="e">
        <f>IF(IF(CB72=CB76,SUMIF(BI64:BI75,$BX72,BU64:BU75),SUMIF(BI64:BI75,$BX72,BP64:BP75))=0,NA(),IF(CB72=CB76,SUMIF(BI64:BI75,$BX72,BU64:BU75),SUMIF(BI64:BI75,$BX72,BP64:BP75)))</f>
        <v>#N/A</v>
      </c>
      <c r="CA72" s="664">
        <f>IF(IF(CB72=CB76,SUMIF(BI64:BI75,$BX72,BS64:BS75),SUMIF(BI64:BI75,$BX72,BN64:BN75))=0,NA(),IF(CB72=CB76,SUMIF(BI64:BI75,$BX72,BS64:BS75),SUMIF(BI64:BI75,$BX72,BN64:BN75)))</f>
        <v>2.4918445707264629</v>
      </c>
      <c r="CB72" s="645">
        <f t="shared" si="16"/>
        <v>23</v>
      </c>
      <c r="CC72" s="645">
        <f t="shared" si="13"/>
        <v>6</v>
      </c>
    </row>
    <row r="73" spans="2:81" ht="15" customHeight="1">
      <c r="BI73" s="638" t="s">
        <v>337</v>
      </c>
      <c r="BJ73" s="638">
        <v>10</v>
      </c>
      <c r="BK73" s="638" t="s">
        <v>338</v>
      </c>
      <c r="BL73" s="690">
        <v>131.21</v>
      </c>
      <c r="BM73" s="822">
        <v>51.472000000000001</v>
      </c>
      <c r="BN73" s="653">
        <f t="shared" si="14"/>
        <v>2.5491529375194282</v>
      </c>
      <c r="BO73" s="289">
        <f>IF(SUM(BM73:BM75=0),0,SUM(BL73:BL75)/SUM(BM73:BM75))</f>
        <v>2.1876509356809546</v>
      </c>
      <c r="BP73" s="641"/>
      <c r="BQ73" s="690"/>
      <c r="BR73" s="822"/>
      <c r="BS73" s="654" t="str">
        <f t="shared" si="15"/>
        <v/>
      </c>
      <c r="BT73" s="289">
        <f>IF(SUM(BR73:BR75=0),0,SUM(BQ73:BQ75)/SUM(BR73:BR75))</f>
        <v>0</v>
      </c>
      <c r="BU73" s="655"/>
      <c r="BX73" s="642" t="str">
        <f t="shared" si="12"/>
        <v>Jul</v>
      </c>
      <c r="BY73" s="643">
        <f>IF(CB73=$CB76,SUMIF($BI64:$BI75,$BX73,$BR64:$BR75),SUMIF($BI64:$BI75,$BX73,$BM64:$BM75))</f>
        <v>51.472000000000001</v>
      </c>
      <c r="BZ73" s="656" t="e">
        <f>IF(IF(CB73=CB76,SUMIF(BI64:BI75,$BX73,BU64:BU75),SUMIF(BI64:BI75,$BX73,BP64:BP75))=0,NA(),IF(CB73=CB76,SUMIF(BI64:BI75,$BX73,BU64:BU75),SUMIF(BI64:BI75,$BX73,BP64:BP75)))</f>
        <v>#N/A</v>
      </c>
      <c r="CA73" s="664">
        <f>IF(IF(CB73=CB76,SUMIF(BI64:BI75,$BX73,BS64:BS75),SUMIF(BI64:BI75,$BX73,BN64:BN75))=0,NA(),IF(CB73=CB76,SUMIF(BI64:BI75,$BX73,BS64:BS75),SUMIF(BI64:BI75,$BX73,BN64:BN75)))</f>
        <v>2.5491529375194282</v>
      </c>
      <c r="CB73" s="645">
        <f t="shared" si="16"/>
        <v>23</v>
      </c>
      <c r="CC73" s="645">
        <f t="shared" si="13"/>
        <v>7</v>
      </c>
    </row>
    <row r="74" spans="2:81" ht="15" customHeight="1">
      <c r="BI74" s="638" t="s">
        <v>343</v>
      </c>
      <c r="BJ74" s="638">
        <v>11</v>
      </c>
      <c r="BK74" s="638" t="s">
        <v>338</v>
      </c>
      <c r="BL74" s="690">
        <v>147.333</v>
      </c>
      <c r="BM74" s="822">
        <v>64.302000000000007</v>
      </c>
      <c r="BN74" s="653">
        <f t="shared" si="14"/>
        <v>2.2912662125594845</v>
      </c>
      <c r="BO74" s="290"/>
      <c r="BP74" s="641"/>
      <c r="BQ74" s="690"/>
      <c r="BR74" s="822"/>
      <c r="BS74" s="654" t="str">
        <f t="shared" si="15"/>
        <v/>
      </c>
      <c r="BT74" s="290"/>
      <c r="BU74" s="655"/>
      <c r="BX74" s="642" t="str">
        <f t="shared" si="12"/>
        <v>Aug</v>
      </c>
      <c r="BY74" s="643">
        <f>IF(CB74=$CB76,SUMIF($BI64:$BI75,$BX74,$BR64:$BR75),SUMIF($BI64:$BI75,$BX74,$BM64:$BM75))</f>
        <v>64.302000000000007</v>
      </c>
      <c r="BZ74" s="656" t="e">
        <f>IF(IF(CB74=CB76,SUMIF(BI64:BI75,$BX74,BU64:BU75),SUMIF(BI64:BI75,$BX74,BP64:BP75))=0,NA(),IF(CB74=CB76,SUMIF(BI64:BI75,$BX74,BU64:BU75),SUMIF(BI64:BI75,$BX74,BP64:BP75)))</f>
        <v>#N/A</v>
      </c>
      <c r="CA74" s="664">
        <f>IF(IF(CB74=CB76,SUMIF(BI64:BI75,$BX74,BS64:BS75),SUMIF(BI64:BI75,$BX74,BN64:BN75))=0,NA(),IF(CB74=CB76,SUMIF(BI64:BI75,$BX74,BS64:BS75),SUMIF(BI64:BI75,$BX74,BN64:BN75)))</f>
        <v>2.2912662125594845</v>
      </c>
      <c r="CB74" s="645">
        <f t="shared" si="16"/>
        <v>23</v>
      </c>
      <c r="CC74" s="645">
        <f t="shared" si="13"/>
        <v>8</v>
      </c>
    </row>
    <row r="75" spans="2:81" ht="15" customHeight="1">
      <c r="BI75" s="638" t="s">
        <v>344</v>
      </c>
      <c r="BJ75" s="638">
        <v>12</v>
      </c>
      <c r="BK75" s="638" t="s">
        <v>338</v>
      </c>
      <c r="BL75" s="690">
        <v>176.20400000000001</v>
      </c>
      <c r="BM75" s="822">
        <v>92.096000000000004</v>
      </c>
      <c r="BN75" s="653">
        <f t="shared" si="14"/>
        <v>1.9132644197359276</v>
      </c>
      <c r="BO75" s="290"/>
      <c r="BP75" s="641"/>
      <c r="BQ75" s="690"/>
      <c r="BR75" s="822"/>
      <c r="BS75" s="654" t="str">
        <f t="shared" si="15"/>
        <v/>
      </c>
      <c r="BT75" s="290"/>
      <c r="BU75" s="655"/>
      <c r="BV75" s="37"/>
      <c r="BX75" s="642" t="str">
        <f t="shared" si="12"/>
        <v>Sep</v>
      </c>
      <c r="BY75" s="643">
        <f>IF(CB75=$CB76,SUMIF($BI64:$BI75,$BX75,$BR64:$BR75),SUMIF($BI64:$BI75,$BX75,$BM64:$BM75))</f>
        <v>92.096000000000004</v>
      </c>
      <c r="BZ75" s="656" t="e">
        <f>IF(IF(CB75=CB76,SUMIF(BI64:BI75,$BX75,BU64:BU75),SUMIF(BI64:BI75,$BX75,BP64:BP75))=0,NA(),IF(CB75=CB76,SUMIF(BI64:BI75,$BX75,BU64:BU75),SUMIF(BI64:BI75,$BX75,BP64:BP75)))</f>
        <v>#N/A</v>
      </c>
      <c r="CA75" s="664">
        <f>IF(IF(CB75=CB76,SUMIF(BI64:BI75,$BX75,BS64:BS75),SUMIF(BI64:BI75,$BX75,BN64:BN75))=0,NA(),IF(CB75=CB76,SUMIF(BI64:BI75,$BX75,BS64:BS75),SUMIF(BI64:BI75,$BX75,BN64:BN75)))</f>
        <v>1.9132644197359276</v>
      </c>
      <c r="CB75" s="645">
        <f t="shared" si="16"/>
        <v>23</v>
      </c>
      <c r="CC75" s="645">
        <f>IF(CC76-1&lt;1,CC76+11,CC76-1)</f>
        <v>9</v>
      </c>
    </row>
    <row r="76" spans="2:81" ht="15" customHeight="1">
      <c r="BJ76" s="37"/>
      <c r="BK76" s="37"/>
      <c r="BL76" s="37"/>
      <c r="BM76" s="37"/>
      <c r="BN76" s="37"/>
      <c r="BO76" s="37"/>
      <c r="BP76" s="37"/>
      <c r="BQ76" s="37"/>
      <c r="BR76" s="37"/>
      <c r="BS76" s="37"/>
      <c r="BT76" s="37"/>
      <c r="BU76" s="37"/>
      <c r="BV76" s="37"/>
      <c r="BW76" s="647" t="str">
        <f>Cover!$M$34</f>
        <v>OCT FY-24</v>
      </c>
      <c r="BX76" s="642" t="str">
        <f>TEXT(CONCATENATE(CC76,"/01/20",CB76),"MMM")</f>
        <v>Oct</v>
      </c>
      <c r="BY76" s="643">
        <f>SUMIF($BI64:$BI75,$BX76,$BR64:$BR75)</f>
        <v>72.164000000000001</v>
      </c>
      <c r="BZ76" s="656" t="e">
        <f>IF(IF(CB76=CB76,SUMIF(BI64:BI75,$BX76,BU64:BU75),SUMIF(BI64:BI75,$BX76,BP64:BP75))=0,NA(),IF(CB76=CB76,SUMIF(BI64:BI75,$BX76,BU64:BU75),SUMIF(BI64:BI75,$BX76,BP64:BP75)))</f>
        <v>#N/A</v>
      </c>
      <c r="CA76" s="664">
        <f>IF(SUMIF($BI64:$BI75,$BX76,$BS64:$BS75)=0,NA(),SUMIF($BI64:$BI75,$BX76,$BS64:$BS75))</f>
        <v>1.9293276425918742</v>
      </c>
      <c r="CB76" s="645">
        <f t="shared" si="16"/>
        <v>24</v>
      </c>
      <c r="CC76" s="645">
        <f>MONTH(DATEVALUE(LEFT(BW76,3)&amp;" 1"))</f>
        <v>10</v>
      </c>
    </row>
    <row r="77" spans="2:81" ht="15" customHeight="1">
      <c r="BI77" s="37"/>
      <c r="BJ77" s="37"/>
      <c r="BK77" s="37"/>
      <c r="BL77" s="37"/>
      <c r="BM77" s="37"/>
      <c r="BN77" s="37"/>
      <c r="BO77" s="37"/>
      <c r="BP77" s="37"/>
      <c r="BQ77" s="37"/>
      <c r="BR77" s="37"/>
      <c r="BS77" s="37"/>
      <c r="BT77" s="37"/>
      <c r="BU77" s="37"/>
    </row>
    <row r="78" spans="2:81" ht="15" customHeight="1">
      <c r="BI78" s="54" t="s">
        <v>292</v>
      </c>
      <c r="BJ78" s="1116" t="s">
        <v>354</v>
      </c>
      <c r="BK78" s="1116"/>
      <c r="BL78" s="1116"/>
      <c r="BM78" s="1116"/>
      <c r="BN78" s="1116"/>
      <c r="BO78" s="1116"/>
      <c r="BP78" s="1116"/>
      <c r="BQ78" s="1116"/>
      <c r="BR78" s="1116"/>
      <c r="BS78" s="1116"/>
      <c r="BT78" s="1116"/>
      <c r="BU78" s="1116"/>
    </row>
    <row r="79" spans="2:81" ht="15" customHeight="1">
      <c r="BI79" s="54" t="s">
        <v>296</v>
      </c>
      <c r="BJ79" s="1233" t="s">
        <v>297</v>
      </c>
      <c r="BK79" s="1233"/>
      <c r="BL79" s="1233"/>
      <c r="BM79" s="1233"/>
      <c r="BN79" s="1233"/>
      <c r="BO79" s="1233"/>
      <c r="BP79" s="1233"/>
      <c r="BQ79" s="1233"/>
      <c r="BR79" s="1233"/>
      <c r="BS79" s="1233"/>
      <c r="BT79" s="1233"/>
      <c r="BU79" s="1233"/>
    </row>
    <row r="80" spans="2:81" ht="15" customHeight="1" thickBot="1">
      <c r="BI80" s="54" t="s">
        <v>300</v>
      </c>
      <c r="BJ80" s="1233" t="s">
        <v>293</v>
      </c>
      <c r="BK80" s="1233"/>
      <c r="BL80" s="1233"/>
      <c r="BM80" s="1233"/>
      <c r="BN80" s="1233"/>
      <c r="BO80" s="1233"/>
      <c r="BP80" s="1233"/>
      <c r="BQ80" s="1233"/>
      <c r="BR80" s="1233"/>
      <c r="BS80" s="1233"/>
      <c r="BT80" s="1233"/>
      <c r="BU80" s="1233"/>
    </row>
    <row r="81" spans="1:81" ht="15" customHeight="1" thickBot="1">
      <c r="BI81" s="277"/>
      <c r="BJ81" s="277"/>
      <c r="BK81" s="277"/>
      <c r="BL81" s="1148" t="s">
        <v>302</v>
      </c>
      <c r="BM81" s="1149"/>
      <c r="BN81" s="1149"/>
      <c r="BO81" s="1149"/>
      <c r="BP81" s="1151"/>
      <c r="BQ81" s="1148" t="s">
        <v>719</v>
      </c>
      <c r="BR81" s="1149"/>
      <c r="BS81" s="1149"/>
      <c r="BT81" s="1149"/>
      <c r="BU81" s="1150"/>
      <c r="BW81" s="1148" t="s">
        <v>303</v>
      </c>
      <c r="BX81" s="1149"/>
      <c r="BY81" s="1149"/>
      <c r="BZ81" s="1149"/>
      <c r="CA81" s="1149"/>
      <c r="CB81" s="1149"/>
      <c r="CC81" s="1150"/>
    </row>
    <row r="82" spans="1:81" ht="15" customHeight="1">
      <c r="BI82" s="636" t="s">
        <v>23</v>
      </c>
      <c r="BJ82" s="636" t="s">
        <v>37</v>
      </c>
      <c r="BK82" s="636" t="s">
        <v>304</v>
      </c>
      <c r="BL82" s="637" t="s">
        <v>305</v>
      </c>
      <c r="BM82" s="637" t="s">
        <v>310</v>
      </c>
      <c r="BN82" s="637" t="s">
        <v>311</v>
      </c>
      <c r="BO82" s="278" t="s">
        <v>312</v>
      </c>
      <c r="BP82" s="637" t="s">
        <v>313</v>
      </c>
      <c r="BQ82" s="637" t="s">
        <v>305</v>
      </c>
      <c r="BR82" s="637" t="s">
        <v>715</v>
      </c>
      <c r="BS82" s="637" t="s">
        <v>716</v>
      </c>
      <c r="BT82" s="278" t="s">
        <v>717</v>
      </c>
      <c r="BU82" s="637" t="s">
        <v>718</v>
      </c>
      <c r="BW82" s="279" t="s">
        <v>314</v>
      </c>
      <c r="BX82" s="279" t="s">
        <v>23</v>
      </c>
      <c r="BY82" s="279" t="s">
        <v>315</v>
      </c>
      <c r="BZ82" s="279" t="s">
        <v>122</v>
      </c>
      <c r="CA82" s="279" t="s">
        <v>316</v>
      </c>
      <c r="CB82" s="279" t="s">
        <v>317</v>
      </c>
      <c r="CC82" s="279" t="s">
        <v>318</v>
      </c>
    </row>
    <row r="83" spans="1:81" ht="15" customHeight="1">
      <c r="BI83" s="638" t="s">
        <v>319</v>
      </c>
      <c r="BJ83" s="638">
        <v>1</v>
      </c>
      <c r="BK83" s="638" t="s">
        <v>320</v>
      </c>
      <c r="BL83" s="690">
        <v>13.327</v>
      </c>
      <c r="BM83" s="690">
        <v>13.327</v>
      </c>
      <c r="BN83" s="653">
        <f>IF(BM83="","",BL83/BM83)</f>
        <v>1</v>
      </c>
      <c r="BO83" s="289">
        <f>IF(SUM(BM83:BM85=0),0,SUM(BL83:BL85)/SUM(BM83:BM85))</f>
        <v>1</v>
      </c>
      <c r="BP83" s="821">
        <v>1</v>
      </c>
      <c r="BQ83" s="690">
        <v>2.36</v>
      </c>
      <c r="BR83" s="690">
        <v>2.36</v>
      </c>
      <c r="BS83" s="653">
        <f>IF(BR83="","",BQ83/BR83)</f>
        <v>1</v>
      </c>
      <c r="BT83" s="289">
        <f>IF(SUM(BR83:BR85=0),0,SUM(BQ83:BQ85)/SUM(BR83:BR85))</f>
        <v>1</v>
      </c>
      <c r="BU83" s="821">
        <v>1</v>
      </c>
      <c r="BX83" s="642" t="str">
        <f t="shared" ref="BX83:BX94" si="17">TEXT(CONCATENATE(CC83,"/01/20",CB83),"MMM")</f>
        <v>Oct</v>
      </c>
      <c r="BY83" s="643">
        <f>IF(CB83=$CB95,SUMIF($BI83:$BI94,$BX83,$BR83:$BR94),SUMIF($BI83:$BI94,$BX83,$BM83:$BM94))</f>
        <v>13.327</v>
      </c>
      <c r="BZ83" s="657">
        <f>IF(IF(CB83=CB95,SUMIF(BI83:BI94,$BX83,BU83:BU94),SUMIF(BI83:BI94,$BX83,BP83:BP94))=0,NA(),IF(CB83=CB95,SUMIF(BI83:BI94,$BX83,BU83:BU94),SUMIF(BI83:BI94,$BX83,BP83:BP94)))</f>
        <v>1</v>
      </c>
      <c r="CA83" s="640">
        <f>IF(IF(CB83=CB95,SUMIF(BI83:BI94,$BX83,BS83:BS94),SUMIF(BI83:BI94,$BX83,BN83:BN94))=0,NA(),IF(CB83=CB95,SUMIF(BI83:BI94,$BX83,BS83:BS94),SUMIF(BI83:BI94,$BX83,BN83:BN94)))</f>
        <v>1</v>
      </c>
      <c r="CB83" s="645">
        <f>CB64</f>
        <v>23</v>
      </c>
      <c r="CC83" s="645">
        <f t="shared" ref="CC83:CC93" si="18">IF(CC84-1&lt;1,CC84+11,CC84-1)</f>
        <v>10</v>
      </c>
    </row>
    <row r="84" spans="1:81" ht="15" customHeight="1">
      <c r="BI84" s="638" t="s">
        <v>321</v>
      </c>
      <c r="BJ84" s="638">
        <v>2</v>
      </c>
      <c r="BK84" s="638" t="s">
        <v>320</v>
      </c>
      <c r="BL84" s="690">
        <v>6.5490000000000004</v>
      </c>
      <c r="BM84" s="690">
        <v>6.5490000000000004</v>
      </c>
      <c r="BN84" s="653">
        <f t="shared" ref="BN84:BN94" si="19">IF(BM84="","",BL84/BM84)</f>
        <v>1</v>
      </c>
      <c r="BO84" s="855"/>
      <c r="BP84" s="821">
        <v>1</v>
      </c>
      <c r="BQ84" s="690"/>
      <c r="BR84" s="690"/>
      <c r="BS84" s="653" t="str">
        <f t="shared" ref="BS84:BS94" si="20">IF(BR84="","",BQ84/BR84)</f>
        <v/>
      </c>
      <c r="BT84" s="855"/>
      <c r="BU84" s="821">
        <v>1</v>
      </c>
      <c r="BX84" s="642" t="str">
        <f t="shared" si="17"/>
        <v>Nov</v>
      </c>
      <c r="BY84" s="643">
        <f>IF(CB84=$CB95,SUMIF($BI83:$BI94,$BX84,$BR83:$BR94),SUMIF($BI83:$BI94,$BX84,$BM83:$BM94))</f>
        <v>6.5490000000000004</v>
      </c>
      <c r="BZ84" s="657">
        <f>IF(IF(CB84=CB95,SUMIF(BI83:BI94,$BX84,BU83:BU94),SUMIF(BI83:BI94,$BX84,BP83:BP94))=0,NA(),IF(CB84=CB95,SUMIF(BI83:BI94,$BX84,BU83:BU94),SUMIF(BI83:BI94,$BX84,BP83:BP94)))</f>
        <v>1</v>
      </c>
      <c r="CA84" s="640">
        <f>IF(IF(CB84=CB95,SUMIF(BI83:BI94,$BX84,BS83:BS94),SUMIF(BI83:BI94,$BX84,BN83:BN94))=0,NA(),IF(CB84=CB95,SUMIF(BI83:BI94,$BX84,BS83:BS94),SUMIF(BI83:BI94,$BX84,BN83:BN94)))</f>
        <v>1</v>
      </c>
      <c r="CB84" s="645">
        <f t="shared" ref="CB84:CB95" si="21">CB65</f>
        <v>23</v>
      </c>
      <c r="CC84" s="645">
        <f t="shared" si="18"/>
        <v>11</v>
      </c>
    </row>
    <row r="85" spans="1:81" ht="15" customHeight="1">
      <c r="BI85" s="638" t="s">
        <v>322</v>
      </c>
      <c r="BJ85" s="638">
        <v>3</v>
      </c>
      <c r="BK85" s="638" t="s">
        <v>320</v>
      </c>
      <c r="BL85" s="690">
        <v>3.0339999999999998</v>
      </c>
      <c r="BM85" s="690">
        <v>3.0339999999999998</v>
      </c>
      <c r="BN85" s="653">
        <f t="shared" si="19"/>
        <v>1</v>
      </c>
      <c r="BO85" s="855"/>
      <c r="BP85" s="821">
        <v>1</v>
      </c>
      <c r="BQ85" s="690"/>
      <c r="BR85" s="690"/>
      <c r="BS85" s="653" t="str">
        <f t="shared" si="20"/>
        <v/>
      </c>
      <c r="BT85" s="855"/>
      <c r="BU85" s="821">
        <v>1</v>
      </c>
      <c r="BX85" s="642" t="str">
        <f t="shared" si="17"/>
        <v>Dec</v>
      </c>
      <c r="BY85" s="643">
        <f>IF(CB85=$CB95,SUMIF($BI83:$BI94,$BX85,$BR83:$BR94),SUMIF($BI83:$BI94,$BX85,$BM83:$BM94))</f>
        <v>3.0339999999999998</v>
      </c>
      <c r="BZ85" s="657">
        <f>IF(IF(CB85=CB95,SUMIF(BI83:BI94,$BX85,BU83:BU94),SUMIF(BI83:BI94,$BX85,BP83:BP94))=0,NA(),IF(CB85=CB95,SUMIF(BI83:BI94,$BX85,BU83:BU94),SUMIF(BI83:BI94,$BX85,BP83:BP94)))</f>
        <v>1</v>
      </c>
      <c r="CA85" s="640">
        <f>IF(IF(CB85=CB95,SUMIF(BI83:BI94,$BX85,BS83:BS94),SUMIF(BI83:BI94,$BX85,BN83:BN94))=0,NA(),IF(CB85=CB95,SUMIF(BI83:BI94,$BX85,BS83:BS94),SUMIF(BI83:BI94,$BX85,BN83:BN94)))</f>
        <v>1</v>
      </c>
      <c r="CB85" s="645">
        <f t="shared" si="21"/>
        <v>23</v>
      </c>
      <c r="CC85" s="645">
        <f t="shared" si="18"/>
        <v>12</v>
      </c>
    </row>
    <row r="86" spans="1:81" ht="15" customHeight="1">
      <c r="B86" s="267" t="s">
        <v>242</v>
      </c>
      <c r="C86" s="267"/>
      <c r="D86" s="267"/>
      <c r="E86" s="334"/>
      <c r="F86" s="326"/>
      <c r="G86" s="326"/>
      <c r="H86" s="326"/>
      <c r="I86" s="326"/>
      <c r="J86" s="326"/>
      <c r="K86" s="326"/>
      <c r="L86" s="326"/>
      <c r="M86" s="326"/>
      <c r="N86" s="326"/>
      <c r="O86" s="326"/>
      <c r="P86" s="326"/>
      <c r="Q86" s="326"/>
      <c r="R86" s="326"/>
      <c r="S86" s="326"/>
      <c r="T86" s="326"/>
      <c r="U86" s="326"/>
      <c r="V86" s="326"/>
      <c r="W86" s="326"/>
      <c r="X86" s="326"/>
      <c r="Y86" s="326"/>
      <c r="Z86" s="326"/>
      <c r="AA86" s="326"/>
      <c r="AB86" s="326"/>
      <c r="AE86" s="267" t="s">
        <v>242</v>
      </c>
      <c r="BI86" s="638" t="s">
        <v>323</v>
      </c>
      <c r="BJ86" s="638">
        <v>4</v>
      </c>
      <c r="BK86" s="638" t="s">
        <v>324</v>
      </c>
      <c r="BL86" s="690">
        <v>4.4880000000000004</v>
      </c>
      <c r="BM86" s="690">
        <v>5.4560000000000004</v>
      </c>
      <c r="BN86" s="653">
        <f t="shared" si="19"/>
        <v>0.82258064516129037</v>
      </c>
      <c r="BO86" s="289">
        <f>IF(SUM(BM86:BM88=0),0,SUM(BL86:BL88)/SUM(BM86:BM88))</f>
        <v>0.89038101186758289</v>
      </c>
      <c r="BP86" s="821">
        <v>1</v>
      </c>
      <c r="BQ86" s="690"/>
      <c r="BR86" s="690"/>
      <c r="BS86" s="653" t="str">
        <f t="shared" si="20"/>
        <v/>
      </c>
      <c r="BT86" s="289">
        <f>IF(SUM(BR86:BR88=0),0,SUM(BQ86:BQ88)/SUM(BR86:BR88))</f>
        <v>0</v>
      </c>
      <c r="BU86" s="821">
        <v>1</v>
      </c>
      <c r="BX86" s="642" t="str">
        <f t="shared" si="17"/>
        <v>Jan</v>
      </c>
      <c r="BY86" s="643">
        <f>IF(CB86=$CB95,SUMIF($BI83:$BI94,$BX86,$BR83:$BR94),SUMIF($BI83:$BI94,$BX86,$BM83:$BM94))</f>
        <v>5.4560000000000004</v>
      </c>
      <c r="BZ86" s="657">
        <f>IF(IF(CB86=CB95,SUMIF(BI83:BI94,$BX86,BU83:BU94),SUMIF(BI83:BI94,$BX86,BP83:BP94))=0,NA(),IF(CB86=CB95,SUMIF(BI83:BI94,$BX86,BU83:BU94),SUMIF(BI83:BI94,$BX86,BP83:BP94)))</f>
        <v>1</v>
      </c>
      <c r="CA86" s="640">
        <f>IF(IF(CB86=CB95,SUMIF(BI83:BI94,$BX86,BS83:BS94),SUMIF(BI83:BI94,$BX86,BN83:BN94))=0,NA(),IF(CB86=CB95,SUMIF(BI83:BI94,$BX86,BS83:BS94),SUMIF(BI83:BI94,$BX86,BN83:BN94)))</f>
        <v>0.82258064516129037</v>
      </c>
      <c r="CB86" s="645">
        <f t="shared" si="21"/>
        <v>23</v>
      </c>
      <c r="CC86" s="645">
        <f t="shared" si="18"/>
        <v>1</v>
      </c>
    </row>
    <row r="87" spans="1:81" ht="15" customHeight="1">
      <c r="B87" s="1137" t="str">
        <f>AC40</f>
        <v>Cost stable compared to prior month.</v>
      </c>
      <c r="C87" s="1138"/>
      <c r="D87" s="1138"/>
      <c r="E87" s="1138"/>
      <c r="F87" s="1138"/>
      <c r="G87" s="1138"/>
      <c r="H87" s="1138"/>
      <c r="I87" s="1138"/>
      <c r="J87" s="1138"/>
      <c r="K87" s="1138"/>
      <c r="L87" s="1138"/>
      <c r="M87" s="1138"/>
      <c r="N87" s="1138"/>
      <c r="O87" s="1138"/>
      <c r="P87" s="1138"/>
      <c r="Q87" s="1138"/>
      <c r="R87" s="1138"/>
      <c r="S87" s="1138"/>
      <c r="T87" s="1138"/>
      <c r="U87" s="1138"/>
      <c r="V87" s="1138"/>
      <c r="W87" s="1138"/>
      <c r="X87" s="1138"/>
      <c r="Y87" s="1138"/>
      <c r="Z87" s="1138"/>
      <c r="AA87" s="1138"/>
      <c r="AB87" s="1139"/>
      <c r="AE87" s="1223" t="str">
        <f>AC41</f>
        <v>Successfully met KPI</v>
      </c>
      <c r="AF87" s="1224"/>
      <c r="AG87" s="1224"/>
      <c r="AH87" s="1224"/>
      <c r="AI87" s="1224"/>
      <c r="AJ87" s="1224"/>
      <c r="AK87" s="1224"/>
      <c r="AL87" s="1224"/>
      <c r="AM87" s="1224"/>
      <c r="AN87" s="1224"/>
      <c r="AO87" s="1224"/>
      <c r="AP87" s="1224"/>
      <c r="AQ87" s="1224"/>
      <c r="AR87" s="1224"/>
      <c r="AS87" s="1224"/>
      <c r="AT87" s="1224"/>
      <c r="AU87" s="1224"/>
      <c r="AV87" s="1224"/>
      <c r="AW87" s="1224"/>
      <c r="AX87" s="1224"/>
      <c r="AY87" s="1224"/>
      <c r="AZ87" s="1224"/>
      <c r="BA87" s="1224"/>
      <c r="BB87" s="1224"/>
      <c r="BC87" s="1224"/>
      <c r="BD87" s="1224"/>
      <c r="BE87" s="1225"/>
      <c r="BI87" s="638" t="s">
        <v>325</v>
      </c>
      <c r="BJ87" s="638">
        <v>5</v>
      </c>
      <c r="BK87" s="638" t="s">
        <v>324</v>
      </c>
      <c r="BL87" s="690">
        <v>2.6720000000000002</v>
      </c>
      <c r="BM87" s="822">
        <v>2.7559999999999998</v>
      </c>
      <c r="BN87" s="653">
        <f t="shared" si="19"/>
        <v>0.96952104499274327</v>
      </c>
      <c r="BO87" s="855"/>
      <c r="BP87" s="821">
        <v>1</v>
      </c>
      <c r="BQ87" s="690"/>
      <c r="BR87" s="822"/>
      <c r="BS87" s="653" t="str">
        <f t="shared" si="20"/>
        <v/>
      </c>
      <c r="BT87" s="855"/>
      <c r="BU87" s="821">
        <v>1</v>
      </c>
      <c r="BX87" s="642" t="str">
        <f t="shared" si="17"/>
        <v>Feb</v>
      </c>
      <c r="BY87" s="643">
        <f>IF(CB87=$CB95,SUMIF($BI83:$BI94,$BX87,$BR83:$BR94),SUMIF($BI83:$BI94,$BX87,$BM83:$BM94))</f>
        <v>2.7559999999999998</v>
      </c>
      <c r="BZ87" s="657">
        <f>IF(IF(CB87=CB95,SUMIF(BI83:BI94,$BX87,BU83:BU94),SUMIF(BI83:BI94,$BX87,BP83:BP94))=0,NA(),IF(CB87=CB95,SUMIF(BI83:BI94,$BX87,BU83:BU94),SUMIF(BI83:BI94,$BX87,BP83:BP94)))</f>
        <v>1</v>
      </c>
      <c r="CA87" s="640">
        <f>IF(IF(CB87=CB95,SUMIF(BI83:BI94,$BX87,BS83:BS94),SUMIF(BI83:BI94,$BX87,BN83:BN94))=0,NA(),IF(CB87=CB95,SUMIF(BI83:BI94,$BX87,BS83:BS94),SUMIF(BI83:BI94,$BX87,BN83:BN94)))</f>
        <v>0.96952104499274327</v>
      </c>
      <c r="CB87" s="645">
        <f t="shared" si="21"/>
        <v>23</v>
      </c>
      <c r="CC87" s="645">
        <f t="shared" si="18"/>
        <v>2</v>
      </c>
    </row>
    <row r="88" spans="1:81" ht="15" customHeight="1">
      <c r="B88" s="1140"/>
      <c r="C88" s="1141"/>
      <c r="D88" s="1141"/>
      <c r="E88" s="1141"/>
      <c r="F88" s="1141"/>
      <c r="G88" s="1141"/>
      <c r="H88" s="1141"/>
      <c r="I88" s="1141"/>
      <c r="J88" s="1141"/>
      <c r="K88" s="1141"/>
      <c r="L88" s="1141"/>
      <c r="M88" s="1141"/>
      <c r="N88" s="1141"/>
      <c r="O88" s="1141"/>
      <c r="P88" s="1141"/>
      <c r="Q88" s="1141"/>
      <c r="R88" s="1141"/>
      <c r="S88" s="1141"/>
      <c r="T88" s="1141"/>
      <c r="U88" s="1141"/>
      <c r="V88" s="1141"/>
      <c r="W88" s="1141"/>
      <c r="X88" s="1141"/>
      <c r="Y88" s="1141"/>
      <c r="Z88" s="1141"/>
      <c r="AA88" s="1141"/>
      <c r="AB88" s="1142"/>
      <c r="AE88" s="1226"/>
      <c r="AF88" s="1227"/>
      <c r="AG88" s="1227"/>
      <c r="AH88" s="1227"/>
      <c r="AI88" s="1227"/>
      <c r="AJ88" s="1227"/>
      <c r="AK88" s="1227"/>
      <c r="AL88" s="1227"/>
      <c r="AM88" s="1227"/>
      <c r="AN88" s="1227"/>
      <c r="AO88" s="1227"/>
      <c r="AP88" s="1227"/>
      <c r="AQ88" s="1227"/>
      <c r="AR88" s="1227"/>
      <c r="AS88" s="1227"/>
      <c r="AT88" s="1227"/>
      <c r="AU88" s="1227"/>
      <c r="AV88" s="1227"/>
      <c r="AW88" s="1227"/>
      <c r="AX88" s="1227"/>
      <c r="AY88" s="1227"/>
      <c r="AZ88" s="1227"/>
      <c r="BA88" s="1227"/>
      <c r="BB88" s="1227"/>
      <c r="BC88" s="1227"/>
      <c r="BD88" s="1227"/>
      <c r="BE88" s="1228"/>
      <c r="BI88" s="638" t="s">
        <v>326</v>
      </c>
      <c r="BJ88" s="638">
        <v>6</v>
      </c>
      <c r="BK88" s="638" t="s">
        <v>324</v>
      </c>
      <c r="BL88" s="690">
        <v>1.393</v>
      </c>
      <c r="BM88" s="822">
        <v>1.3939999999999999</v>
      </c>
      <c r="BN88" s="653">
        <f t="shared" si="19"/>
        <v>0.99928263988522248</v>
      </c>
      <c r="BO88" s="855"/>
      <c r="BP88" s="821">
        <v>1</v>
      </c>
      <c r="BQ88" s="690"/>
      <c r="BR88" s="822"/>
      <c r="BS88" s="653" t="str">
        <f t="shared" si="20"/>
        <v/>
      </c>
      <c r="BT88" s="855"/>
      <c r="BU88" s="821">
        <v>1</v>
      </c>
      <c r="BX88" s="642" t="str">
        <f t="shared" si="17"/>
        <v>Mar</v>
      </c>
      <c r="BY88" s="643">
        <f>IF(CB88=$CB95,SUMIF($BI83:$BI94,$BX88,$BR83:$BR94),SUMIF($BI83:$BI94,$BX88,$BM83:$BM94))</f>
        <v>1.3939999999999999</v>
      </c>
      <c r="BZ88" s="657">
        <f>IF(IF(CB88=CB95,SUMIF(BI83:BI94,$BX88,BU83:BU94),SUMIF(BI83:BI94,$BX88,BP83:BP94))=0,NA(),IF(CB88=CB95,SUMIF(BI83:BI94,$BX88,BU83:BU94),SUMIF(BI83:BI94,$BX88,BP83:BP94)))</f>
        <v>1</v>
      </c>
      <c r="CA88" s="640">
        <f>IF(IF(CB88=CB95,SUMIF(BI83:BI94,$BX88,BS83:BS94),SUMIF(BI83:BI94,$BX88,BN83:BN94))=0,NA(),IF(CB88=CB95,SUMIF(BI83:BI94,$BX88,BS83:BS94),SUMIF(BI83:BI94,$BX88,BN83:BN94)))</f>
        <v>0.99928263988522248</v>
      </c>
      <c r="CB88" s="645">
        <f t="shared" si="21"/>
        <v>23</v>
      </c>
      <c r="CC88" s="645">
        <f t="shared" si="18"/>
        <v>3</v>
      </c>
    </row>
    <row r="89" spans="1:81" ht="15" customHeight="1">
      <c r="B89" s="1140"/>
      <c r="C89" s="1141"/>
      <c r="D89" s="1141"/>
      <c r="E89" s="1141"/>
      <c r="F89" s="1141"/>
      <c r="G89" s="1141"/>
      <c r="H89" s="1141"/>
      <c r="I89" s="1141"/>
      <c r="J89" s="1141"/>
      <c r="K89" s="1141"/>
      <c r="L89" s="1141"/>
      <c r="M89" s="1141"/>
      <c r="N89" s="1141"/>
      <c r="O89" s="1141"/>
      <c r="P89" s="1141"/>
      <c r="Q89" s="1141"/>
      <c r="R89" s="1141"/>
      <c r="S89" s="1141"/>
      <c r="T89" s="1141"/>
      <c r="U89" s="1141"/>
      <c r="V89" s="1141"/>
      <c r="W89" s="1141"/>
      <c r="X89" s="1141"/>
      <c r="Y89" s="1141"/>
      <c r="Z89" s="1141"/>
      <c r="AA89" s="1141"/>
      <c r="AB89" s="1142"/>
      <c r="AE89" s="1226"/>
      <c r="AF89" s="1227"/>
      <c r="AG89" s="1227"/>
      <c r="AH89" s="1227"/>
      <c r="AI89" s="1227"/>
      <c r="AJ89" s="1227"/>
      <c r="AK89" s="1227"/>
      <c r="AL89" s="1227"/>
      <c r="AM89" s="1227"/>
      <c r="AN89" s="1227"/>
      <c r="AO89" s="1227"/>
      <c r="AP89" s="1227"/>
      <c r="AQ89" s="1227"/>
      <c r="AR89" s="1227"/>
      <c r="AS89" s="1227"/>
      <c r="AT89" s="1227"/>
      <c r="AU89" s="1227"/>
      <c r="AV89" s="1227"/>
      <c r="AW89" s="1227"/>
      <c r="AX89" s="1227"/>
      <c r="AY89" s="1227"/>
      <c r="AZ89" s="1227"/>
      <c r="BA89" s="1227"/>
      <c r="BB89" s="1227"/>
      <c r="BC89" s="1227"/>
      <c r="BD89" s="1227"/>
      <c r="BE89" s="1228"/>
      <c r="BI89" s="638" t="s">
        <v>327</v>
      </c>
      <c r="BJ89" s="638">
        <v>7</v>
      </c>
      <c r="BK89" s="638" t="s">
        <v>328</v>
      </c>
      <c r="BL89" s="690">
        <v>2.048</v>
      </c>
      <c r="BM89" s="822">
        <v>2.1190000000000002</v>
      </c>
      <c r="BN89" s="653">
        <f t="shared" si="19"/>
        <v>0.96649362907031611</v>
      </c>
      <c r="BO89" s="289">
        <f>IF(SUM(BM89:BM91=0),0,SUM(BL89:BL91)/SUM(BM89:BM91))</f>
        <v>0.98912377450980382</v>
      </c>
      <c r="BP89" s="821">
        <v>1</v>
      </c>
      <c r="BQ89" s="690"/>
      <c r="BR89" s="822"/>
      <c r="BS89" s="653" t="str">
        <f t="shared" si="20"/>
        <v/>
      </c>
      <c r="BT89" s="289">
        <f>IF(SUM(BR89:BR91=0),0,SUM(BQ89:BQ91)/SUM(BR89:BR91))</f>
        <v>0</v>
      </c>
      <c r="BU89" s="821">
        <v>1</v>
      </c>
      <c r="BX89" s="642" t="str">
        <f t="shared" si="17"/>
        <v>Apr</v>
      </c>
      <c r="BY89" s="643">
        <f>IF(CB89=$CB95,SUMIF($BI83:$BI94,$BX89,$BR83:$BR94),SUMIF($BI83:$BI94,$BX89,$BM83:$BM94))</f>
        <v>2.1190000000000002</v>
      </c>
      <c r="BZ89" s="657">
        <f>IF(IF(CB89=CB95,SUMIF(BI83:BI94,$BX89,BU83:BU94),SUMIF(BI83:BI94,$BX89,BP83:BP94))=0,NA(),IF(CB89=CB95,SUMIF(BI83:BI94,$BX89,BU83:BU94),SUMIF(BI83:BI94,$BX89,BP83:BP94)))</f>
        <v>1</v>
      </c>
      <c r="CA89" s="640">
        <f>IF(IF(CB89=CB95,SUMIF(BI83:BI94,$BX89,BS83:BS94),SUMIF(BI83:BI94,$BX89,BN83:BN94))=0,NA(),IF(CB89=CB95,SUMIF(BI83:BI94,$BX89,BS83:BS94),SUMIF(BI83:BI94,$BX89,BN83:BN94)))</f>
        <v>0.96649362907031611</v>
      </c>
      <c r="CB89" s="645">
        <f t="shared" si="21"/>
        <v>23</v>
      </c>
      <c r="CC89" s="645">
        <f t="shared" si="18"/>
        <v>4</v>
      </c>
    </row>
    <row r="90" spans="1:81" ht="15" customHeight="1">
      <c r="B90" s="1143"/>
      <c r="C90" s="1144"/>
      <c r="D90" s="1144"/>
      <c r="E90" s="1144"/>
      <c r="F90" s="1144"/>
      <c r="G90" s="1144"/>
      <c r="H90" s="1144"/>
      <c r="I90" s="1144"/>
      <c r="J90" s="1144"/>
      <c r="K90" s="1144"/>
      <c r="L90" s="1144"/>
      <c r="M90" s="1144"/>
      <c r="N90" s="1144"/>
      <c r="O90" s="1144"/>
      <c r="P90" s="1144"/>
      <c r="Q90" s="1144"/>
      <c r="R90" s="1144"/>
      <c r="S90" s="1144"/>
      <c r="T90" s="1144"/>
      <c r="U90" s="1144"/>
      <c r="V90" s="1144"/>
      <c r="W90" s="1144"/>
      <c r="X90" s="1144"/>
      <c r="Y90" s="1144"/>
      <c r="Z90" s="1144"/>
      <c r="AA90" s="1144"/>
      <c r="AB90" s="1145"/>
      <c r="AE90" s="1229"/>
      <c r="AF90" s="1230"/>
      <c r="AG90" s="1230"/>
      <c r="AH90" s="1230"/>
      <c r="AI90" s="1230"/>
      <c r="AJ90" s="1230"/>
      <c r="AK90" s="1230"/>
      <c r="AL90" s="1230"/>
      <c r="AM90" s="1230"/>
      <c r="AN90" s="1230"/>
      <c r="AO90" s="1230"/>
      <c r="AP90" s="1230"/>
      <c r="AQ90" s="1230"/>
      <c r="AR90" s="1230"/>
      <c r="AS90" s="1230"/>
      <c r="AT90" s="1230"/>
      <c r="AU90" s="1230"/>
      <c r="AV90" s="1230"/>
      <c r="AW90" s="1230"/>
      <c r="AX90" s="1230"/>
      <c r="AY90" s="1230"/>
      <c r="AZ90" s="1230"/>
      <c r="BA90" s="1230"/>
      <c r="BB90" s="1230"/>
      <c r="BC90" s="1230"/>
      <c r="BD90" s="1230"/>
      <c r="BE90" s="1231"/>
      <c r="BI90" s="638" t="s">
        <v>329</v>
      </c>
      <c r="BJ90" s="638">
        <v>8</v>
      </c>
      <c r="BK90" s="638" t="s">
        <v>328</v>
      </c>
      <c r="BL90" s="690">
        <v>2.851</v>
      </c>
      <c r="BM90" s="822">
        <v>2.851</v>
      </c>
      <c r="BN90" s="653">
        <f t="shared" si="19"/>
        <v>1</v>
      </c>
      <c r="BO90" s="855"/>
      <c r="BP90" s="821">
        <v>1</v>
      </c>
      <c r="BQ90" s="690"/>
      <c r="BR90" s="822"/>
      <c r="BS90" s="653" t="str">
        <f t="shared" si="20"/>
        <v/>
      </c>
      <c r="BT90" s="855"/>
      <c r="BU90" s="821">
        <v>1</v>
      </c>
      <c r="BX90" s="642" t="str">
        <f t="shared" si="17"/>
        <v>May</v>
      </c>
      <c r="BY90" s="643">
        <f>IF(CB90=$CB95,SUMIF($BI83:$BI94,$BX90,$BR83:$BR94),SUMIF($BI83:$BI94,$BX90,$BM83:$BM94))</f>
        <v>2.851</v>
      </c>
      <c r="BZ90" s="657">
        <f>IF(IF(CB90=CB95,SUMIF(BI83:BI94,$BX90,BU83:BU94),SUMIF(BI83:BI94,$BX90,BP83:BP94))=0,NA(),IF(CB90=CB95,SUMIF(BI83:BI94,$BX90,BU83:BU94),SUMIF(BI83:BI94,$BX90,BP83:BP94)))</f>
        <v>1</v>
      </c>
      <c r="CA90" s="640">
        <f>IF(IF(CB90=CB95,SUMIF(BI83:BI94,$BX90,BS83:BS94),SUMIF(BI83:BI94,$BX90,BN83:BN94))=0,NA(),IF(CB90=CB95,SUMIF(BI83:BI94,$BX90,BS83:BS94),SUMIF(BI83:BI94,$BX90,BN83:BN94)))</f>
        <v>1</v>
      </c>
      <c r="CB90" s="645">
        <f t="shared" si="21"/>
        <v>23</v>
      </c>
      <c r="CC90" s="645">
        <f>IF(CC91-1&lt;1,CC91+11,CC91-1)</f>
        <v>5</v>
      </c>
    </row>
    <row r="91" spans="1:81" ht="15" customHeight="1">
      <c r="B91" s="336"/>
      <c r="C91" s="336"/>
      <c r="D91" s="336"/>
      <c r="E91" s="336"/>
      <c r="F91" s="336"/>
      <c r="G91" s="336"/>
      <c r="H91" s="336"/>
      <c r="I91" s="336"/>
      <c r="J91" s="336"/>
      <c r="K91" s="336"/>
      <c r="L91" s="336"/>
      <c r="M91" s="336"/>
      <c r="N91" s="336"/>
      <c r="O91" s="336"/>
      <c r="P91" s="336"/>
      <c r="Q91" s="336"/>
      <c r="R91" s="336"/>
      <c r="S91" s="336"/>
      <c r="T91" s="336"/>
      <c r="U91" s="336"/>
      <c r="V91" s="336"/>
      <c r="W91" s="336"/>
      <c r="X91" s="336"/>
      <c r="Y91" s="336"/>
      <c r="Z91" s="336"/>
      <c r="AA91" s="336"/>
      <c r="AB91" s="336"/>
      <c r="AC91" s="336"/>
      <c r="AD91" s="336"/>
      <c r="AE91" s="336"/>
      <c r="AF91" s="336"/>
      <c r="AG91" s="336"/>
      <c r="AH91" s="336"/>
      <c r="AI91" s="336"/>
      <c r="AJ91" s="336"/>
      <c r="AK91" s="336"/>
      <c r="AL91" s="336"/>
      <c r="AM91" s="336"/>
      <c r="AN91" s="336"/>
      <c r="AO91" s="336"/>
      <c r="AP91" s="336"/>
      <c r="AQ91" s="336"/>
      <c r="AR91" s="336"/>
      <c r="AS91" s="336"/>
      <c r="AT91" s="336"/>
      <c r="AU91" s="336"/>
      <c r="AV91" s="336"/>
      <c r="AW91" s="336"/>
      <c r="AX91" s="336"/>
      <c r="AY91" s="336"/>
      <c r="AZ91" s="336"/>
      <c r="BA91" s="336"/>
      <c r="BB91" s="336"/>
      <c r="BC91" s="336"/>
      <c r="BD91" s="336"/>
      <c r="BE91" s="336"/>
      <c r="BI91" s="638" t="s">
        <v>331</v>
      </c>
      <c r="BJ91" s="638">
        <v>9</v>
      </c>
      <c r="BK91" s="638" t="s">
        <v>328</v>
      </c>
      <c r="BL91" s="690">
        <v>1.5580000000000001</v>
      </c>
      <c r="BM91" s="822">
        <v>1.5580000000000001</v>
      </c>
      <c r="BN91" s="653">
        <f t="shared" si="19"/>
        <v>1</v>
      </c>
      <c r="BO91" s="855"/>
      <c r="BP91" s="821">
        <v>1</v>
      </c>
      <c r="BQ91" s="690"/>
      <c r="BR91" s="822"/>
      <c r="BS91" s="653" t="str">
        <f t="shared" si="20"/>
        <v/>
      </c>
      <c r="BT91" s="855"/>
      <c r="BU91" s="821">
        <v>1</v>
      </c>
      <c r="BX91" s="642" t="str">
        <f t="shared" si="17"/>
        <v>Jun</v>
      </c>
      <c r="BY91" s="643">
        <f>IF(CB91=$CB95,SUMIF($BI83:$BI94,$BX91,$BR83:$BR94),SUMIF($BI83:$BI94,$BX91,$BM83:$BM94))</f>
        <v>1.5580000000000001</v>
      </c>
      <c r="BZ91" s="657">
        <f>IF(IF(CB91=CB95,SUMIF(BI83:BI94,$BX91,BU83:BU94),SUMIF(BI83:BI94,$BX91,BP83:BP94))=0,NA(),IF(CB91=CB95,SUMIF(BI83:BI94,$BX91,BU83:BU94),SUMIF(BI83:BI94,$BX91,BP83:BP94)))</f>
        <v>1</v>
      </c>
      <c r="CA91" s="640">
        <f>IF(IF(CB91=CB95,SUMIF(BI83:BI94,$BX91,BS83:BS94),SUMIF(BI83:BI94,$BX91,BN83:BN94))=0,NA(),IF(CB91=CB95,SUMIF(BI83:BI94,$BX91,BS83:BS94),SUMIF(BI83:BI94,$BX91,BN83:BN94)))</f>
        <v>1</v>
      </c>
      <c r="CB91" s="645">
        <f t="shared" si="21"/>
        <v>23</v>
      </c>
      <c r="CC91" s="645">
        <f t="shared" si="18"/>
        <v>6</v>
      </c>
    </row>
    <row r="92" spans="1:81" ht="15" customHeight="1">
      <c r="A92"/>
      <c r="B92" s="531" t="s">
        <v>350</v>
      </c>
      <c r="C92" s="533"/>
      <c r="D92" s="533"/>
      <c r="E92" s="533"/>
      <c r="F92" s="533"/>
      <c r="G92" s="532"/>
      <c r="H92" s="532"/>
      <c r="I92" s="532"/>
      <c r="J92" s="532"/>
      <c r="K92" s="532"/>
      <c r="L92" s="539"/>
      <c r="M92" s="533"/>
      <c r="N92" s="533"/>
      <c r="O92" s="532"/>
      <c r="P92" s="532"/>
      <c r="Q92" s="532"/>
      <c r="R92" s="532"/>
      <c r="S92" s="532"/>
      <c r="T92" s="532"/>
      <c r="U92" s="532"/>
      <c r="V92" s="532"/>
      <c r="W92" s="532"/>
      <c r="X92" s="532"/>
      <c r="Y92" s="532"/>
      <c r="Z92" s="532"/>
      <c r="AA92" s="532"/>
      <c r="AB92" s="532"/>
      <c r="AC92" s="898"/>
      <c r="AD92" s="532"/>
      <c r="AE92" s="532"/>
      <c r="AF92" s="532"/>
      <c r="AG92" s="532"/>
      <c r="AH92" s="532"/>
      <c r="AI92" s="532"/>
      <c r="AJ92" s="532"/>
      <c r="AK92" s="532"/>
      <c r="AL92" s="532"/>
      <c r="AM92" s="532"/>
      <c r="AN92" s="532"/>
      <c r="AO92" s="532"/>
      <c r="AP92" s="532"/>
      <c r="AQ92" s="532"/>
      <c r="AR92" s="532"/>
      <c r="AS92" s="532"/>
      <c r="AT92" s="532"/>
      <c r="AU92" s="532"/>
      <c r="AV92" s="532"/>
      <c r="AW92" s="532"/>
      <c r="AX92" s="532"/>
      <c r="AY92" s="532"/>
      <c r="AZ92" s="532"/>
      <c r="BA92" s="532"/>
      <c r="BB92" s="532"/>
      <c r="BC92" s="532"/>
      <c r="BD92" s="532"/>
      <c r="BE92" s="532"/>
      <c r="BF92"/>
      <c r="BI92" s="638" t="s">
        <v>337</v>
      </c>
      <c r="BJ92" s="638">
        <v>10</v>
      </c>
      <c r="BK92" s="638" t="s">
        <v>338</v>
      </c>
      <c r="BL92" s="822">
        <v>1.6779999999999999</v>
      </c>
      <c r="BM92" s="822">
        <v>1.6779999999999999</v>
      </c>
      <c r="BN92" s="653">
        <f t="shared" si="19"/>
        <v>1</v>
      </c>
      <c r="BO92" s="289">
        <f>IF(SUM(BM92:BM94=0),0,SUM(BL92:BL94)/SUM(BM92:BM94))</f>
        <v>1</v>
      </c>
      <c r="BP92" s="821">
        <v>1</v>
      </c>
      <c r="BQ92" s="822"/>
      <c r="BR92" s="822"/>
      <c r="BS92" s="653" t="str">
        <f t="shared" si="20"/>
        <v/>
      </c>
      <c r="BT92" s="289">
        <f>IF(SUM(BR92:BR94=0),0,SUM(BQ92:BQ94)/SUM(BR92:BR94))</f>
        <v>0</v>
      </c>
      <c r="BU92" s="821">
        <v>1</v>
      </c>
      <c r="BX92" s="642" t="str">
        <f t="shared" si="17"/>
        <v>Jul</v>
      </c>
      <c r="BY92" s="643">
        <f>IF(CB92=$CB95,SUMIF($BI83:$BI94,$BX92,$BR83:$BR94),SUMIF($BI83:$BI94,$BX92,$BM83:$BM94))</f>
        <v>1.6779999999999999</v>
      </c>
      <c r="BZ92" s="657">
        <f>IF(IF(CB92=CB95,SUMIF(BI83:BI94,$BX92,BU83:BU94),SUMIF(BI83:BI94,$BX92,BP83:BP94))=0,NA(),IF(CB92=CB95,SUMIF(BI83:BI94,$BX92,BU83:BU94),SUMIF(BI83:BI94,$BX92,BP83:BP94)))</f>
        <v>1</v>
      </c>
      <c r="CA92" s="640">
        <f>IF(IF(CB92=CB95,SUMIF(BI83:BI94,$BX92,BS83:BS94),SUMIF(BI83:BI94,$BX92,BN83:BN94))=0,NA(),IF(CB92=CB95,SUMIF(BI83:BI94,$BX92,BS83:BS94),SUMIF(BI83:BI94,$BX92,BN83:BN94)))</f>
        <v>1</v>
      </c>
      <c r="CB92" s="645">
        <f t="shared" si="21"/>
        <v>23</v>
      </c>
      <c r="CC92" s="645">
        <f t="shared" si="18"/>
        <v>7</v>
      </c>
    </row>
    <row r="93" spans="1:81" ht="15" customHeight="1">
      <c r="B93" s="351"/>
      <c r="C93" s="351"/>
      <c r="D93" s="351"/>
      <c r="E93" s="351"/>
      <c r="F93" s="351"/>
      <c r="G93" s="351"/>
      <c r="H93" s="351"/>
      <c r="I93" s="351"/>
      <c r="J93" s="352"/>
      <c r="K93" s="352"/>
      <c r="L93" s="352"/>
      <c r="M93" s="352"/>
      <c r="N93" s="352"/>
      <c r="O93" s="352"/>
      <c r="P93" s="352"/>
      <c r="Q93" s="352"/>
      <c r="R93" s="352"/>
      <c r="S93" s="352"/>
      <c r="T93" s="352"/>
      <c r="U93" s="352"/>
      <c r="V93" s="352"/>
      <c r="W93" s="352"/>
      <c r="X93" s="353"/>
      <c r="Y93" s="353"/>
      <c r="Z93" s="353"/>
      <c r="AA93" s="353"/>
      <c r="AB93" s="353"/>
      <c r="BI93" s="638" t="s">
        <v>343</v>
      </c>
      <c r="BJ93" s="638">
        <v>11</v>
      </c>
      <c r="BK93" s="638" t="s">
        <v>338</v>
      </c>
      <c r="BL93" s="690">
        <v>2.5270000000000001</v>
      </c>
      <c r="BM93" s="822">
        <v>2.5270000000000001</v>
      </c>
      <c r="BN93" s="653">
        <f t="shared" si="19"/>
        <v>1</v>
      </c>
      <c r="BO93" s="855"/>
      <c r="BP93" s="821">
        <v>1</v>
      </c>
      <c r="BQ93" s="690"/>
      <c r="BR93" s="822"/>
      <c r="BS93" s="653" t="str">
        <f t="shared" si="20"/>
        <v/>
      </c>
      <c r="BT93" s="855"/>
      <c r="BU93" s="821">
        <v>1</v>
      </c>
      <c r="BX93" s="642" t="str">
        <f t="shared" si="17"/>
        <v>Aug</v>
      </c>
      <c r="BY93" s="643">
        <f>IF(CB93=$CB95,SUMIF($BI83:$BI94,$BX93,$BR83:$BR94),SUMIF($BI83:$BI94,$BX93,$BM83:$BM94))</f>
        <v>2.5270000000000001</v>
      </c>
      <c r="BZ93" s="657">
        <f>IF(IF(CB93=CB95,SUMIF(BI83:BI94,$BX93,BU83:BU94),SUMIF(BI83:BI94,$BX93,BP83:BP94))=0,NA(),IF(CB93=CB95,SUMIF(BI83:BI94,$BX93,BU83:BU94),SUMIF(BI83:BI94,$BX93,BP83:BP94)))</f>
        <v>1</v>
      </c>
      <c r="CA93" s="640">
        <f>IF(IF(CB93=CB95,SUMIF(BI83:BI94,$BX93,BS83:BS94),SUMIF(BI83:BI94,$BX93,BN83:BN94))=0,NA(),IF(CB93=CB95,SUMIF(BI83:BI94,$BX93,BS83:BS94),SUMIF(BI83:BI94,$BX93,BN83:BN94)))</f>
        <v>1</v>
      </c>
      <c r="CB93" s="645">
        <f t="shared" si="21"/>
        <v>23</v>
      </c>
      <c r="CC93" s="645">
        <f t="shared" si="18"/>
        <v>8</v>
      </c>
    </row>
    <row r="94" spans="1:81" ht="15" customHeight="1">
      <c r="B94" s="354"/>
      <c r="C94" s="355"/>
      <c r="D94" s="355"/>
      <c r="E94" s="355"/>
      <c r="F94" s="355"/>
      <c r="G94" s="355"/>
      <c r="H94" s="355"/>
      <c r="I94" s="355"/>
      <c r="J94" s="355"/>
      <c r="K94" s="355"/>
      <c r="L94" s="356"/>
      <c r="M94" s="357"/>
      <c r="N94" s="358"/>
      <c r="O94" s="358"/>
      <c r="P94" s="358"/>
      <c r="Q94" s="358"/>
      <c r="R94" s="358"/>
      <c r="S94" s="358"/>
      <c r="T94" s="358"/>
      <c r="U94" s="358"/>
      <c r="V94" s="359"/>
      <c r="W94" s="357"/>
      <c r="X94" s="358"/>
      <c r="Y94" s="358"/>
      <c r="Z94" s="358"/>
      <c r="AA94" s="358"/>
      <c r="AB94" s="358"/>
      <c r="AC94" s="343"/>
      <c r="AD94" s="343"/>
      <c r="AE94" s="343"/>
      <c r="AF94" s="344"/>
      <c r="AG94" s="345"/>
      <c r="AH94" s="346"/>
      <c r="AI94" s="346"/>
      <c r="AJ94" s="346"/>
      <c r="AK94" s="346"/>
      <c r="AL94" s="346"/>
      <c r="AM94" s="346"/>
      <c r="AN94" s="346"/>
      <c r="AO94" s="346"/>
      <c r="AP94" s="347"/>
      <c r="AQ94" s="345"/>
      <c r="AR94" s="346"/>
      <c r="AS94" s="346"/>
      <c r="AT94" s="346"/>
      <c r="AU94" s="347"/>
      <c r="AV94" s="348"/>
      <c r="AW94" s="349"/>
      <c r="AX94" s="349"/>
      <c r="AY94" s="349"/>
      <c r="AZ94" s="350"/>
      <c r="BA94" s="348"/>
      <c r="BB94" s="349"/>
      <c r="BC94" s="349"/>
      <c r="BD94" s="349"/>
      <c r="BE94" s="350"/>
      <c r="BI94" s="638" t="s">
        <v>344</v>
      </c>
      <c r="BJ94" s="638">
        <v>12</v>
      </c>
      <c r="BK94" s="638" t="s">
        <v>338</v>
      </c>
      <c r="BL94" s="690">
        <v>2.621</v>
      </c>
      <c r="BM94" s="822">
        <v>2.621</v>
      </c>
      <c r="BN94" s="653">
        <f t="shared" si="19"/>
        <v>1</v>
      </c>
      <c r="BO94" s="871"/>
      <c r="BP94" s="821">
        <v>1</v>
      </c>
      <c r="BQ94" s="690"/>
      <c r="BR94" s="822"/>
      <c r="BS94" s="653" t="str">
        <f t="shared" si="20"/>
        <v/>
      </c>
      <c r="BT94" s="871"/>
      <c r="BU94" s="821">
        <v>1</v>
      </c>
      <c r="BV94" s="37"/>
      <c r="BX94" s="642" t="str">
        <f t="shared" si="17"/>
        <v>Sep</v>
      </c>
      <c r="BY94" s="643">
        <f>IF(CB94=$CB95,SUMIF($BI83:$BI94,$BX94,$BR83:$BR94),SUMIF($BI83:$BI94,$BX94,$BM83:$BM94))</f>
        <v>2.621</v>
      </c>
      <c r="BZ94" s="657">
        <f>IF(IF(CB94=CB95,SUMIF(BI83:BI94,$BX94,BU83:BU94),SUMIF(BI83:BI94,$BX94,BP83:BP94))=0,NA(),IF(CB94=CB95,SUMIF(BI83:BI94,$BX94,BU83:BU94),SUMIF(BI83:BI94,$BX94,BP83:BP94)))</f>
        <v>1</v>
      </c>
      <c r="CA94" s="640">
        <f>IF(IF(CB94=CB95,SUMIF(BI83:BI94,$BX94,BS83:BS94),SUMIF(BI83:BI94,$BX94,BN83:BN94))=0,NA(),IF(CB94=CB95,SUMIF(BI83:BI94,$BX94,BS83:BS94),SUMIF(BI83:BI94,$BX94,BN83:BN94)))</f>
        <v>1</v>
      </c>
      <c r="CB94" s="645">
        <f t="shared" si="21"/>
        <v>23</v>
      </c>
      <c r="CC94" s="645">
        <f>IF(CC95-1&lt;1,CC95+11,CC95-1)</f>
        <v>9</v>
      </c>
    </row>
    <row r="95" spans="1:81" ht="15" customHeight="1">
      <c r="B95" s="339"/>
      <c r="C95" s="340"/>
      <c r="D95" s="340"/>
      <c r="E95" s="340"/>
      <c r="F95" s="340"/>
      <c r="G95" s="340"/>
      <c r="H95" s="340"/>
      <c r="I95" s="340"/>
      <c r="J95" s="340"/>
      <c r="K95" s="340"/>
      <c r="L95" s="341"/>
      <c r="M95" s="342"/>
      <c r="N95" s="343"/>
      <c r="O95" s="343"/>
      <c r="P95" s="343"/>
      <c r="Q95" s="343"/>
      <c r="R95" s="343"/>
      <c r="S95" s="343"/>
      <c r="T95" s="343"/>
      <c r="U95" s="343"/>
      <c r="V95" s="344"/>
      <c r="W95" s="342"/>
      <c r="X95" s="343"/>
      <c r="Y95" s="343"/>
      <c r="Z95" s="343"/>
      <c r="AA95" s="343"/>
      <c r="AB95" s="343"/>
      <c r="AC95" s="353"/>
      <c r="AD95" s="353"/>
      <c r="AE95" s="353"/>
      <c r="AF95" s="353"/>
      <c r="AG95" s="353"/>
      <c r="AH95" s="353"/>
      <c r="AI95" s="353"/>
      <c r="AJ95" s="352"/>
      <c r="AK95" s="352"/>
      <c r="AL95" s="352"/>
      <c r="AM95" s="352"/>
      <c r="AN95" s="352"/>
      <c r="AO95" s="352"/>
      <c r="AP95" s="352"/>
      <c r="AQ95" s="352"/>
      <c r="AR95" s="352"/>
      <c r="AS95" s="352"/>
      <c r="AT95" s="352"/>
      <c r="AU95" s="352"/>
      <c r="AV95" s="352"/>
      <c r="AW95" s="352"/>
      <c r="AX95" s="352"/>
      <c r="AY95" s="352"/>
      <c r="AZ95" s="352"/>
      <c r="BA95" s="352"/>
      <c r="BB95" s="352"/>
      <c r="BC95" s="352"/>
      <c r="BD95" s="352"/>
      <c r="BE95" s="352"/>
      <c r="BI95" s="54"/>
      <c r="BJ95" s="292"/>
      <c r="BK95" s="292"/>
      <c r="BL95" s="292"/>
      <c r="BM95" s="292"/>
      <c r="BN95" s="292"/>
      <c r="BO95" s="872"/>
      <c r="BP95" s="292"/>
      <c r="BQ95" s="292"/>
      <c r="BR95" s="292"/>
      <c r="BS95" s="292"/>
      <c r="BT95" s="837"/>
      <c r="BU95" s="292"/>
      <c r="BV95" s="37"/>
      <c r="BW95" s="647" t="str">
        <f>Cover!$M$34</f>
        <v>OCT FY-24</v>
      </c>
      <c r="BX95" s="642" t="str">
        <f>TEXT(CONCATENATE(CC95,"/01/20",CB95),"MMM")</f>
        <v>Oct</v>
      </c>
      <c r="BY95" s="643">
        <f>SUMIF($BI83:$BI94,$BX95,$BR83:$BR94)</f>
        <v>2.36</v>
      </c>
      <c r="BZ95" s="657">
        <f>IF(IF(CB95=CB95,SUMIF(BI83:BI94,$BX95,BU83:BU94),SUMIF(BI83:BI94,$BX95,BP83:BP94))=0,NA(),IF(CB95=CB95,SUMIF(BI83:BI94,$BX95,BU83:BU94),SUMIF(BI83:BI94,$BX95,BP83:BP94)))</f>
        <v>1</v>
      </c>
      <c r="CA95" s="640">
        <f>IF(SUMIF($BI83:$BI94,$BX95,$BS83:$BS94)=0,NA(),SUMIF($BI83:$BI94,$BX95,$BS83:$BS94))</f>
        <v>1</v>
      </c>
      <c r="CB95" s="645">
        <f t="shared" si="21"/>
        <v>24</v>
      </c>
      <c r="CC95" s="645">
        <f>MONTH(DATEVALUE(LEFT(BW95,3)&amp;" 1"))</f>
        <v>10</v>
      </c>
    </row>
    <row r="96" spans="1:81" ht="15" customHeight="1">
      <c r="B96" s="339"/>
      <c r="C96" s="340"/>
      <c r="D96" s="340"/>
      <c r="E96" s="340"/>
      <c r="F96" s="340"/>
      <c r="G96" s="340"/>
      <c r="H96" s="340"/>
      <c r="I96" s="340"/>
      <c r="J96" s="340"/>
      <c r="K96" s="340"/>
      <c r="L96" s="341"/>
      <c r="M96" s="342"/>
      <c r="N96" s="343"/>
      <c r="O96" s="343"/>
      <c r="P96" s="343"/>
      <c r="Q96" s="343"/>
      <c r="R96" s="343"/>
      <c r="S96" s="343"/>
      <c r="T96" s="343"/>
      <c r="U96" s="343"/>
      <c r="V96" s="344"/>
      <c r="W96" s="342"/>
      <c r="X96" s="343"/>
      <c r="Y96" s="343"/>
      <c r="Z96" s="343"/>
      <c r="AA96" s="343"/>
      <c r="AB96" s="343"/>
      <c r="AC96" s="358"/>
      <c r="AD96" s="358"/>
      <c r="AE96" s="358"/>
      <c r="AF96" s="359"/>
      <c r="AG96" s="360"/>
      <c r="AH96" s="361"/>
      <c r="AI96" s="361"/>
      <c r="AJ96" s="361"/>
      <c r="AK96" s="361"/>
      <c r="AL96" s="361"/>
      <c r="AM96" s="361"/>
      <c r="AN96" s="361"/>
      <c r="AO96" s="361"/>
      <c r="AP96" s="362"/>
      <c r="AQ96" s="354"/>
      <c r="AR96" s="355"/>
      <c r="AS96" s="355"/>
      <c r="AT96" s="355"/>
      <c r="AU96" s="356"/>
      <c r="AV96" s="363"/>
      <c r="AW96" s="364"/>
      <c r="AX96" s="364"/>
      <c r="AY96" s="364"/>
      <c r="AZ96" s="365"/>
      <c r="BA96" s="363"/>
      <c r="BB96" s="364"/>
      <c r="BC96" s="364"/>
      <c r="BD96" s="364"/>
      <c r="BE96" s="365"/>
      <c r="BI96" s="54" t="s">
        <v>292</v>
      </c>
      <c r="BJ96" s="1116" t="s">
        <v>355</v>
      </c>
      <c r="BK96" s="1116"/>
      <c r="BL96" s="1116"/>
      <c r="BM96" s="1116"/>
      <c r="BN96" s="1116"/>
      <c r="BO96" s="1116"/>
      <c r="BP96" s="1116"/>
      <c r="BQ96" s="1116"/>
      <c r="BR96" s="1116"/>
      <c r="BS96" s="1116"/>
      <c r="BT96" s="1116"/>
      <c r="BU96" s="1116"/>
    </row>
    <row r="97" spans="2:81" ht="15" customHeight="1">
      <c r="B97" s="339"/>
      <c r="C97" s="340"/>
      <c r="D97" s="340"/>
      <c r="E97" s="340"/>
      <c r="F97" s="340"/>
      <c r="G97" s="340"/>
      <c r="H97" s="340"/>
      <c r="I97" s="340"/>
      <c r="J97" s="340"/>
      <c r="K97" s="340"/>
      <c r="L97" s="341"/>
      <c r="M97" s="342"/>
      <c r="N97" s="343"/>
      <c r="O97" s="343"/>
      <c r="P97" s="343"/>
      <c r="Q97" s="343"/>
      <c r="R97" s="343"/>
      <c r="S97" s="343"/>
      <c r="T97" s="343"/>
      <c r="U97" s="343"/>
      <c r="V97" s="344"/>
      <c r="W97" s="342"/>
      <c r="X97" s="343"/>
      <c r="Y97" s="343"/>
      <c r="Z97" s="343"/>
      <c r="AA97" s="343"/>
      <c r="AB97" s="343"/>
      <c r="AC97" s="343"/>
      <c r="AD97" s="343"/>
      <c r="AE97" s="343"/>
      <c r="AF97" s="344"/>
      <c r="AG97" s="345"/>
      <c r="AH97" s="346"/>
      <c r="AI97" s="346"/>
      <c r="AJ97" s="346"/>
      <c r="AK97" s="346"/>
      <c r="AL97" s="346"/>
      <c r="AM97" s="346"/>
      <c r="AN97" s="346"/>
      <c r="AO97" s="346"/>
      <c r="AP97" s="347"/>
      <c r="AQ97" s="366"/>
      <c r="AR97" s="367"/>
      <c r="AS97" s="367"/>
      <c r="AT97" s="367"/>
      <c r="AU97" s="368"/>
      <c r="AV97" s="348"/>
      <c r="AW97" s="349"/>
      <c r="AX97" s="349"/>
      <c r="AY97" s="349"/>
      <c r="AZ97" s="350"/>
      <c r="BA97" s="369"/>
      <c r="BB97" s="370"/>
      <c r="BC97" s="370"/>
      <c r="BD97" s="370"/>
      <c r="BE97" s="370"/>
      <c r="BI97" s="54" t="s">
        <v>296</v>
      </c>
      <c r="BJ97" s="283" t="s">
        <v>348</v>
      </c>
      <c r="BK97" s="283"/>
      <c r="BL97" s="283"/>
      <c r="BM97" s="283"/>
      <c r="BN97" s="283"/>
      <c r="BO97" s="283"/>
      <c r="BP97" s="283"/>
      <c r="BQ97" s="283"/>
      <c r="BR97" s="283"/>
      <c r="BS97" s="283"/>
      <c r="BT97" s="283"/>
      <c r="BU97" s="283"/>
    </row>
    <row r="98" spans="2:81" ht="15" customHeight="1" thickBot="1">
      <c r="B98" s="267"/>
      <c r="AC98" s="343"/>
      <c r="AD98" s="343"/>
      <c r="AE98" s="343"/>
      <c r="AF98" s="344"/>
      <c r="AG98" s="345"/>
      <c r="AH98" s="346"/>
      <c r="AI98" s="346"/>
      <c r="AJ98" s="346"/>
      <c r="AK98" s="346"/>
      <c r="AL98" s="346"/>
      <c r="AM98" s="346"/>
      <c r="AN98" s="346"/>
      <c r="AO98" s="346"/>
      <c r="AP98" s="347"/>
      <c r="AQ98" s="371"/>
      <c r="AR98" s="346"/>
      <c r="AS98" s="346"/>
      <c r="AT98" s="346"/>
      <c r="AU98" s="347"/>
      <c r="AV98" s="348"/>
      <c r="AW98" s="349"/>
      <c r="AX98" s="349"/>
      <c r="AY98" s="349"/>
      <c r="AZ98" s="350"/>
      <c r="BA98" s="369"/>
      <c r="BB98" s="370"/>
      <c r="BC98" s="370"/>
      <c r="BD98" s="370"/>
      <c r="BE98" s="370"/>
      <c r="BI98" s="54" t="s">
        <v>300</v>
      </c>
      <c r="BJ98" s="1222" t="s">
        <v>349</v>
      </c>
      <c r="BK98" s="1222"/>
      <c r="BL98" s="1222"/>
      <c r="BM98" s="1222"/>
      <c r="BN98" s="1222"/>
      <c r="BO98" s="1222"/>
      <c r="BP98" s="1222"/>
      <c r="BQ98" s="1222"/>
      <c r="BR98" s="1222"/>
      <c r="BS98" s="1222"/>
      <c r="BT98" s="1222"/>
      <c r="BU98" s="1222"/>
    </row>
    <row r="99" spans="2:81" ht="15" customHeight="1" thickBot="1">
      <c r="B99" s="1221"/>
      <c r="C99" s="1221"/>
      <c r="D99" s="1221"/>
      <c r="E99" s="1221"/>
      <c r="F99" s="1221"/>
      <c r="G99" s="1221"/>
      <c r="H99" s="1221"/>
      <c r="I99" s="1221"/>
      <c r="J99" s="1221"/>
      <c r="K99" s="1221"/>
      <c r="L99" s="1221"/>
      <c r="M99" s="1221"/>
      <c r="N99" s="1221"/>
      <c r="O99" s="1221"/>
      <c r="P99" s="1221"/>
      <c r="Q99" s="1221"/>
      <c r="R99" s="1221"/>
      <c r="S99" s="1221"/>
      <c r="T99" s="1221"/>
      <c r="U99" s="1221"/>
      <c r="V99" s="1221"/>
      <c r="W99" s="1221"/>
      <c r="X99" s="1221"/>
      <c r="Y99" s="1221"/>
      <c r="Z99" s="1221"/>
      <c r="AA99" s="1221"/>
      <c r="AB99" s="1221"/>
      <c r="AC99" s="343"/>
      <c r="AD99" s="343"/>
      <c r="AE99" s="343"/>
      <c r="AF99" s="344"/>
      <c r="AG99" s="345"/>
      <c r="AH99" s="346"/>
      <c r="AI99" s="346"/>
      <c r="AJ99" s="346"/>
      <c r="AK99" s="346"/>
      <c r="AL99" s="346"/>
      <c r="AM99" s="346"/>
      <c r="AN99" s="346"/>
      <c r="AO99" s="346"/>
      <c r="AP99" s="347"/>
      <c r="AQ99" s="371"/>
      <c r="AR99" s="346"/>
      <c r="AS99" s="346"/>
      <c r="AT99" s="346"/>
      <c r="AU99" s="347"/>
      <c r="AV99" s="348"/>
      <c r="AW99" s="349"/>
      <c r="AX99" s="349"/>
      <c r="AY99" s="349"/>
      <c r="AZ99" s="350"/>
      <c r="BA99" s="369"/>
      <c r="BB99" s="370"/>
      <c r="BC99" s="370"/>
      <c r="BD99" s="370"/>
      <c r="BE99" s="370"/>
      <c r="BI99" s="277"/>
      <c r="BJ99" s="277"/>
      <c r="BK99" s="277"/>
      <c r="BL99" s="1148" t="s">
        <v>302</v>
      </c>
      <c r="BM99" s="1149"/>
      <c r="BN99" s="1149"/>
      <c r="BO99" s="1149"/>
      <c r="BP99" s="1151"/>
      <c r="BQ99" s="1148" t="s">
        <v>719</v>
      </c>
      <c r="BR99" s="1149"/>
      <c r="BS99" s="1149"/>
      <c r="BT99" s="1149"/>
      <c r="BU99" s="1150"/>
      <c r="BW99" s="1148" t="s">
        <v>303</v>
      </c>
      <c r="BX99" s="1149"/>
      <c r="BY99" s="1149"/>
      <c r="BZ99" s="1149"/>
      <c r="CA99" s="1149"/>
      <c r="CB99" s="1149"/>
      <c r="CC99" s="1150"/>
    </row>
    <row r="100" spans="2:81" ht="15" customHeight="1">
      <c r="B100" s="1221"/>
      <c r="C100" s="1221"/>
      <c r="D100" s="1221"/>
      <c r="E100" s="1221"/>
      <c r="F100" s="1221"/>
      <c r="G100" s="1221"/>
      <c r="H100" s="1221"/>
      <c r="I100" s="1221"/>
      <c r="J100" s="1221"/>
      <c r="K100" s="1221"/>
      <c r="L100" s="1221"/>
      <c r="M100" s="1221"/>
      <c r="N100" s="1221"/>
      <c r="O100" s="1221"/>
      <c r="P100" s="1221"/>
      <c r="Q100" s="1221"/>
      <c r="R100" s="1221"/>
      <c r="S100" s="1221"/>
      <c r="T100" s="1221"/>
      <c r="U100" s="1221"/>
      <c r="V100" s="1221"/>
      <c r="W100" s="1221"/>
      <c r="X100" s="1221"/>
      <c r="Y100" s="1221"/>
      <c r="Z100" s="1221"/>
      <c r="AA100" s="1221"/>
      <c r="AB100" s="1221"/>
      <c r="AC100" s="25"/>
      <c r="AD100" s="372"/>
      <c r="AE100" s="23"/>
      <c r="AF100" s="23"/>
      <c r="BI100" s="636" t="s">
        <v>23</v>
      </c>
      <c r="BJ100" s="636" t="s">
        <v>37</v>
      </c>
      <c r="BK100" s="636" t="s">
        <v>304</v>
      </c>
      <c r="BL100" s="637" t="s">
        <v>305</v>
      </c>
      <c r="BM100" s="637" t="s">
        <v>310</v>
      </c>
      <c r="BN100" s="637" t="s">
        <v>311</v>
      </c>
      <c r="BO100" s="278" t="s">
        <v>312</v>
      </c>
      <c r="BP100" s="637" t="s">
        <v>313</v>
      </c>
      <c r="BQ100" s="637" t="s">
        <v>305</v>
      </c>
      <c r="BR100" s="637" t="s">
        <v>715</v>
      </c>
      <c r="BS100" s="637" t="s">
        <v>716</v>
      </c>
      <c r="BT100" s="278" t="s">
        <v>717</v>
      </c>
      <c r="BU100" s="637" t="s">
        <v>718</v>
      </c>
      <c r="BW100" s="279" t="s">
        <v>314</v>
      </c>
      <c r="BX100" s="279" t="s">
        <v>23</v>
      </c>
      <c r="BY100" s="279" t="s">
        <v>315</v>
      </c>
      <c r="BZ100" s="279" t="s">
        <v>122</v>
      </c>
      <c r="CA100" s="279" t="s">
        <v>316</v>
      </c>
      <c r="CB100" s="279" t="s">
        <v>317</v>
      </c>
      <c r="CC100" s="279" t="s">
        <v>318</v>
      </c>
    </row>
    <row r="101" spans="2:81" ht="15" customHeight="1">
      <c r="B101" s="1221"/>
      <c r="C101" s="1221"/>
      <c r="D101" s="1221"/>
      <c r="E101" s="1221"/>
      <c r="F101" s="1221"/>
      <c r="G101" s="1221"/>
      <c r="H101" s="1221"/>
      <c r="I101" s="1221"/>
      <c r="J101" s="1221"/>
      <c r="K101" s="1221"/>
      <c r="L101" s="1221"/>
      <c r="M101" s="1221"/>
      <c r="N101" s="1221"/>
      <c r="O101" s="1221"/>
      <c r="P101" s="1221"/>
      <c r="Q101" s="1221"/>
      <c r="R101" s="1221"/>
      <c r="S101" s="1221"/>
      <c r="T101" s="1221"/>
      <c r="U101" s="1221"/>
      <c r="V101" s="1221"/>
      <c r="W101" s="1221"/>
      <c r="X101" s="1221"/>
      <c r="Y101" s="1221"/>
      <c r="Z101" s="1221"/>
      <c r="AA101" s="1221"/>
      <c r="AB101" s="1221"/>
      <c r="AC101" s="314"/>
      <c r="AD101" s="374"/>
      <c r="AE101" s="375"/>
      <c r="AF101" s="375"/>
      <c r="AG101" s="373"/>
      <c r="AH101" s="373"/>
      <c r="AI101" s="373"/>
      <c r="AJ101" s="373"/>
      <c r="AK101" s="373"/>
      <c r="AL101" s="373"/>
      <c r="AM101" s="373"/>
      <c r="AN101" s="373"/>
      <c r="AO101" s="373"/>
      <c r="AP101" s="373"/>
      <c r="AQ101" s="373"/>
      <c r="AR101" s="373"/>
      <c r="AS101" s="373"/>
      <c r="AT101" s="373"/>
      <c r="AU101" s="373"/>
      <c r="AV101" s="373"/>
      <c r="AW101" s="373"/>
      <c r="AX101" s="373"/>
      <c r="AY101" s="373"/>
      <c r="AZ101" s="373"/>
      <c r="BA101" s="373"/>
      <c r="BB101" s="373"/>
      <c r="BC101" s="373"/>
      <c r="BD101" s="373"/>
      <c r="BE101" s="373"/>
      <c r="BI101" s="638" t="s">
        <v>319</v>
      </c>
      <c r="BJ101" s="638">
        <v>1</v>
      </c>
      <c r="BK101" s="638" t="s">
        <v>320</v>
      </c>
      <c r="BL101" s="690">
        <v>5.5E-2</v>
      </c>
      <c r="BM101" s="690">
        <v>5.5E-2</v>
      </c>
      <c r="BN101" s="653">
        <f>IF(BM101="","",BL101/BM101)</f>
        <v>1</v>
      </c>
      <c r="BO101" s="289">
        <f>IF(SUM(BM101:BM103=0),0,SUM(BL101:BL103)/SUM(BM101:BM103))</f>
        <v>1</v>
      </c>
      <c r="BP101" s="821">
        <v>1</v>
      </c>
      <c r="BQ101" s="690">
        <v>5.0999999999999997E-2</v>
      </c>
      <c r="BR101" s="690">
        <v>5.0999999999999997E-2</v>
      </c>
      <c r="BS101" s="653">
        <f>IF(BR101="","",BQ101/BR101)</f>
        <v>1</v>
      </c>
      <c r="BT101" s="289">
        <f>IF(SUM(BR101:BR103=0),0,SUM(BQ101:BQ103)/SUM(BR101:BR103))</f>
        <v>1</v>
      </c>
      <c r="BU101" s="821">
        <v>1</v>
      </c>
      <c r="BX101" s="642" t="str">
        <f t="shared" ref="BX101:BX112" si="22">TEXT(CONCATENATE(CC101,"/01/20",CB101),"MMM")</f>
        <v>Oct</v>
      </c>
      <c r="BY101" s="649">
        <f>IF(CB101=$CB113,SUMIF($BI101:$BI112,$BX101,$BR101:$BR112),SUMIF($BI101:$BI112,$BX101,$BM101:$BM112))*1000</f>
        <v>55</v>
      </c>
      <c r="BZ101" s="821">
        <f>IF(IF(CB101=CB113,SUMIF(BI101:BI112,$BX101,BU101:BU112),SUMIF(BI101:BI112,$BX101,BP101:BP112))=0,NA(),IF(CB101=CB113,SUMIF(BI101:BI112,$BX101,BU101:BU112),SUMIF(BI101:BI112,$BX101,BP101:BP112)))</f>
        <v>1</v>
      </c>
      <c r="CA101" s="640">
        <f>IF(IF(CB101=CB113,SUMIF(BI101:BI112,$BX101,BS101:BS112),SUMIF(BI101:BI112,$BX101,BN101:BN112))=0,NA(),IF(CB101=CB113,SUMIF(BI101:BI112,$BX101,BS101:BS112),SUMIF(BI101:BI112,$BX101,BN101:BN112)))</f>
        <v>1</v>
      </c>
      <c r="CB101" s="645">
        <f>CB83</f>
        <v>23</v>
      </c>
      <c r="CC101" s="645">
        <f t="shared" ref="CC101:CC111" si="23">IF(CC102-1&lt;1,CC102+11,CC102-1)</f>
        <v>10</v>
      </c>
    </row>
    <row r="102" spans="2:81" ht="15" customHeight="1">
      <c r="B102" s="1221"/>
      <c r="C102" s="1221"/>
      <c r="D102" s="1221"/>
      <c r="E102" s="1221"/>
      <c r="F102" s="1221"/>
      <c r="G102" s="1221"/>
      <c r="H102" s="1221"/>
      <c r="I102" s="1221"/>
      <c r="J102" s="1221"/>
      <c r="K102" s="1221"/>
      <c r="L102" s="1221"/>
      <c r="M102" s="1221"/>
      <c r="N102" s="1221"/>
      <c r="O102" s="1221"/>
      <c r="P102" s="1221"/>
      <c r="Q102" s="1221"/>
      <c r="R102" s="1221"/>
      <c r="S102" s="1221"/>
      <c r="T102" s="1221"/>
      <c r="U102" s="1221"/>
      <c r="V102" s="1221"/>
      <c r="W102" s="1221"/>
      <c r="X102" s="1221"/>
      <c r="Y102" s="1221"/>
      <c r="Z102" s="1221"/>
      <c r="AA102" s="1221"/>
      <c r="AB102" s="1221"/>
      <c r="AC102" s="550"/>
      <c r="AD102" s="358"/>
      <c r="AE102" s="358"/>
      <c r="AF102" s="359"/>
      <c r="AG102" s="357"/>
      <c r="AH102" s="358"/>
      <c r="AI102" s="358"/>
      <c r="AJ102" s="358"/>
      <c r="AK102" s="358"/>
      <c r="AL102" s="358"/>
      <c r="AM102" s="358"/>
      <c r="AN102" s="358"/>
      <c r="AO102" s="358"/>
      <c r="AP102" s="358"/>
      <c r="AQ102" s="358"/>
      <c r="AR102" s="358"/>
      <c r="AS102" s="358"/>
      <c r="AT102" s="358"/>
      <c r="AU102" s="358"/>
      <c r="AV102" s="358"/>
      <c r="AW102" s="358"/>
      <c r="AX102" s="358"/>
      <c r="AY102" s="358"/>
      <c r="AZ102" s="358"/>
      <c r="BA102" s="358"/>
      <c r="BB102" s="358"/>
      <c r="BC102" s="358"/>
      <c r="BD102" s="358"/>
      <c r="BE102" s="359"/>
      <c r="BI102" s="638" t="s">
        <v>321</v>
      </c>
      <c r="BJ102" s="638">
        <v>2</v>
      </c>
      <c r="BK102" s="638" t="s">
        <v>320</v>
      </c>
      <c r="BL102" s="690">
        <v>5.5E-2</v>
      </c>
      <c r="BM102" s="690">
        <v>5.5E-2</v>
      </c>
      <c r="BN102" s="653">
        <f t="shared" ref="BN102:BN112" si="24">IF(BM102="","",BL102/BM102)</f>
        <v>1</v>
      </c>
      <c r="BO102" s="855"/>
      <c r="BP102" s="821">
        <v>1</v>
      </c>
      <c r="BQ102" s="690"/>
      <c r="BR102" s="690"/>
      <c r="BS102" s="653" t="str">
        <f t="shared" ref="BS102:BS112" si="25">IF(BR102="","",BQ102/BR102)</f>
        <v/>
      </c>
      <c r="BT102" s="855"/>
      <c r="BU102" s="821">
        <v>1</v>
      </c>
      <c r="BX102" s="642" t="str">
        <f t="shared" si="22"/>
        <v>Nov</v>
      </c>
      <c r="BY102" s="649">
        <f>IF(CB102=$CB113,SUMIF($BI101:$BI112,$BX102,$BR101:$BR112),SUMIF($BI101:$BI112,$BX102,$BM101:$BM112))*1000</f>
        <v>55</v>
      </c>
      <c r="BZ102" s="821">
        <f>IF(IF(CB102=CB113,SUMIF(BI101:BI112,$BX102,BU101:BU112),SUMIF(BI101:BI112,$BX102,BP101:BP112))=0,NA(),IF(CB102=CB113,SUMIF(BI101:BI112,$BX102,BU101:BU112),SUMIF(BI101:BI112,$BX102,BP101:BP112)))</f>
        <v>1</v>
      </c>
      <c r="CA102" s="640">
        <f>IF(IF(CB102=CB113,SUMIF(BI101:BI112,$BX102,BS101:BS112),SUMIF(BI101:BI112,$BX102,BN101:BN112))=0,NA(),IF(CB102=CB113,SUMIF(BI101:BI112,$BX102,BS101:BS112),SUMIF(BI101:BI112,$BX102,BN101:BN112)))</f>
        <v>1</v>
      </c>
      <c r="CB102" s="645">
        <f t="shared" ref="CB102:CB113" si="26">CB84</f>
        <v>23</v>
      </c>
      <c r="CC102" s="645">
        <f t="shared" si="23"/>
        <v>11</v>
      </c>
    </row>
    <row r="103" spans="2:81" ht="15" customHeight="1">
      <c r="B103" s="381"/>
      <c r="C103" s="381"/>
      <c r="D103" s="381"/>
      <c r="E103" s="381"/>
      <c r="F103" s="381"/>
      <c r="G103" s="381"/>
      <c r="H103" s="381"/>
      <c r="I103" s="381"/>
      <c r="J103" s="381"/>
      <c r="K103" s="381"/>
      <c r="L103" s="381"/>
      <c r="M103" s="382"/>
      <c r="N103" s="383"/>
      <c r="O103" s="383"/>
      <c r="P103" s="383"/>
      <c r="Q103" s="383"/>
      <c r="R103" s="383"/>
      <c r="S103" s="383"/>
      <c r="T103" s="383"/>
      <c r="U103" s="383"/>
      <c r="V103" s="383"/>
      <c r="W103" s="384"/>
      <c r="X103" s="384"/>
      <c r="Y103" s="384"/>
      <c r="Z103" s="384"/>
      <c r="AA103" s="384"/>
      <c r="AB103" s="385"/>
      <c r="AC103" s="551"/>
      <c r="AD103" s="376"/>
      <c r="AE103" s="376"/>
      <c r="AF103" s="377"/>
      <c r="AG103" s="378"/>
      <c r="AH103" s="379"/>
      <c r="AI103" s="379"/>
      <c r="AJ103" s="379"/>
      <c r="AK103" s="379"/>
      <c r="AL103" s="379"/>
      <c r="AM103" s="379"/>
      <c r="AN103" s="379"/>
      <c r="AO103" s="379"/>
      <c r="AP103" s="379"/>
      <c r="AQ103" s="379"/>
      <c r="AR103" s="379"/>
      <c r="AS103" s="379"/>
      <c r="AT103" s="379"/>
      <c r="AU103" s="379"/>
      <c r="AV103" s="379"/>
      <c r="AW103" s="379"/>
      <c r="AX103" s="379"/>
      <c r="AY103" s="379"/>
      <c r="AZ103" s="379"/>
      <c r="BA103" s="379"/>
      <c r="BB103" s="379"/>
      <c r="BC103" s="379"/>
      <c r="BD103" s="379"/>
      <c r="BE103" s="380"/>
      <c r="BI103" s="638" t="s">
        <v>322</v>
      </c>
      <c r="BJ103" s="638">
        <v>3</v>
      </c>
      <c r="BK103" s="638" t="s">
        <v>320</v>
      </c>
      <c r="BL103" s="690">
        <v>5.5E-2</v>
      </c>
      <c r="BM103" s="690">
        <v>5.5E-2</v>
      </c>
      <c r="BN103" s="653">
        <f t="shared" si="24"/>
        <v>1</v>
      </c>
      <c r="BO103" s="855"/>
      <c r="BP103" s="821">
        <v>1</v>
      </c>
      <c r="BQ103" s="690"/>
      <c r="BR103" s="690"/>
      <c r="BS103" s="653" t="str">
        <f t="shared" si="25"/>
        <v/>
      </c>
      <c r="BT103" s="855"/>
      <c r="BU103" s="821">
        <v>1</v>
      </c>
      <c r="BX103" s="642" t="str">
        <f t="shared" si="22"/>
        <v>Dec</v>
      </c>
      <c r="BY103" s="649">
        <f>IF(CB103=$CB113,SUMIF($BI101:$BI112,$BX103,$BR101:$BR112),SUMIF($BI101:$BI112,$BX103,$BM101:$BM112))*1000</f>
        <v>55</v>
      </c>
      <c r="BZ103" s="821">
        <f>IF(IF(CB103=CB113,SUMIF(BI101:BI112,$BX103,BU101:BU112),SUMIF(BI101:BI112,$BX103,BP101:BP112))=0,NA(),IF(CB103=CB113,SUMIF(BI101:BI112,$BX103,BU101:BU112),SUMIF(BI101:BI112,$BX103,BP101:BP112)))</f>
        <v>1</v>
      </c>
      <c r="CA103" s="640">
        <f>IF(IF(CB103=CB113,SUMIF(BI101:BI112,$BX103,BS101:BS112),SUMIF(BI101:BI112,$BX103,BN101:BN112))=0,NA(),IF(CB103=CB113,SUMIF(BI101:BI112,$BX103,BS101:BS112),SUMIF(BI101:BI112,$BX103,BN101:BN112)))</f>
        <v>1</v>
      </c>
      <c r="CB103" s="645">
        <f t="shared" si="26"/>
        <v>23</v>
      </c>
      <c r="CC103" s="645">
        <f t="shared" si="23"/>
        <v>12</v>
      </c>
    </row>
    <row r="104" spans="2:81" ht="15" customHeight="1">
      <c r="B104" s="267"/>
      <c r="AC104" s="551"/>
      <c r="AD104" s="376"/>
      <c r="AE104" s="376"/>
      <c r="AF104" s="377"/>
      <c r="AG104" s="342"/>
      <c r="AH104" s="343"/>
      <c r="AI104" s="343"/>
      <c r="AJ104" s="343"/>
      <c r="AK104" s="343"/>
      <c r="AL104" s="343"/>
      <c r="AM104" s="343"/>
      <c r="AN104" s="343"/>
      <c r="AO104" s="343"/>
      <c r="AP104" s="343"/>
      <c r="AQ104" s="343"/>
      <c r="AR104" s="343"/>
      <c r="AS104" s="343"/>
      <c r="AT104" s="343"/>
      <c r="AU104" s="343"/>
      <c r="AV104" s="343"/>
      <c r="AW104" s="343"/>
      <c r="AX104" s="343"/>
      <c r="AY104" s="343"/>
      <c r="AZ104" s="343"/>
      <c r="BA104" s="343"/>
      <c r="BB104" s="343"/>
      <c r="BC104" s="343"/>
      <c r="BD104" s="343"/>
      <c r="BE104" s="344"/>
      <c r="BI104" s="638" t="s">
        <v>323</v>
      </c>
      <c r="BJ104" s="638">
        <v>4</v>
      </c>
      <c r="BK104" s="638" t="s">
        <v>324</v>
      </c>
      <c r="BL104" s="690">
        <v>5.5E-2</v>
      </c>
      <c r="BM104" s="690">
        <v>5.5E-2</v>
      </c>
      <c r="BN104" s="653">
        <f t="shared" si="24"/>
        <v>1</v>
      </c>
      <c r="BO104" s="289">
        <f>IF(SUM(BM104:BM106=0),0,SUM(BL104:BL106)/SUM(BM104:BM106))</f>
        <v>1</v>
      </c>
      <c r="BP104" s="821">
        <v>1</v>
      </c>
      <c r="BQ104" s="690"/>
      <c r="BR104" s="690"/>
      <c r="BS104" s="653" t="str">
        <f t="shared" si="25"/>
        <v/>
      </c>
      <c r="BT104" s="289">
        <f>IF(SUM(BR104:BR106=0),0,SUM(BQ104:BQ106)/SUM(BR104:BR106))</f>
        <v>0</v>
      </c>
      <c r="BU104" s="821">
        <v>1</v>
      </c>
      <c r="BX104" s="642" t="str">
        <f t="shared" si="22"/>
        <v>Jan</v>
      </c>
      <c r="BY104" s="649">
        <f>IF(CB104=$CB113,SUMIF($BI101:$BI112,$BX104,$BR101:$BR112),SUMIF($BI101:$BI112,$BX104,$BM101:$BM112))*1000</f>
        <v>55</v>
      </c>
      <c r="BZ104" s="821">
        <f>IF(IF(CB104=CB113,SUMIF(BI101:BI112,$BX104,BU101:BU112),SUMIF(BI101:BI112,$BX104,BP101:BP112))=0,NA(),IF(CB104=CB113,SUMIF(BI101:BI112,$BX104,BU101:BU112),SUMIF(BI101:BI112,$BX104,BP101:BP112)))</f>
        <v>1</v>
      </c>
      <c r="CA104" s="640">
        <f>IF(IF(CB104=CB113,SUMIF(BI101:BI112,$BX104,BS101:BS112),SUMIF(BI101:BI112,$BX104,BN101:BN112))=0,NA(),IF(CB104=CB113,SUMIF(BI101:BI112,$BX104,BS101:BS112),SUMIF(BI101:BI112,$BX104,BN101:BN112)))</f>
        <v>1</v>
      </c>
      <c r="CB104" s="645">
        <f t="shared" si="26"/>
        <v>23</v>
      </c>
      <c r="CC104" s="645">
        <f t="shared" si="23"/>
        <v>1</v>
      </c>
    </row>
    <row r="105" spans="2:81" ht="15" customHeight="1">
      <c r="B105" s="386"/>
      <c r="C105" s="386"/>
      <c r="D105" s="386"/>
      <c r="E105" s="386"/>
      <c r="F105" s="386"/>
      <c r="G105" s="386"/>
      <c r="H105" s="386"/>
      <c r="I105" s="386"/>
      <c r="J105" s="386"/>
      <c r="K105" s="386"/>
      <c r="L105" s="386"/>
      <c r="M105" s="386"/>
      <c r="N105" s="386"/>
      <c r="O105" s="386"/>
      <c r="P105" s="386"/>
      <c r="Q105" s="386"/>
      <c r="R105" s="386"/>
      <c r="S105" s="386"/>
      <c r="T105" s="386"/>
      <c r="U105" s="386"/>
      <c r="V105" s="386"/>
      <c r="W105" s="386"/>
      <c r="X105" s="386"/>
      <c r="Y105" s="386"/>
      <c r="Z105" s="386"/>
      <c r="AA105" s="386"/>
      <c r="AB105" s="386"/>
      <c r="AC105" s="376"/>
      <c r="AD105" s="376"/>
      <c r="AE105" s="376"/>
      <c r="AF105" s="377"/>
      <c r="AG105" s="342"/>
      <c r="AH105" s="343"/>
      <c r="AI105" s="343"/>
      <c r="AJ105" s="343"/>
      <c r="AK105" s="343"/>
      <c r="AL105" s="343"/>
      <c r="AM105" s="343"/>
      <c r="AN105" s="343"/>
      <c r="AO105" s="343"/>
      <c r="AP105" s="343"/>
      <c r="AQ105" s="343"/>
      <c r="AR105" s="343"/>
      <c r="AS105" s="343"/>
      <c r="AT105" s="343"/>
      <c r="AU105" s="343"/>
      <c r="AV105" s="343"/>
      <c r="AW105" s="343"/>
      <c r="AX105" s="343"/>
      <c r="AY105" s="343"/>
      <c r="AZ105" s="343"/>
      <c r="BA105" s="343"/>
      <c r="BB105" s="343"/>
      <c r="BC105" s="343"/>
      <c r="BD105" s="343"/>
      <c r="BE105" s="344"/>
      <c r="BI105" s="638" t="s">
        <v>325</v>
      </c>
      <c r="BJ105" s="638">
        <v>5</v>
      </c>
      <c r="BK105" s="638" t="s">
        <v>324</v>
      </c>
      <c r="BL105" s="690">
        <v>5.0999999999999997E-2</v>
      </c>
      <c r="BM105" s="822">
        <v>5.0999999999999997E-2</v>
      </c>
      <c r="BN105" s="653">
        <f t="shared" si="24"/>
        <v>1</v>
      </c>
      <c r="BO105" s="855"/>
      <c r="BP105" s="821">
        <v>1</v>
      </c>
      <c r="BQ105" s="690"/>
      <c r="BR105" s="822"/>
      <c r="BS105" s="653" t="str">
        <f t="shared" si="25"/>
        <v/>
      </c>
      <c r="BT105" s="855"/>
      <c r="BU105" s="821">
        <v>1</v>
      </c>
      <c r="BX105" s="642" t="str">
        <f t="shared" si="22"/>
        <v>Feb</v>
      </c>
      <c r="BY105" s="649">
        <f>IF(CB105=$CB113,SUMIF($BI101:$BI112,$BX105,$BR101:$BR112),SUMIF($BI101:$BI112,$BX105,$BM101:$BM112))*1000</f>
        <v>51</v>
      </c>
      <c r="BZ105" s="821">
        <f>IF(IF(CB105=CB113,SUMIF(BI101:BI112,$BX105,BU101:BU112),SUMIF(BI101:BI112,$BX105,BP101:BP112))=0,NA(),IF(CB105=CB113,SUMIF(BI101:BI112,$BX105,BU101:BU112),SUMIF(BI101:BI112,$BX105,BP101:BP112)))</f>
        <v>1</v>
      </c>
      <c r="CA105" s="640">
        <f>IF(IF(CB105=CB113,SUMIF(BI101:BI112,$BX105,BS101:BS112),SUMIF(BI101:BI112,$BX105,BN101:BN112))=0,NA(),IF(CB105=CB113,SUMIF(BI101:BI112,$BX105,BS101:BS112),SUMIF(BI101:BI112,$BX105,BN101:BN112)))</f>
        <v>1</v>
      </c>
      <c r="CB105" s="645">
        <f t="shared" si="26"/>
        <v>23</v>
      </c>
      <c r="CC105" s="645">
        <f t="shared" si="23"/>
        <v>2</v>
      </c>
    </row>
    <row r="106" spans="2:81" ht="15" customHeight="1">
      <c r="B106" s="386"/>
      <c r="C106" s="386"/>
      <c r="D106" s="386"/>
      <c r="E106" s="386"/>
      <c r="F106" s="386"/>
      <c r="G106" s="386"/>
      <c r="H106" s="386"/>
      <c r="I106" s="386"/>
      <c r="J106" s="386"/>
      <c r="K106" s="386"/>
      <c r="L106" s="386"/>
      <c r="M106" s="386"/>
      <c r="N106" s="386"/>
      <c r="O106" s="386"/>
      <c r="P106" s="386"/>
      <c r="Q106" s="386"/>
      <c r="R106" s="386"/>
      <c r="S106" s="386"/>
      <c r="T106" s="386"/>
      <c r="U106" s="386"/>
      <c r="V106" s="386"/>
      <c r="W106" s="386"/>
      <c r="X106" s="386"/>
      <c r="Y106" s="386"/>
      <c r="Z106" s="386"/>
      <c r="AA106" s="386"/>
      <c r="AB106" s="386"/>
      <c r="AC106" s="376"/>
      <c r="AD106" s="376"/>
      <c r="AE106" s="376"/>
      <c r="AF106" s="377"/>
      <c r="AG106" s="342"/>
      <c r="AH106" s="343"/>
      <c r="AI106" s="343"/>
      <c r="AJ106" s="343"/>
      <c r="AK106" s="343"/>
      <c r="AL106" s="343"/>
      <c r="AM106" s="343"/>
      <c r="AN106" s="343"/>
      <c r="AO106" s="343"/>
      <c r="AP106" s="343"/>
      <c r="AQ106" s="343"/>
      <c r="AR106" s="343"/>
      <c r="AS106" s="343"/>
      <c r="AT106" s="343"/>
      <c r="AU106" s="343"/>
      <c r="AV106" s="343"/>
      <c r="AW106" s="343"/>
      <c r="AX106" s="343"/>
      <c r="AY106" s="343"/>
      <c r="AZ106" s="343"/>
      <c r="BA106" s="343"/>
      <c r="BB106" s="343"/>
      <c r="BC106" s="343"/>
      <c r="BD106" s="343"/>
      <c r="BE106" s="344"/>
      <c r="BI106" s="638" t="s">
        <v>326</v>
      </c>
      <c r="BJ106" s="638">
        <v>6</v>
      </c>
      <c r="BK106" s="638" t="s">
        <v>324</v>
      </c>
      <c r="BL106" s="690">
        <v>0.05</v>
      </c>
      <c r="BM106" s="822">
        <v>0.05</v>
      </c>
      <c r="BN106" s="653">
        <f t="shared" si="24"/>
        <v>1</v>
      </c>
      <c r="BO106" s="855"/>
      <c r="BP106" s="821">
        <v>1</v>
      </c>
      <c r="BQ106" s="690"/>
      <c r="BR106" s="822"/>
      <c r="BS106" s="653" t="str">
        <f t="shared" si="25"/>
        <v/>
      </c>
      <c r="BT106" s="855"/>
      <c r="BU106" s="821">
        <v>1</v>
      </c>
      <c r="BX106" s="642" t="str">
        <f t="shared" si="22"/>
        <v>Mar</v>
      </c>
      <c r="BY106" s="649">
        <f>IF(CB106=$CB113,SUMIF($BI101:$BI112,$BX106,$BR101:$BR112),SUMIF($BI101:$BI112,$BX106,$BM101:$BM112))*1000</f>
        <v>50</v>
      </c>
      <c r="BZ106" s="821">
        <f>IF(IF(CB106=CB113,SUMIF(BI101:BI112,$BX106,BU101:BU112),SUMIF(BI101:BI112,$BX106,BP101:BP112))=0,NA(),IF(CB106=CB113,SUMIF(BI101:BI112,$BX106,BU101:BU112),SUMIF(BI101:BI112,$BX106,BP101:BP112)))</f>
        <v>1</v>
      </c>
      <c r="CA106" s="640">
        <f>IF(IF(CB106=CB113,SUMIF(BI101:BI112,$BX106,BS101:BS112),SUMIF(BI101:BI112,$BX106,BN101:BN112))=0,NA(),IF(CB106=CB113,SUMIF(BI101:BI112,$BX106,BS101:BS112),SUMIF(BI101:BI112,$BX106,BN101:BN112)))</f>
        <v>1</v>
      </c>
      <c r="CB106" s="645">
        <f t="shared" si="26"/>
        <v>23</v>
      </c>
      <c r="CC106" s="645">
        <f t="shared" si="23"/>
        <v>3</v>
      </c>
    </row>
    <row r="107" spans="2:81" ht="15" customHeight="1">
      <c r="B107" s="386"/>
      <c r="C107" s="386"/>
      <c r="D107" s="386"/>
      <c r="E107" s="386"/>
      <c r="F107" s="386"/>
      <c r="G107" s="386"/>
      <c r="H107" s="386"/>
      <c r="I107" s="386"/>
      <c r="J107" s="386"/>
      <c r="K107" s="386"/>
      <c r="L107" s="386"/>
      <c r="M107" s="386"/>
      <c r="N107" s="386"/>
      <c r="O107" s="386"/>
      <c r="P107" s="386"/>
      <c r="Q107" s="386"/>
      <c r="R107" s="386"/>
      <c r="S107" s="386"/>
      <c r="T107" s="386"/>
      <c r="U107" s="386"/>
      <c r="V107" s="386"/>
      <c r="W107" s="386"/>
      <c r="X107" s="386"/>
      <c r="Y107" s="386"/>
      <c r="Z107" s="386"/>
      <c r="AA107" s="386"/>
      <c r="AB107" s="386"/>
      <c r="BI107" s="638" t="s">
        <v>327</v>
      </c>
      <c r="BJ107" s="638">
        <v>7</v>
      </c>
      <c r="BK107" s="638" t="s">
        <v>328</v>
      </c>
      <c r="BL107" s="690">
        <v>4.8000000000000001E-2</v>
      </c>
      <c r="BM107" s="822">
        <v>4.9000000000000002E-2</v>
      </c>
      <c r="BN107" s="653">
        <f t="shared" si="24"/>
        <v>0.97959183673469385</v>
      </c>
      <c r="BO107" s="289">
        <f>IF(SUM(BM107:BM109=0),0,SUM(BL107:BL109)/SUM(BM107:BM109))</f>
        <v>0.9932432432432432</v>
      </c>
      <c r="BP107" s="821">
        <v>1</v>
      </c>
      <c r="BQ107" s="690"/>
      <c r="BR107" s="822"/>
      <c r="BS107" s="653" t="str">
        <f t="shared" si="25"/>
        <v/>
      </c>
      <c r="BT107" s="289">
        <f>IF(SUM(BR107:BR109=0),0,SUM(BQ107:BQ109)/SUM(BR107:BR109))</f>
        <v>0</v>
      </c>
      <c r="BU107" s="821">
        <v>1</v>
      </c>
      <c r="BX107" s="642" t="str">
        <f t="shared" si="22"/>
        <v>Apr</v>
      </c>
      <c r="BY107" s="649">
        <f>IF(CB107=$CB113,SUMIF($BI101:$BI112,$BX107,$BR101:$BR112),SUMIF($BI101:$BI112,$BX107,$BM101:$BM112))*1000</f>
        <v>49</v>
      </c>
      <c r="BZ107" s="821">
        <f>IF(IF(CB107=CB113,SUMIF(BI101:BI112,$BX107,BU101:BU112),SUMIF(BI101:BI112,$BX107,BP101:BP112))=0,NA(),IF(CB107=CB113,SUMIF(BI101:BI112,$BX107,BU101:BU112),SUMIF(BI101:BI112,$BX107,BP101:BP112)))</f>
        <v>1</v>
      </c>
      <c r="CA107" s="640">
        <f>IF(IF(CB107=CB113,SUMIF(BI101:BI112,$BX107,BS101:BS112),SUMIF(BI101:BI112,$BX107,BN101:BN112))=0,NA(),IF(CB107=CB113,SUMIF(BI101:BI112,$BX107,BS101:BS112),SUMIF(BI101:BI112,$BX107,BN101:BN112)))</f>
        <v>0.97959183673469385</v>
      </c>
      <c r="CB107" s="645">
        <f t="shared" si="26"/>
        <v>23</v>
      </c>
      <c r="CC107" s="645">
        <f t="shared" si="23"/>
        <v>4</v>
      </c>
    </row>
    <row r="108" spans="2:81" ht="15" customHeight="1">
      <c r="B108" s="267" t="s">
        <v>242</v>
      </c>
      <c r="C108" s="386"/>
      <c r="D108" s="386"/>
      <c r="E108" s="386"/>
      <c r="F108" s="386"/>
      <c r="G108" s="386"/>
      <c r="H108" s="386"/>
      <c r="I108" s="386"/>
      <c r="J108" s="386"/>
      <c r="K108" s="386"/>
      <c r="L108" s="386"/>
      <c r="M108" s="386"/>
      <c r="N108" s="386"/>
      <c r="O108" s="386"/>
      <c r="P108" s="386"/>
      <c r="Q108" s="386"/>
      <c r="R108" s="386"/>
      <c r="S108" s="386"/>
      <c r="T108" s="386"/>
      <c r="U108" s="386"/>
      <c r="V108" s="386"/>
      <c r="W108" s="386"/>
      <c r="X108" s="386"/>
      <c r="Y108" s="386"/>
      <c r="Z108" s="386"/>
      <c r="AA108" s="386"/>
      <c r="AB108" s="386"/>
      <c r="BI108" s="638" t="s">
        <v>329</v>
      </c>
      <c r="BJ108" s="638">
        <v>8</v>
      </c>
      <c r="BK108" s="638" t="s">
        <v>328</v>
      </c>
      <c r="BL108" s="690">
        <v>0.05</v>
      </c>
      <c r="BM108" s="822">
        <v>0.05</v>
      </c>
      <c r="BN108" s="653">
        <f t="shared" si="24"/>
        <v>1</v>
      </c>
      <c r="BO108" s="855"/>
      <c r="BP108" s="821">
        <v>1</v>
      </c>
      <c r="BQ108" s="690"/>
      <c r="BR108" s="822"/>
      <c r="BS108" s="653" t="str">
        <f t="shared" si="25"/>
        <v/>
      </c>
      <c r="BT108" s="855"/>
      <c r="BU108" s="821">
        <v>1</v>
      </c>
      <c r="BX108" s="642" t="str">
        <f t="shared" si="22"/>
        <v>May</v>
      </c>
      <c r="BY108" s="649">
        <f>IF(CB108=$CB113,SUMIF($BI101:$BI112,$BX108,$BR101:$BR112),SUMIF($BI101:$BI112,$BX108,$BM101:$BM112))*1000</f>
        <v>50</v>
      </c>
      <c r="BZ108" s="821">
        <f>IF(IF(CB108=CB113,SUMIF(BI101:BI112,$BX108,BU101:BU112),SUMIF(BI101:BI112,$BX108,BP101:BP112))=0,NA(),IF(CB108=CB113,SUMIF(BI101:BI112,$BX108,BU101:BU112),SUMIF(BI101:BI112,$BX108,BP101:BP112)))</f>
        <v>1</v>
      </c>
      <c r="CA108" s="640">
        <f>IF(IF(CB108=CB113,SUMIF(BI101:BI112,$BX108,BS101:BS112),SUMIF(BI101:BI112,$BX108,BN101:BN112))=0,NA(),IF(CB108=CB113,SUMIF(BI101:BI112,$BX108,BS101:BS112),SUMIF(BI101:BI112,$BX108,BN101:BN112)))</f>
        <v>1</v>
      </c>
      <c r="CB108" s="645">
        <f t="shared" si="26"/>
        <v>23</v>
      </c>
      <c r="CC108" s="645">
        <f>IF(CC109-1&lt;1,CC109+11,CC109-1)</f>
        <v>5</v>
      </c>
    </row>
    <row r="109" spans="2:81" ht="15" customHeight="1">
      <c r="B109" s="267"/>
      <c r="C109" s="386"/>
      <c r="D109" s="386"/>
      <c r="E109" s="386"/>
      <c r="F109" s="386"/>
      <c r="G109" s="386"/>
      <c r="H109" s="386"/>
      <c r="I109" s="386"/>
      <c r="J109" s="386"/>
      <c r="K109" s="386"/>
      <c r="L109" s="386"/>
      <c r="M109" s="386"/>
      <c r="N109" s="386"/>
      <c r="O109" s="386"/>
      <c r="P109" s="386"/>
      <c r="Q109" s="386"/>
      <c r="R109" s="386"/>
      <c r="S109" s="386"/>
      <c r="T109" s="386"/>
      <c r="U109" s="386"/>
      <c r="V109" s="386"/>
      <c r="W109" s="386"/>
      <c r="X109" s="386"/>
      <c r="Y109" s="386"/>
      <c r="Z109" s="386"/>
      <c r="AA109" s="386"/>
      <c r="AB109" s="386"/>
      <c r="BI109" s="638" t="s">
        <v>331</v>
      </c>
      <c r="BJ109" s="638">
        <v>9</v>
      </c>
      <c r="BK109" s="638" t="s">
        <v>328</v>
      </c>
      <c r="BL109" s="690">
        <v>4.9000000000000002E-2</v>
      </c>
      <c r="BM109" s="822">
        <v>4.9000000000000002E-2</v>
      </c>
      <c r="BN109" s="653">
        <f t="shared" si="24"/>
        <v>1</v>
      </c>
      <c r="BO109" s="855"/>
      <c r="BP109" s="821">
        <v>1</v>
      </c>
      <c r="BQ109" s="690"/>
      <c r="BR109" s="822"/>
      <c r="BS109" s="653" t="str">
        <f t="shared" si="25"/>
        <v/>
      </c>
      <c r="BT109" s="855"/>
      <c r="BU109" s="821">
        <v>1</v>
      </c>
      <c r="BX109" s="642" t="str">
        <f t="shared" si="22"/>
        <v>Jun</v>
      </c>
      <c r="BY109" s="649">
        <f>IF(CB109=$CB113,SUMIF($BI101:$BI112,$BX109,$BR101:$BR112),SUMIF($BI101:$BI112,$BX109,$BM101:$BM112))*1000</f>
        <v>49</v>
      </c>
      <c r="BZ109" s="821">
        <f>IF(IF(CB109=CB113,SUMIF(BI101:BI112,$BX109,BU101:BU112),SUMIF(BI101:BI112,$BX109,BP101:BP112))=0,NA(),IF(CB109=CB113,SUMIF(BI101:BI112,$BX109,BU101:BU112),SUMIF(BI101:BI112,$BX109,BP101:BP112)))</f>
        <v>1</v>
      </c>
      <c r="CA109" s="640">
        <f>IF(IF(CB109=CB113,SUMIF(BI101:BI112,$BX109,BS101:BS112),SUMIF(BI101:BI112,$BX109,BN101:BN112))=0,NA(),IF(CB109=CB113,SUMIF(BI101:BI112,$BX109,BS101:BS112),SUMIF(BI101:BI112,$BX109,BN101:BN112)))</f>
        <v>1</v>
      </c>
      <c r="CB109" s="645">
        <f t="shared" si="26"/>
        <v>23</v>
      </c>
      <c r="CC109" s="645">
        <f t="shared" si="23"/>
        <v>6</v>
      </c>
    </row>
    <row r="110" spans="2:81" ht="15" customHeight="1">
      <c r="B110" s="267" t="s">
        <v>242</v>
      </c>
      <c r="BI110" s="638" t="s">
        <v>337</v>
      </c>
      <c r="BJ110" s="638">
        <v>10</v>
      </c>
      <c r="BK110" s="638" t="s">
        <v>338</v>
      </c>
      <c r="BL110" s="690">
        <v>4.9000000000000002E-2</v>
      </c>
      <c r="BM110" s="822">
        <v>4.9000000000000002E-2</v>
      </c>
      <c r="BN110" s="653">
        <f t="shared" si="24"/>
        <v>1</v>
      </c>
      <c r="BO110" s="289">
        <f>IF(SUM(BM110:BM112=0),0,SUM(BL110:BL112)/SUM(BM110:BM112))</f>
        <v>1</v>
      </c>
      <c r="BP110" s="821">
        <v>1</v>
      </c>
      <c r="BQ110" s="690"/>
      <c r="BR110" s="822"/>
      <c r="BS110" s="653" t="str">
        <f t="shared" si="25"/>
        <v/>
      </c>
      <c r="BT110" s="289">
        <f>IF(SUM(BR110:BR112=0),0,SUM(BQ110:BQ112)/SUM(BR110:BR112))</f>
        <v>0</v>
      </c>
      <c r="BU110" s="821">
        <v>1</v>
      </c>
      <c r="BX110" s="642" t="str">
        <f t="shared" si="22"/>
        <v>Jul</v>
      </c>
      <c r="BY110" s="649">
        <f>IF(CB110=$CB113,SUMIF($BI101:$BI112,$BX110,$BR101:$BR112),SUMIF($BI101:$BI112,$BX110,$BM101:$BM112))*1000</f>
        <v>49</v>
      </c>
      <c r="BZ110" s="821">
        <f>IF(IF(CB110=CB113,SUMIF(BI101:BI112,$BX110,BU101:BU112),SUMIF(BI101:BI112,$BX110,BP101:BP112))=0,NA(),IF(CB110=CB113,SUMIF(BI101:BI112,$BX110,BU101:BU112),SUMIF(BI101:BI112,$BX110,BP101:BP112)))</f>
        <v>1</v>
      </c>
      <c r="CA110" s="640">
        <f>IF(IF(CB110=CB113,SUMIF(BI101:BI112,$BX110,BS101:BS112),SUMIF(BI101:BI112,$BX110,BN101:BN112))=0,NA(),IF(CB110=CB113,SUMIF(BI101:BI112,$BX110,BS101:BS112),SUMIF(BI101:BI112,$BX110,BN101:BN112)))</f>
        <v>1</v>
      </c>
      <c r="CB110" s="645">
        <f t="shared" si="26"/>
        <v>23</v>
      </c>
      <c r="CC110" s="645">
        <f t="shared" si="23"/>
        <v>7</v>
      </c>
    </row>
    <row r="111" spans="2:81" ht="15" customHeight="1">
      <c r="B111" s="1137" t="str">
        <f>AC42</f>
        <v>Successfully met KPI</v>
      </c>
      <c r="C111" s="1138"/>
      <c r="D111" s="1138"/>
      <c r="E111" s="1138"/>
      <c r="F111" s="1138"/>
      <c r="G111" s="1138"/>
      <c r="H111" s="1138"/>
      <c r="I111" s="1138"/>
      <c r="J111" s="1138"/>
      <c r="K111" s="1138"/>
      <c r="L111" s="1138"/>
      <c r="M111" s="1138"/>
      <c r="N111" s="1138"/>
      <c r="O111" s="1138"/>
      <c r="P111" s="1138"/>
      <c r="Q111" s="1138"/>
      <c r="R111" s="1138"/>
      <c r="S111" s="1138"/>
      <c r="T111" s="1138"/>
      <c r="U111" s="1138"/>
      <c r="V111" s="1138"/>
      <c r="W111" s="1138"/>
      <c r="X111" s="1138"/>
      <c r="Y111" s="1138"/>
      <c r="Z111" s="1138"/>
      <c r="AA111" s="1138"/>
      <c r="AB111" s="1139"/>
      <c r="BI111" s="638" t="s">
        <v>343</v>
      </c>
      <c r="BJ111" s="638">
        <v>11</v>
      </c>
      <c r="BK111" s="638" t="s">
        <v>338</v>
      </c>
      <c r="BL111" s="690">
        <v>4.8000000000000001E-2</v>
      </c>
      <c r="BM111" s="822">
        <v>4.8000000000000001E-2</v>
      </c>
      <c r="BN111" s="653">
        <f t="shared" si="24"/>
        <v>1</v>
      </c>
      <c r="BO111" s="855"/>
      <c r="BP111" s="821">
        <v>1</v>
      </c>
      <c r="BQ111" s="690"/>
      <c r="BR111" s="822"/>
      <c r="BS111" s="653" t="str">
        <f t="shared" si="25"/>
        <v/>
      </c>
      <c r="BT111" s="855"/>
      <c r="BU111" s="821">
        <v>1</v>
      </c>
      <c r="BX111" s="642" t="str">
        <f t="shared" si="22"/>
        <v>Aug</v>
      </c>
      <c r="BY111" s="649">
        <f>IF(CB111=$CB113,SUMIF($BI101:$BI112,$BX111,$BR101:$BR112),SUMIF($BI101:$BI112,$BX111,$BM101:$BM112))*1000</f>
        <v>48</v>
      </c>
      <c r="BZ111" s="821">
        <f>IF(IF(CB111=CB113,SUMIF(BI101:BI112,$BX111,BU101:BU112),SUMIF(BI101:BI112,$BX111,BP101:BP112))=0,NA(),IF(CB111=CB113,SUMIF(BI101:BI112,$BX111,BU101:BU112),SUMIF(BI101:BI112,$BX111,BP101:BP112)))</f>
        <v>1</v>
      </c>
      <c r="CA111" s="640">
        <f>IF(IF(CB111=CB113,SUMIF(BI101:BI112,$BX111,BS101:BS112),SUMIF(BI101:BI112,$BX111,BN101:BN112))=0,NA(),IF(CB111=CB113,SUMIF(BI101:BI112,$BX111,BS101:BS112),SUMIF(BI101:BI112,$BX111,BN101:BN112)))</f>
        <v>1</v>
      </c>
      <c r="CB111" s="645">
        <f t="shared" si="26"/>
        <v>23</v>
      </c>
      <c r="CC111" s="645">
        <f t="shared" si="23"/>
        <v>8</v>
      </c>
    </row>
    <row r="112" spans="2:81" ht="15" customHeight="1">
      <c r="B112" s="1140"/>
      <c r="C112" s="1206"/>
      <c r="D112" s="1206"/>
      <c r="E112" s="1206"/>
      <c r="F112" s="1206"/>
      <c r="G112" s="1206"/>
      <c r="H112" s="1206"/>
      <c r="I112" s="1206"/>
      <c r="J112" s="1206"/>
      <c r="K112" s="1206"/>
      <c r="L112" s="1206"/>
      <c r="M112" s="1206"/>
      <c r="N112" s="1206"/>
      <c r="O112" s="1206"/>
      <c r="P112" s="1206"/>
      <c r="Q112" s="1206"/>
      <c r="R112" s="1206"/>
      <c r="S112" s="1206"/>
      <c r="T112" s="1206"/>
      <c r="U112" s="1206"/>
      <c r="V112" s="1206"/>
      <c r="W112" s="1206"/>
      <c r="X112" s="1206"/>
      <c r="Y112" s="1206"/>
      <c r="Z112" s="1206"/>
      <c r="AA112" s="1206"/>
      <c r="AB112" s="1142"/>
      <c r="BI112" s="638" t="s">
        <v>344</v>
      </c>
      <c r="BJ112" s="638">
        <v>12</v>
      </c>
      <c r="BK112" s="638" t="s">
        <v>338</v>
      </c>
      <c r="BL112" s="690">
        <v>5.0999999999999997E-2</v>
      </c>
      <c r="BM112" s="822">
        <v>5.0999999999999997E-2</v>
      </c>
      <c r="BN112" s="653">
        <f t="shared" si="24"/>
        <v>1</v>
      </c>
      <c r="BO112" s="871"/>
      <c r="BP112" s="821">
        <v>1</v>
      </c>
      <c r="BQ112" s="690"/>
      <c r="BR112" s="822"/>
      <c r="BS112" s="653" t="str">
        <f t="shared" si="25"/>
        <v/>
      </c>
      <c r="BT112" s="871"/>
      <c r="BU112" s="821">
        <v>1</v>
      </c>
      <c r="BV112" s="37"/>
      <c r="BX112" s="642" t="str">
        <f t="shared" si="22"/>
        <v>Sep</v>
      </c>
      <c r="BY112" s="649">
        <f>IF(CB112=$CB113,SUMIF($BI101:$BI112,$BX112,$BR101:$BR112),SUMIF($BI101:$BI112,$BX112,$BM101:$BM112))*1000</f>
        <v>51</v>
      </c>
      <c r="BZ112" s="821">
        <f>IF(IF(CB112=CB113,SUMIF(BI101:BI112,$BX112,BU101:BU112),SUMIF(BI101:BI112,$BX112,BP101:BP112))=0,NA(),IF(CB112=CB113,SUMIF(BI101:BI112,$BX112,BU101:BU112),SUMIF(BI101:BI112,$BX112,BP101:BP112)))</f>
        <v>1</v>
      </c>
      <c r="CA112" s="640">
        <f>IF(IF(CB112=CB113,SUMIF(BI101:BI112,$BX112,BS101:BS112),SUMIF(BI101:BI112,$BX112,BN101:BN112))=0,NA(),IF(CB112=CB113,SUMIF(BI101:BI112,$BX112,BS101:BS112),SUMIF(BI101:BI112,$BX112,BN101:BN112)))</f>
        <v>1</v>
      </c>
      <c r="CB112" s="645">
        <f t="shared" si="26"/>
        <v>23</v>
      </c>
      <c r="CC112" s="645">
        <f>IF(CC113-1&lt;1,CC113+11,CC113-1)</f>
        <v>9</v>
      </c>
    </row>
    <row r="113" spans="2:81" ht="15" customHeight="1">
      <c r="B113" s="1140"/>
      <c r="C113" s="1206"/>
      <c r="D113" s="1206"/>
      <c r="E113" s="1206"/>
      <c r="F113" s="1206"/>
      <c r="G113" s="1206"/>
      <c r="H113" s="1206"/>
      <c r="I113" s="1206"/>
      <c r="J113" s="1206"/>
      <c r="K113" s="1206"/>
      <c r="L113" s="1206"/>
      <c r="M113" s="1206"/>
      <c r="N113" s="1206"/>
      <c r="O113" s="1206"/>
      <c r="P113" s="1206"/>
      <c r="Q113" s="1206"/>
      <c r="R113" s="1206"/>
      <c r="S113" s="1206"/>
      <c r="T113" s="1206"/>
      <c r="U113" s="1206"/>
      <c r="V113" s="1206"/>
      <c r="W113" s="1206"/>
      <c r="X113" s="1206"/>
      <c r="Y113" s="1206"/>
      <c r="Z113" s="1206"/>
      <c r="AA113" s="1206"/>
      <c r="AB113" s="1142"/>
      <c r="BI113" s="54"/>
      <c r="BJ113" s="292"/>
      <c r="BK113" s="292"/>
      <c r="BL113" s="292"/>
      <c r="BM113" s="292"/>
      <c r="BN113" s="292"/>
      <c r="BO113" s="837"/>
      <c r="BP113" s="292"/>
      <c r="BQ113" s="292"/>
      <c r="BR113" s="292"/>
      <c r="BS113" s="292"/>
      <c r="BT113" s="837"/>
      <c r="BU113" s="292"/>
      <c r="BV113" s="37"/>
      <c r="BW113" s="647" t="str">
        <f>Cover!$M$34</f>
        <v>OCT FY-24</v>
      </c>
      <c r="BX113" s="642" t="str">
        <f>TEXT(CONCATENATE(CC113,"/01/20",CB113),"MMM")</f>
        <v>Oct</v>
      </c>
      <c r="BY113" s="649">
        <f>SUMIF($BI101:$BI112,$BX113,$BR101:$BR112)*1000</f>
        <v>51</v>
      </c>
      <c r="BZ113" s="821">
        <f>IF(IF(CB113=CB113,SUMIF(BI101:BI112,$BX113,BU101:BU112),SUMIF(BI101:BI112,$BX113,BP101:BP112))=0,NA(),IF(CB113=CB113,SUMIF(BI101:BI112,$BX113,BU101:BU112),SUMIF(BI101:BI112,$BX113,BP101:BP112)))</f>
        <v>1</v>
      </c>
      <c r="CA113" s="640">
        <f>IF(SUMIF($BI101:$BI112,$BX113,$BS101:$BS112)=0,NA(),SUMIF($BI101:$BI112,$BX113,$BS101:$BS112))</f>
        <v>1</v>
      </c>
      <c r="CB113" s="645">
        <f t="shared" si="26"/>
        <v>24</v>
      </c>
      <c r="CC113" s="645">
        <f>MONTH(DATEVALUE(LEFT(BW113,3)&amp;" 1"))</f>
        <v>10</v>
      </c>
    </row>
    <row r="114" spans="2:81" ht="15" customHeight="1">
      <c r="B114" s="1143"/>
      <c r="C114" s="1144"/>
      <c r="D114" s="1144"/>
      <c r="E114" s="1144"/>
      <c r="F114" s="1144"/>
      <c r="G114" s="1144"/>
      <c r="H114" s="1144"/>
      <c r="I114" s="1144"/>
      <c r="J114" s="1144"/>
      <c r="K114" s="1144"/>
      <c r="L114" s="1144"/>
      <c r="M114" s="1144"/>
      <c r="N114" s="1144"/>
      <c r="O114" s="1144"/>
      <c r="P114" s="1144"/>
      <c r="Q114" s="1144"/>
      <c r="R114" s="1144"/>
      <c r="S114" s="1144"/>
      <c r="T114" s="1144"/>
      <c r="U114" s="1144"/>
      <c r="V114" s="1144"/>
      <c r="W114" s="1144"/>
      <c r="X114" s="1144"/>
      <c r="Y114" s="1144"/>
      <c r="Z114" s="1144"/>
      <c r="AA114" s="1144"/>
      <c r="AB114" s="1145"/>
      <c r="BI114" s="54"/>
      <c r="BJ114" s="292"/>
      <c r="BK114" s="292"/>
      <c r="BL114" s="292"/>
      <c r="BM114" s="292"/>
      <c r="BN114" s="292"/>
      <c r="BO114" s="292"/>
      <c r="BP114" s="292"/>
      <c r="BQ114" s="292"/>
      <c r="BR114" s="292"/>
      <c r="BS114" s="292"/>
      <c r="BT114" s="292"/>
      <c r="BU114" s="292"/>
      <c r="BV114" s="37"/>
      <c r="BY114" s="293"/>
      <c r="BZ114" s="294"/>
      <c r="CA114" s="295"/>
      <c r="CB114" s="296"/>
      <c r="CC114" s="296"/>
    </row>
    <row r="115" spans="2:81" ht="15" customHeight="1">
      <c r="B115" s="387"/>
      <c r="C115" s="387"/>
      <c r="D115" s="387"/>
      <c r="E115" s="387"/>
      <c r="F115" s="387"/>
      <c r="G115" s="387"/>
      <c r="H115" s="387"/>
      <c r="I115" s="387"/>
      <c r="J115" s="387"/>
      <c r="K115" s="387"/>
      <c r="L115" s="387"/>
      <c r="M115" s="334"/>
      <c r="N115" s="334"/>
      <c r="O115" s="334"/>
      <c r="P115" s="334"/>
      <c r="Q115" s="334"/>
      <c r="R115" s="334"/>
      <c r="S115" s="334"/>
      <c r="T115" s="334"/>
      <c r="U115" s="334"/>
      <c r="V115" s="334"/>
      <c r="W115" s="334"/>
      <c r="X115" s="334"/>
      <c r="Y115" s="334"/>
      <c r="Z115" s="334"/>
      <c r="AA115" s="334"/>
      <c r="AB115" s="334"/>
      <c r="BI115" s="277"/>
      <c r="BJ115" s="277"/>
      <c r="BK115" s="277"/>
      <c r="BL115" s="297"/>
      <c r="BM115" s="293"/>
      <c r="BN115" s="298"/>
      <c r="BO115" s="290"/>
      <c r="BP115" s="299"/>
      <c r="BQ115" s="297"/>
      <c r="BR115" s="293"/>
      <c r="BS115" s="300"/>
      <c r="BT115" s="290"/>
      <c r="BU115" s="294"/>
      <c r="BV115" s="37"/>
      <c r="BY115" s="293"/>
      <c r="BZ115" s="294"/>
      <c r="CA115" s="295"/>
      <c r="CB115" s="296"/>
      <c r="CC115" s="296"/>
    </row>
    <row r="116" spans="2:81" ht="15" customHeight="1">
      <c r="AC116" s="334"/>
      <c r="AD116" s="334"/>
      <c r="AE116" s="334"/>
      <c r="AF116" s="334"/>
      <c r="AG116" s="334"/>
      <c r="AH116" s="334"/>
      <c r="AI116" s="334"/>
      <c r="AJ116" s="334"/>
      <c r="AK116" s="334"/>
      <c r="AL116" s="334"/>
      <c r="AM116" s="334"/>
      <c r="AN116" s="334"/>
      <c r="AO116" s="334"/>
      <c r="AP116" s="334"/>
      <c r="AQ116" s="387"/>
      <c r="AR116" s="387"/>
      <c r="AS116" s="387"/>
      <c r="AT116" s="387"/>
      <c r="AU116" s="387"/>
      <c r="AV116" s="388"/>
      <c r="AW116" s="388"/>
      <c r="AX116" s="388"/>
      <c r="AY116" s="388"/>
      <c r="AZ116" s="388"/>
      <c r="BA116" s="388"/>
      <c r="BB116" s="388"/>
      <c r="BC116" s="388"/>
      <c r="BD116" s="388"/>
      <c r="BE116" s="388"/>
      <c r="BF116" s="199"/>
      <c r="BI116" s="277"/>
      <c r="BJ116" s="277"/>
      <c r="BK116" s="277"/>
      <c r="BL116" s="297"/>
      <c r="BM116" s="293"/>
      <c r="BN116" s="298"/>
      <c r="BO116" s="290"/>
      <c r="BP116" s="299"/>
      <c r="BQ116" s="297"/>
      <c r="BR116" s="293"/>
      <c r="BS116" s="300"/>
      <c r="BT116" s="290"/>
      <c r="BU116" s="294"/>
    </row>
    <row r="117" spans="2:81" ht="15" customHeight="1">
      <c r="BF117" s="201"/>
    </row>
    <row r="118" spans="2:81" ht="15" customHeight="1">
      <c r="BF118" s="207"/>
    </row>
    <row r="119" spans="2:81" ht="15" customHeight="1">
      <c r="BF119" s="207"/>
    </row>
    <row r="120" spans="2:81" ht="15" customHeight="1">
      <c r="BF120" s="208"/>
    </row>
    <row r="121" spans="2:81" ht="15" customHeight="1">
      <c r="BF121" s="199"/>
    </row>
    <row r="122" spans="2:81" ht="15" customHeight="1">
      <c r="BF122" s="202"/>
    </row>
    <row r="123" spans="2:81" ht="15" customHeight="1">
      <c r="BF123" s="202"/>
    </row>
    <row r="124" spans="2:81" ht="15" customHeight="1">
      <c r="BF124" s="202"/>
    </row>
    <row r="125" spans="2:81" ht="15" customHeight="1">
      <c r="BF125" s="202"/>
    </row>
    <row r="126" spans="2:81" ht="15" customHeight="1">
      <c r="BF126" s="202"/>
    </row>
    <row r="127" spans="2:81" ht="15" customHeight="1">
      <c r="BF127" s="197"/>
    </row>
    <row r="128" spans="2:81" ht="15" customHeight="1">
      <c r="BF128" s="198"/>
    </row>
    <row r="129" spans="58:58" ht="15" customHeight="1">
      <c r="BF129" s="200"/>
    </row>
    <row r="130" spans="58:58" ht="15" customHeight="1"/>
    <row r="131" spans="58:58" ht="15" customHeight="1"/>
    <row r="132" spans="58:58" ht="15" customHeight="1"/>
    <row r="133" spans="58:58" ht="15" customHeight="1"/>
    <row r="134" spans="58:58" ht="15" customHeight="1"/>
    <row r="135" spans="58:58" ht="15" customHeight="1"/>
    <row r="136" spans="58:58" ht="15" customHeight="1"/>
    <row r="137" spans="58:58" ht="15" customHeight="1"/>
    <row r="138" spans="58:58" ht="15" customHeight="1"/>
    <row r="139" spans="58:58" ht="15" customHeight="1"/>
    <row r="140" spans="58:58" ht="15" customHeight="1"/>
    <row r="141" spans="58:58" ht="15" customHeight="1"/>
    <row r="142" spans="58:58" ht="15" customHeight="1"/>
    <row r="143" spans="58:58" ht="15" customHeight="1"/>
    <row r="144" spans="58:58"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sheetData>
  <mergeCells count="117">
    <mergeCell ref="AE29:BE32"/>
    <mergeCell ref="B29:AB32"/>
    <mergeCell ref="T38:V38"/>
    <mergeCell ref="AC38:BE38"/>
    <mergeCell ref="B2:BE4"/>
    <mergeCell ref="N16:Q16"/>
    <mergeCell ref="S16:V16"/>
    <mergeCell ref="AN18:AQ18"/>
    <mergeCell ref="AU18:AX18"/>
    <mergeCell ref="AN19:AQ19"/>
    <mergeCell ref="AU23:AX23"/>
    <mergeCell ref="AU24:AX24"/>
    <mergeCell ref="X15:AB15"/>
    <mergeCell ref="I16:L16"/>
    <mergeCell ref="AU17:AX17"/>
    <mergeCell ref="AN24:AQ24"/>
    <mergeCell ref="AU19:AX19"/>
    <mergeCell ref="AN22:AQ22"/>
    <mergeCell ref="AU22:AX22"/>
    <mergeCell ref="BB17:BE17"/>
    <mergeCell ref="BB18:BE18"/>
    <mergeCell ref="BB24:BE24"/>
    <mergeCell ref="BB19:BE19"/>
    <mergeCell ref="BB22:BE22"/>
    <mergeCell ref="B39:J39"/>
    <mergeCell ref="B38:J38"/>
    <mergeCell ref="B35:J37"/>
    <mergeCell ref="Z36:AB37"/>
    <mergeCell ref="Q35:S37"/>
    <mergeCell ref="K35:P35"/>
    <mergeCell ref="K39:M39"/>
    <mergeCell ref="N39:P39"/>
    <mergeCell ref="AC35:BE37"/>
    <mergeCell ref="T35:AB35"/>
    <mergeCell ref="K36:M37"/>
    <mergeCell ref="N36:P37"/>
    <mergeCell ref="T36:V37"/>
    <mergeCell ref="W36:Y37"/>
    <mergeCell ref="K38:M38"/>
    <mergeCell ref="N38:P38"/>
    <mergeCell ref="Q38:S38"/>
    <mergeCell ref="T39:V39"/>
    <mergeCell ref="W39:Y39"/>
    <mergeCell ref="AC39:BE39"/>
    <mergeCell ref="W38:Y38"/>
    <mergeCell ref="Z38:AB38"/>
    <mergeCell ref="Q39:S39"/>
    <mergeCell ref="Z39:AB39"/>
    <mergeCell ref="BJ79:BU79"/>
    <mergeCell ref="BJ80:BU80"/>
    <mergeCell ref="N40:P40"/>
    <mergeCell ref="Q40:S40"/>
    <mergeCell ref="T40:V40"/>
    <mergeCell ref="W40:Y40"/>
    <mergeCell ref="K40:M40"/>
    <mergeCell ref="Z41:AB41"/>
    <mergeCell ref="BJ78:BU78"/>
    <mergeCell ref="N41:P41"/>
    <mergeCell ref="Q41:S41"/>
    <mergeCell ref="T41:V41"/>
    <mergeCell ref="W41:Y41"/>
    <mergeCell ref="AC40:BE40"/>
    <mergeCell ref="AC41:BE41"/>
    <mergeCell ref="BI1:BU1"/>
    <mergeCell ref="BJ23:BU23"/>
    <mergeCell ref="BQ24:BU24"/>
    <mergeCell ref="BJ21:BU21"/>
    <mergeCell ref="BJ22:BU22"/>
    <mergeCell ref="B5:AR5"/>
    <mergeCell ref="V14:W14"/>
    <mergeCell ref="B15:G15"/>
    <mergeCell ref="AE15:AJ15"/>
    <mergeCell ref="AL15:AO15"/>
    <mergeCell ref="AP15:AQ15"/>
    <mergeCell ref="AS15:AX15"/>
    <mergeCell ref="AZ15:BE15"/>
    <mergeCell ref="AE8:BE11"/>
    <mergeCell ref="AN17:AQ17"/>
    <mergeCell ref="BB23:BE23"/>
    <mergeCell ref="AN23:AQ23"/>
    <mergeCell ref="B8:AB11"/>
    <mergeCell ref="I15:V15"/>
    <mergeCell ref="BW24:CC24"/>
    <mergeCell ref="BW43:CC43"/>
    <mergeCell ref="BW62:CC62"/>
    <mergeCell ref="BQ43:BU43"/>
    <mergeCell ref="BQ62:BU62"/>
    <mergeCell ref="BL43:BP43"/>
    <mergeCell ref="BL62:BP62"/>
    <mergeCell ref="BL24:BP24"/>
    <mergeCell ref="BJ40:BU40"/>
    <mergeCell ref="BW99:CC99"/>
    <mergeCell ref="BL99:BP99"/>
    <mergeCell ref="BQ99:BU99"/>
    <mergeCell ref="BJ96:BU96"/>
    <mergeCell ref="B99:AB102"/>
    <mergeCell ref="BW81:CC81"/>
    <mergeCell ref="BL81:BP81"/>
    <mergeCell ref="BQ81:BU81"/>
    <mergeCell ref="BJ98:BU98"/>
    <mergeCell ref="B87:AB90"/>
    <mergeCell ref="AE87:BE90"/>
    <mergeCell ref="B111:AB114"/>
    <mergeCell ref="K41:M41"/>
    <mergeCell ref="B41:J41"/>
    <mergeCell ref="B40:J40"/>
    <mergeCell ref="Z40:AB40"/>
    <mergeCell ref="K42:M42"/>
    <mergeCell ref="N42:P42"/>
    <mergeCell ref="Q42:S42"/>
    <mergeCell ref="AE64:BE67"/>
    <mergeCell ref="T42:V42"/>
    <mergeCell ref="W42:Y42"/>
    <mergeCell ref="Z42:AB42"/>
    <mergeCell ref="B64:AB67"/>
    <mergeCell ref="B42:J42"/>
    <mergeCell ref="AC42:BE42"/>
  </mergeCells>
  <conditionalFormatting sqref="A8:A11 A15:A19 A22 A26:A29 A20:D21 A7:BH7 A12:BH14 F21 F23:F24 H20:H24 J24:L24 U24:AB24 AC15:AD15 AC17:AD19 AC16:AG16 AC20:AH20 AC108:BE108 AI16:BH16 AJ17 BF122:BF124 BF8:BH11 BF15:BH15 BF17:BH29 AC105:AF105 B103:AB103 AC94:BE99 B93:AB97 B109">
    <cfRule type="cellIs" dxfId="2293" priority="2063" operator="equal">
      <formula>"XXX"</formula>
    </cfRule>
  </conditionalFormatting>
  <conditionalFormatting sqref="A38:A39">
    <cfRule type="cellIs" dxfId="2292" priority="1735" operator="equal">
      <formula>"XXX"</formula>
    </cfRule>
  </conditionalFormatting>
  <conditionalFormatting sqref="B2">
    <cfRule type="cellIs" dxfId="2291" priority="412" operator="equal">
      <formula>"XXX"</formula>
    </cfRule>
  </conditionalFormatting>
  <conditionalFormatting sqref="B98:B99">
    <cfRule type="cellIs" dxfId="2290" priority="1122" operator="equal">
      <formula>"XXX"</formula>
    </cfRule>
  </conditionalFormatting>
  <conditionalFormatting sqref="B104:B106">
    <cfRule type="cellIs" dxfId="2289" priority="1119" operator="equal">
      <formula>"XXX"</formula>
    </cfRule>
  </conditionalFormatting>
  <conditionalFormatting sqref="B108">
    <cfRule type="cellIs" dxfId="2288" priority="70" operator="equal">
      <formula>"XXX"</formula>
    </cfRule>
  </conditionalFormatting>
  <conditionalFormatting sqref="B115 M115 W115 AG116 AQ116 AV116 BA116">
    <cfRule type="cellIs" dxfId="2287" priority="1006" operator="equal">
      <formula>"XXX"</formula>
    </cfRule>
  </conditionalFormatting>
  <conditionalFormatting sqref="B63:D63 F63:AB63">
    <cfRule type="cellIs" dxfId="2286" priority="2052" operator="equal">
      <formula>"XXX"</formula>
    </cfRule>
  </conditionalFormatting>
  <conditionalFormatting sqref="B86:D86 F86:AB86">
    <cfRule type="cellIs" dxfId="2285" priority="2048" operator="equal">
      <formula>"XXX"</formula>
    </cfRule>
  </conditionalFormatting>
  <conditionalFormatting sqref="B42:J42">
    <cfRule type="cellIs" dxfId="2284" priority="668" operator="equal">
      <formula>"XXX"</formula>
    </cfRule>
  </conditionalFormatting>
  <conditionalFormatting sqref="B40:K40">
    <cfRule type="cellIs" dxfId="2283" priority="1783" operator="equal">
      <formula>"XXX"</formula>
    </cfRule>
  </conditionalFormatting>
  <conditionalFormatting sqref="C98:AB98">
    <cfRule type="cellIs" dxfId="2282" priority="1124" operator="equal">
      <formula>"XXX"</formula>
    </cfRule>
  </conditionalFormatting>
  <conditionalFormatting sqref="C104:AB104">
    <cfRule type="cellIs" dxfId="2281" priority="1121" operator="equal">
      <formula>"XXX"</formula>
    </cfRule>
  </conditionalFormatting>
  <conditionalFormatting sqref="F28:AG28 AI28:BE28 AK22:AM24 AR22:AT24 AY22:BA24">
    <cfRule type="cellIs" dxfId="2280" priority="2062" operator="equal">
      <formula>"XXX"</formula>
    </cfRule>
  </conditionalFormatting>
  <conditionalFormatting sqref="G22:G23">
    <cfRule type="cellIs" dxfId="2279" priority="732" operator="notEqual">
      <formula>0</formula>
    </cfRule>
    <cfRule type="cellIs" dxfId="2278" priority="733" operator="equal">
      <formula>"XXX"</formula>
    </cfRule>
  </conditionalFormatting>
  <conditionalFormatting sqref="G25:G26">
    <cfRule type="cellIs" dxfId="2277" priority="735" operator="notEqual">
      <formula>0</formula>
    </cfRule>
    <cfRule type="cellIs" dxfId="2276" priority="736" operator="equal">
      <formula>"XXX"</formula>
    </cfRule>
  </conditionalFormatting>
  <conditionalFormatting sqref="G26">
    <cfRule type="expression" dxfId="2275" priority="734">
      <formula>$G$25=0</formula>
    </cfRule>
  </conditionalFormatting>
  <conditionalFormatting sqref="I24">
    <cfRule type="cellIs" dxfId="2274" priority="1628" operator="equal">
      <formula>"XXX"</formula>
    </cfRule>
  </conditionalFormatting>
  <conditionalFormatting sqref="I24:I25">
    <cfRule type="cellIs" dxfId="2273" priority="731" operator="equal">
      <formula>$A$1</formula>
    </cfRule>
  </conditionalFormatting>
  <conditionalFormatting sqref="I26">
    <cfRule type="cellIs" dxfId="2272" priority="741" operator="equal">
      <formula>"XXX"</formula>
    </cfRule>
    <cfRule type="cellIs" dxfId="2271" priority="1627" operator="equal">
      <formula>$A$1</formula>
    </cfRule>
  </conditionalFormatting>
  <conditionalFormatting sqref="I23:J23">
    <cfRule type="cellIs" dxfId="2270" priority="1618" operator="equal">
      <formula>$A$1</formula>
    </cfRule>
  </conditionalFormatting>
  <conditionalFormatting sqref="K38:K39 N38:N39 T38:T39 W38:W39 Z38:Z39">
    <cfRule type="cellIs" dxfId="2269" priority="68" operator="equal">
      <formula>"XXX"</formula>
    </cfRule>
    <cfRule type="cellIs" dxfId="2268" priority="2083" stopIfTrue="1" operator="lessThan">
      <formula>$Q38*0.9</formula>
    </cfRule>
    <cfRule type="cellIs" dxfId="2267" priority="2084" operator="lessThan">
      <formula>$Q38</formula>
    </cfRule>
    <cfRule type="cellIs" dxfId="2266" priority="2085" operator="greaterThanOrEqual">
      <formula>$Q38</formula>
    </cfRule>
  </conditionalFormatting>
  <conditionalFormatting sqref="K40 N40 T40 W40 Z40">
    <cfRule type="expression" dxfId="2265" priority="1726">
      <formula>$Q$40=0</formula>
    </cfRule>
    <cfRule type="cellIs" dxfId="2264" priority="1791" stopIfTrue="1" operator="greaterThan">
      <formula>$Q40*0.9</formula>
    </cfRule>
    <cfRule type="cellIs" dxfId="2263" priority="1792" operator="greaterThan">
      <formula>$Q40</formula>
    </cfRule>
    <cfRule type="cellIs" dxfId="2262" priority="1793" operator="lessThanOrEqual">
      <formula>$Q40</formula>
    </cfRule>
  </conditionalFormatting>
  <conditionalFormatting sqref="K41:K42 N41:N42 T41:T42 W41:W42 Z41:Z42">
    <cfRule type="expression" dxfId="2261" priority="1164">
      <formula>$Q$41=0</formula>
    </cfRule>
    <cfRule type="cellIs" dxfId="2260" priority="1165" operator="equal">
      <formula>"XXX"</formula>
    </cfRule>
    <cfRule type="cellIs" dxfId="2259" priority="1167" stopIfTrue="1" operator="lessThan">
      <formula>$Q41*0.9</formula>
    </cfRule>
    <cfRule type="cellIs" dxfId="2258" priority="1168" operator="lessThan">
      <formula>$Q41</formula>
    </cfRule>
    <cfRule type="cellIs" dxfId="2257" priority="1198" operator="greaterThanOrEqual">
      <formula>$Q41</formula>
    </cfRule>
  </conditionalFormatting>
  <conditionalFormatting sqref="K35:AB37">
    <cfRule type="cellIs" dxfId="2256" priority="883" operator="equal">
      <formula>"XXX"</formula>
    </cfRule>
  </conditionalFormatting>
  <conditionalFormatting sqref="N40 T40 W40 Z40">
    <cfRule type="cellIs" dxfId="2255" priority="1790" operator="equal">
      <formula>"XXX"</formula>
    </cfRule>
  </conditionalFormatting>
  <conditionalFormatting sqref="Y16:Y23">
    <cfRule type="cellIs" dxfId="2254" priority="855" operator="equal">
      <formula>"XXX"</formula>
    </cfRule>
  </conditionalFormatting>
  <conditionalFormatting sqref="Z16:Z21">
    <cfRule type="cellIs" dxfId="2253" priority="858" operator="equal">
      <formula>"XXX"</formula>
    </cfRule>
  </conditionalFormatting>
  <conditionalFormatting sqref="AC64:AC67">
    <cfRule type="cellIs" dxfId="2252" priority="201" operator="equal">
      <formula>"XXX"</formula>
    </cfRule>
  </conditionalFormatting>
  <conditionalFormatting sqref="AC8:AD11">
    <cfRule type="cellIs" dxfId="2251" priority="243" operator="equal">
      <formula>"XXX"</formula>
    </cfRule>
  </conditionalFormatting>
  <conditionalFormatting sqref="AC29:AD32">
    <cfRule type="cellIs" dxfId="2250" priority="152" operator="equal">
      <formula>"XXX"</formula>
    </cfRule>
  </conditionalFormatting>
  <conditionalFormatting sqref="AC104:AF104">
    <cfRule type="cellIs" dxfId="2249" priority="1233" operator="equal">
      <formula>"XXX"</formula>
    </cfRule>
  </conditionalFormatting>
  <conditionalFormatting sqref="AC106:AF106">
    <cfRule type="cellIs" dxfId="2248" priority="1230" operator="equal">
      <formula>"XXX"</formula>
    </cfRule>
  </conditionalFormatting>
  <conditionalFormatting sqref="AC100:BE103">
    <cfRule type="cellIs" dxfId="2247" priority="1232" operator="equal">
      <formula>"XXX"</formula>
    </cfRule>
  </conditionalFormatting>
  <conditionalFormatting sqref="AC107:BE107">
    <cfRule type="cellIs" dxfId="2246" priority="1263" operator="equal">
      <formula>"XXX"</formula>
    </cfRule>
  </conditionalFormatting>
  <conditionalFormatting sqref="AE86">
    <cfRule type="cellIs" dxfId="2245" priority="1335" operator="equal">
      <formula>"XXX"</formula>
    </cfRule>
  </conditionalFormatting>
  <conditionalFormatting sqref="AE63:AG63 AI63:BE63">
    <cfRule type="cellIs" dxfId="2244" priority="2050" operator="equal">
      <formula>"XXX"</formula>
    </cfRule>
  </conditionalFormatting>
  <conditionalFormatting sqref="AE82:BE85 AF86:BE86">
    <cfRule type="cellIs" dxfId="2243" priority="1730" operator="equal">
      <formula>"XXX"</formula>
    </cfRule>
  </conditionalFormatting>
  <conditionalFormatting sqref="AI22:AJ22">
    <cfRule type="cellIs" dxfId="2242" priority="2054" operator="equal">
      <formula>"XXX"</formula>
    </cfRule>
  </conditionalFormatting>
  <conditionalFormatting sqref="AU17:AX18 AU22:AX23">
    <cfRule type="cellIs" dxfId="2241" priority="1960" operator="lessThan">
      <formula>0</formula>
    </cfRule>
  </conditionalFormatting>
  <conditionalFormatting sqref="BA97:BA99">
    <cfRule type="cellIs" dxfId="2240" priority="1238" operator="equal">
      <formula>"Paused"</formula>
    </cfRule>
    <cfRule type="cellIs" dxfId="2239" priority="1239" operator="equal">
      <formula>"Open Issue"</formula>
    </cfRule>
    <cfRule type="cellIs" dxfId="2238" priority="1240" operator="equal">
      <formula>"On Track"</formula>
    </cfRule>
  </conditionalFormatting>
  <conditionalFormatting sqref="BB23 BB17:BE18 BB22:BE22">
    <cfRule type="cellIs" dxfId="2237" priority="2053" operator="lessThan">
      <formula>0</formula>
    </cfRule>
  </conditionalFormatting>
  <conditionalFormatting sqref="BF116:BF120">
    <cfRule type="cellIs" dxfId="2236" priority="839" operator="equal">
      <formula>"XXX"</formula>
    </cfRule>
  </conditionalFormatting>
  <conditionalFormatting sqref="BF125:BF126">
    <cfRule type="cellIs" dxfId="2235" priority="980" operator="equal">
      <formula>"XXX"</formula>
    </cfRule>
  </conditionalFormatting>
  <conditionalFormatting sqref="BH35:BH37">
    <cfRule type="cellIs" dxfId="2234" priority="1727" operator="equal">
      <formula>"XXX"</formula>
    </cfRule>
  </conditionalFormatting>
  <conditionalFormatting sqref="BH38:BH43">
    <cfRule type="cellIs" dxfId="2233" priority="730" operator="equal">
      <formula>"XXX"</formula>
    </cfRule>
  </conditionalFormatting>
  <conditionalFormatting sqref="BJ16:BV16">
    <cfRule type="expression" dxfId="2232" priority="67">
      <formula>(AND(BJ$5=$BX$5,LEN(BJ$16)=0))</formula>
    </cfRule>
  </conditionalFormatting>
  <conditionalFormatting sqref="BQ26:BQ37 BQ45:BQ56 BQ64:BQ75 BQ83:BQ94 BQ101:BQ112">
    <cfRule type="expression" dxfId="2231" priority="804">
      <formula>(AND($BJ26=$BX$5,LEN($BQ26)=0))</formula>
    </cfRule>
  </conditionalFormatting>
  <conditionalFormatting sqref="BR26:BR37 BR45:BR56 BR64:BR75 BR83:BR94 BR101:BR112">
    <cfRule type="expression" dxfId="2230" priority="840">
      <formula>(AND($BJ26=$BX$5,LEN($BR26)=0))</formula>
    </cfRule>
  </conditionalFormatting>
  <conditionalFormatting sqref="CE45:CE57">
    <cfRule type="cellIs" dxfId="2229" priority="1654" operator="equal">
      <formula>"XXX"</formula>
    </cfRule>
  </conditionalFormatting>
  <conditionalFormatting sqref="AE29">
    <cfRule type="cellIs" dxfId="2228" priority="31" operator="equal">
      <formula>"XXX"</formula>
    </cfRule>
  </conditionalFormatting>
  <conditionalFormatting sqref="B64">
    <cfRule type="cellIs" dxfId="2227" priority="20" operator="equal">
      <formula>"XXX"</formula>
    </cfRule>
  </conditionalFormatting>
  <conditionalFormatting sqref="AE64">
    <cfRule type="cellIs" dxfId="2226" priority="19" operator="equal">
      <formula>"XXX"</formula>
    </cfRule>
  </conditionalFormatting>
  <conditionalFormatting sqref="B87">
    <cfRule type="cellIs" dxfId="2225" priority="18" operator="equal">
      <formula>"XXX"</formula>
    </cfRule>
  </conditionalFormatting>
  <conditionalFormatting sqref="AE87">
    <cfRule type="cellIs" dxfId="2224" priority="17" operator="equal">
      <formula>"XXX"</formula>
    </cfRule>
  </conditionalFormatting>
  <conditionalFormatting sqref="B111">
    <cfRule type="cellIs" dxfId="2223" priority="16" operator="equal">
      <formula>"XXX"</formula>
    </cfRule>
  </conditionalFormatting>
  <conditionalFormatting sqref="AC38:BE42">
    <cfRule type="cellIs" dxfId="2222" priority="5" operator="equal">
      <formula>"XXX"</formula>
    </cfRule>
  </conditionalFormatting>
  <conditionalFormatting sqref="B110">
    <cfRule type="cellIs" dxfId="2221" priority="4" operator="equal">
      <formula>"XXX"</formula>
    </cfRule>
  </conditionalFormatting>
  <conditionalFormatting sqref="B8">
    <cfRule type="cellIs" dxfId="2220" priority="3" operator="equal">
      <formula>"XXX"</formula>
    </cfRule>
  </conditionalFormatting>
  <conditionalFormatting sqref="AE8">
    <cfRule type="cellIs" dxfId="2219" priority="2" operator="equal">
      <formula>"XXX"</formula>
    </cfRule>
  </conditionalFormatting>
  <conditionalFormatting sqref="B29">
    <cfRule type="cellIs" dxfId="2218" priority="1" operator="equal">
      <formula>"XXX"</formula>
    </cfRule>
  </conditionalFormatting>
  <dataValidations count="6">
    <dataValidation type="list" allowBlank="1" showInputMessage="1" showErrorMessage="1" sqref="BA94:BE94 BF117:BF119" xr:uid="{00000000-0002-0000-0E00-000000000000}">
      <formula1>"PMBOK Initiate, PMBOK Plan, PMBOK Execute, PMBOK Monitor/ Control, PMBOK Close, DMAIC Define, DMAIC Measure, DMAIC Analyze, DMAIC Improve, DMAIC Control, Placeholder, Paused"</formula1>
    </dataValidation>
    <dataValidation type="list" allowBlank="1" showInputMessage="1" showErrorMessage="1" sqref="BA98:BE99 BF125:BF126" xr:uid="{00000000-0002-0000-0E00-000001000000}">
      <formula1>"Not Started, On Track, Open Issue, Paused"</formula1>
    </dataValidation>
    <dataValidation type="list" allowBlank="1" showInputMessage="1" showErrorMessage="1" sqref="AV94:AZ94 AV97:AZ99" xr:uid="{00000000-0002-0000-0E00-000002000000}">
      <formula1>"Grow the Top Line, Capture Cost &amp; Productivity, Lead Our People, Deliver Financial Commitments"</formula1>
    </dataValidation>
    <dataValidation type="whole" operator="greaterThanOrEqual" allowBlank="1" showInputMessage="1" showErrorMessage="1" errorTitle="Positive Value" error="This value must be entered as a positive number." sqref="BJ6:BV6 BM14 BQ14 BM12 BQ12 BN12:BP14 BR12:BV14 BJ8:BV8 BJ10:BV10 BJ12:BL14" xr:uid="{00000000-0002-0000-0E00-000003000000}">
      <formula1>0</formula1>
    </dataValidation>
    <dataValidation type="whole" operator="lessThan" allowBlank="1" showInputMessage="1" showErrorMessage="1" errorTitle="Negative Value" error="This value must be entered as a negative number." sqref="BJ7:BV7 BJ9:BV9 BJ11:BV11" xr:uid="{00000000-0002-0000-0E00-000004000000}">
      <formula1>0</formula1>
    </dataValidation>
    <dataValidation type="list" allowBlank="1" showInputMessage="1" showErrorMessage="1" sqref="BA97:BE97 BF122:BF124" xr:uid="{00000000-0002-0000-0E00-000005000000}">
      <formula1>"Not Started, On Track, Open Issue, Paused,Complete"</formula1>
    </dataValidation>
  </dataValidations>
  <printOptions horizontalCentered="1"/>
  <pageMargins left="0.25" right="0.25" top="0.25" bottom="0.5" header="0.3" footer="0.3"/>
  <pageSetup scale="66" orientation="landscape" r:id="rId1"/>
  <headerFooter>
    <oddFooter>&amp;R&amp;F | &amp;A
Printed &amp;D @ &amp;T
&amp;P</oddFooter>
  </headerFooter>
  <rowBreaks count="3" manualBreakCount="3">
    <brk id="44" max="57" man="1"/>
    <brk id="94" max="57" man="1"/>
    <brk id="119" max="57" man="1"/>
  </rowBreaks>
  <ignoredErrors>
    <ignoredError sqref="BJ14" formulaRange="1"/>
  </ignoredErrors>
  <drawing r:id="rId2"/>
  <legacyDrawing r:id="rId3"/>
  <extLst>
    <ext xmlns:x14="http://schemas.microsoft.com/office/spreadsheetml/2009/9/main" uri="{78C0D931-6437-407d-A8EE-F0AAD7539E65}">
      <x14:conditionalFormattings>
        <x14:conditionalFormatting xmlns:xm="http://schemas.microsoft.com/office/excel/2006/main">
          <x14:cfRule type="cellIs" priority="2055" operator="equal" id="{A483C96A-F04D-4176-97AE-9F90A819BD31}">
            <xm:f>AR!$A$1</xm:f>
            <x14:dxf>
              <font>
                <color theme="0"/>
              </font>
            </x14:dxf>
          </x14:cfRule>
          <xm:sqref>J24:J26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tabColor rgb="FF002060"/>
  </sheetPr>
  <dimension ref="B1:CC113"/>
  <sheetViews>
    <sheetView showGridLines="0" zoomScale="85" zoomScaleNormal="85" workbookViewId="0">
      <selection activeCell="AC42" sqref="AC42:BE42"/>
    </sheetView>
  </sheetViews>
  <sheetFormatPr defaultColWidth="3.28515625" defaultRowHeight="15" customHeight="1"/>
  <cols>
    <col min="1" max="1" width="3.28515625" style="6"/>
    <col min="2" max="33" width="3.28515625" style="37"/>
    <col min="34" max="34" width="3.28515625" style="37" customWidth="1"/>
    <col min="35" max="57" width="3.28515625" style="37"/>
    <col min="58" max="59" width="3.28515625" style="6"/>
    <col min="60" max="60" width="4.85546875" style="6" bestFit="1" customWidth="1"/>
    <col min="61" max="61" width="18.28515625" style="270" customWidth="1"/>
    <col min="62" max="64" width="12.7109375" style="270" customWidth="1"/>
    <col min="65" max="65" width="13.5703125" style="270" bestFit="1" customWidth="1"/>
    <col min="66" max="69" width="12.7109375" style="270" customWidth="1"/>
    <col min="70" max="70" width="15" style="270" customWidth="1"/>
    <col min="71" max="73" width="12.7109375" style="270" customWidth="1"/>
    <col min="74" max="74" width="13.7109375" style="270" bestFit="1" customWidth="1"/>
    <col min="75" max="75" width="15.7109375" style="6" bestFit="1" customWidth="1"/>
    <col min="76" max="76" width="8.5703125" style="6" bestFit="1" customWidth="1"/>
    <col min="77" max="77" width="11.28515625" style="6" bestFit="1" customWidth="1"/>
    <col min="78" max="78" width="8.5703125" style="6" bestFit="1" customWidth="1"/>
    <col min="79" max="79" width="12.28515625" style="6" bestFit="1" customWidth="1"/>
    <col min="80" max="80" width="4.7109375" style="6" bestFit="1" customWidth="1"/>
    <col min="81" max="81" width="5.28515625" style="6" bestFit="1" customWidth="1"/>
    <col min="82" max="16384" width="3.28515625" style="6"/>
  </cols>
  <sheetData>
    <row r="1" spans="2:76" ht="15" customHeight="1">
      <c r="BI1" s="1232" t="s">
        <v>391</v>
      </c>
      <c r="BJ1" s="1232"/>
      <c r="BK1" s="1232"/>
      <c r="BL1" s="1232"/>
      <c r="BM1" s="1232"/>
      <c r="BN1" s="1232"/>
      <c r="BO1" s="1232"/>
      <c r="BP1" s="1232"/>
      <c r="BQ1" s="1232"/>
      <c r="BR1" s="1232"/>
      <c r="BS1" s="1232"/>
      <c r="BT1" s="1232"/>
      <c r="BU1" s="1232"/>
    </row>
    <row r="2" spans="2:76" ht="15" customHeight="1">
      <c r="B2" s="1146" t="s">
        <v>180</v>
      </c>
      <c r="C2" s="1146"/>
      <c r="D2" s="1146"/>
      <c r="E2" s="1146"/>
      <c r="F2" s="1146"/>
      <c r="G2" s="1146"/>
      <c r="H2" s="1146"/>
      <c r="I2" s="1146"/>
      <c r="J2" s="1146"/>
      <c r="K2" s="1146"/>
      <c r="L2" s="1146"/>
      <c r="M2" s="1146"/>
      <c r="N2" s="1146"/>
      <c r="O2" s="1146"/>
      <c r="P2" s="1146"/>
      <c r="Q2" s="1146"/>
      <c r="R2" s="1146"/>
      <c r="S2" s="1146"/>
      <c r="T2" s="1146"/>
      <c r="U2" s="1146"/>
      <c r="V2" s="1146"/>
      <c r="W2" s="1146"/>
      <c r="X2" s="1146"/>
      <c r="Y2" s="1146"/>
      <c r="Z2" s="1146"/>
      <c r="AA2" s="1146"/>
      <c r="AB2" s="1146"/>
      <c r="AC2" s="1146"/>
      <c r="AD2" s="1146"/>
      <c r="AE2" s="1146"/>
      <c r="AF2" s="1146"/>
      <c r="AG2" s="1146"/>
      <c r="AH2" s="1146"/>
      <c r="AI2" s="1146"/>
      <c r="AJ2" s="1146"/>
      <c r="AK2" s="1146"/>
      <c r="AL2" s="1146"/>
      <c r="AM2" s="1146"/>
      <c r="AN2" s="1146"/>
      <c r="AO2" s="1146"/>
      <c r="AP2" s="1146"/>
      <c r="AQ2" s="1146"/>
      <c r="AR2" s="1146"/>
      <c r="AS2" s="1146"/>
      <c r="AT2" s="1146"/>
      <c r="AU2" s="1146"/>
      <c r="AV2" s="1146"/>
      <c r="AW2" s="1146"/>
      <c r="AX2" s="1146"/>
      <c r="AY2" s="1146"/>
      <c r="AZ2" s="1146"/>
      <c r="BA2" s="1146"/>
      <c r="BB2" s="1146"/>
      <c r="BC2" s="1146"/>
      <c r="BD2" s="1146"/>
      <c r="BE2" s="1146"/>
      <c r="BI2" s="271" t="s">
        <v>43</v>
      </c>
    </row>
    <row r="3" spans="2:76" ht="15" customHeight="1">
      <c r="B3" s="1146"/>
      <c r="C3" s="1146"/>
      <c r="D3" s="1146"/>
      <c r="E3" s="1146"/>
      <c r="F3" s="1146"/>
      <c r="G3" s="1146"/>
      <c r="H3" s="1146"/>
      <c r="I3" s="1146"/>
      <c r="J3" s="1146"/>
      <c r="K3" s="1146"/>
      <c r="L3" s="1146"/>
      <c r="M3" s="1146"/>
      <c r="N3" s="1146"/>
      <c r="O3" s="1146"/>
      <c r="P3" s="1146"/>
      <c r="Q3" s="1146"/>
      <c r="R3" s="1146"/>
      <c r="S3" s="1146"/>
      <c r="T3" s="1146"/>
      <c r="U3" s="1146"/>
      <c r="V3" s="1146"/>
      <c r="W3" s="1146"/>
      <c r="X3" s="1146"/>
      <c r="Y3" s="1146"/>
      <c r="Z3" s="1146"/>
      <c r="AA3" s="1146"/>
      <c r="AB3" s="1146"/>
      <c r="AC3" s="1146"/>
      <c r="AD3" s="1146"/>
      <c r="AE3" s="1146"/>
      <c r="AF3" s="1146"/>
      <c r="AG3" s="1146"/>
      <c r="AH3" s="1146"/>
      <c r="AI3" s="1146"/>
      <c r="AJ3" s="1146"/>
      <c r="AK3" s="1146"/>
      <c r="AL3" s="1146"/>
      <c r="AM3" s="1146"/>
      <c r="AN3" s="1146"/>
      <c r="AO3" s="1146"/>
      <c r="AP3" s="1146"/>
      <c r="AQ3" s="1146"/>
      <c r="AR3" s="1146"/>
      <c r="AS3" s="1146"/>
      <c r="AT3" s="1146"/>
      <c r="AU3" s="1146"/>
      <c r="AV3" s="1146"/>
      <c r="AW3" s="1146"/>
      <c r="AX3" s="1146"/>
      <c r="AY3" s="1146"/>
      <c r="AZ3" s="1146"/>
      <c r="BA3" s="1146"/>
      <c r="BB3" s="1146"/>
      <c r="BC3" s="1146"/>
      <c r="BD3" s="1146"/>
      <c r="BE3" s="1146"/>
      <c r="BI3" s="272" t="s">
        <v>261</v>
      </c>
    </row>
    <row r="4" spans="2:76" ht="15" customHeight="1">
      <c r="B4" s="1147"/>
      <c r="C4" s="1147"/>
      <c r="D4" s="1147"/>
      <c r="E4" s="1147"/>
      <c r="F4" s="1147"/>
      <c r="G4" s="1147"/>
      <c r="H4" s="1147"/>
      <c r="I4" s="1147"/>
      <c r="J4" s="1147"/>
      <c r="K4" s="1147"/>
      <c r="L4" s="1147"/>
      <c r="M4" s="1147"/>
      <c r="N4" s="1147"/>
      <c r="O4" s="1147"/>
      <c r="P4" s="1147"/>
      <c r="Q4" s="1147"/>
      <c r="R4" s="1147"/>
      <c r="S4" s="1147"/>
      <c r="T4" s="1147"/>
      <c r="U4" s="1147"/>
      <c r="V4" s="1147"/>
      <c r="W4" s="1147"/>
      <c r="X4" s="1147"/>
      <c r="Y4" s="1147"/>
      <c r="Z4" s="1147"/>
      <c r="AA4" s="1147"/>
      <c r="AB4" s="1147"/>
      <c r="AC4" s="1147"/>
      <c r="AD4" s="1147"/>
      <c r="AE4" s="1147"/>
      <c r="AF4" s="1147"/>
      <c r="AG4" s="1147"/>
      <c r="AH4" s="1147"/>
      <c r="AI4" s="1147"/>
      <c r="AJ4" s="1147"/>
      <c r="AK4" s="1147"/>
      <c r="AL4" s="1147"/>
      <c r="AM4" s="1147"/>
      <c r="AN4" s="1147"/>
      <c r="AO4" s="1147"/>
      <c r="AP4" s="1147"/>
      <c r="AQ4" s="1147"/>
      <c r="AR4" s="1147"/>
      <c r="AS4" s="1147"/>
      <c r="AT4" s="1147"/>
      <c r="AU4" s="1147"/>
      <c r="AV4" s="1147"/>
      <c r="AW4" s="1147"/>
      <c r="AX4" s="1147"/>
      <c r="AY4" s="1147"/>
      <c r="AZ4" s="1147"/>
      <c r="BA4" s="1147"/>
      <c r="BB4" s="1147"/>
      <c r="BC4" s="1147"/>
      <c r="BD4" s="1147"/>
      <c r="BE4" s="1147"/>
      <c r="BI4" s="273" t="s">
        <v>23</v>
      </c>
      <c r="BJ4" s="273" t="s">
        <v>36</v>
      </c>
      <c r="BK4" s="273" t="s">
        <v>698</v>
      </c>
      <c r="BL4" s="273" t="s">
        <v>699</v>
      </c>
      <c r="BM4" s="273" t="s">
        <v>700</v>
      </c>
      <c r="BN4" s="273" t="s">
        <v>701</v>
      </c>
      <c r="BO4" s="273" t="s">
        <v>702</v>
      </c>
      <c r="BP4" s="273" t="s">
        <v>703</v>
      </c>
      <c r="BQ4" s="273" t="s">
        <v>704</v>
      </c>
      <c r="BR4" s="273" t="s">
        <v>705</v>
      </c>
      <c r="BS4" s="273" t="s">
        <v>706</v>
      </c>
      <c r="BT4" s="273" t="s">
        <v>707</v>
      </c>
      <c r="BU4" s="273" t="s">
        <v>708</v>
      </c>
      <c r="BV4" s="273" t="s">
        <v>709</v>
      </c>
      <c r="BX4" s="274" t="s">
        <v>262</v>
      </c>
    </row>
    <row r="5" spans="2:76" ht="15" customHeight="1">
      <c r="B5" s="1234" t="str">
        <f>FA!BI1</f>
        <v>Fixed Assets - Monitoring Our Assets</v>
      </c>
      <c r="C5" s="1235"/>
      <c r="D5" s="1235"/>
      <c r="E5" s="1235"/>
      <c r="F5" s="1235"/>
      <c r="G5" s="1235"/>
      <c r="H5" s="1235"/>
      <c r="I5" s="1235"/>
      <c r="J5" s="1235"/>
      <c r="K5" s="1235"/>
      <c r="L5" s="1235"/>
      <c r="M5" s="1235"/>
      <c r="N5" s="1235"/>
      <c r="O5" s="1235"/>
      <c r="P5" s="1235"/>
      <c r="Q5" s="1235"/>
      <c r="R5" s="1235"/>
      <c r="S5" s="1235"/>
      <c r="T5" s="1235"/>
      <c r="U5" s="1235"/>
      <c r="V5" s="1235"/>
      <c r="W5" s="1235"/>
      <c r="X5" s="1235"/>
      <c r="Y5" s="1235"/>
      <c r="Z5" s="1235"/>
      <c r="AA5" s="1235"/>
      <c r="AB5" s="1235"/>
      <c r="AC5" s="1235"/>
      <c r="AD5" s="1235"/>
      <c r="AE5" s="1235"/>
      <c r="AF5" s="1235"/>
      <c r="AG5" s="1235"/>
      <c r="AH5" s="1235"/>
      <c r="AI5" s="1235"/>
      <c r="AJ5" s="1235"/>
      <c r="AK5" s="1235"/>
      <c r="AL5" s="1235"/>
      <c r="AM5" s="1235"/>
      <c r="AN5" s="1235"/>
      <c r="AO5" s="1235"/>
      <c r="AP5" s="1235"/>
      <c r="AQ5" s="1235"/>
      <c r="AR5" s="1235"/>
      <c r="AS5" s="630"/>
      <c r="AT5" s="630"/>
      <c r="AU5" s="630"/>
      <c r="AV5" s="630"/>
      <c r="AW5" s="630"/>
      <c r="AX5" s="630"/>
      <c r="AY5" s="630"/>
      <c r="AZ5" s="630"/>
      <c r="BA5" s="630"/>
      <c r="BB5" s="630"/>
      <c r="BC5" s="630"/>
      <c r="BD5" s="630"/>
      <c r="BE5" s="631" t="str">
        <f>Cover!M34</f>
        <v>OCT FY-24</v>
      </c>
      <c r="BI5" s="273" t="s">
        <v>37</v>
      </c>
      <c r="BJ5" s="273">
        <v>-1</v>
      </c>
      <c r="BK5" s="273">
        <v>1</v>
      </c>
      <c r="BL5" s="273">
        <v>2</v>
      </c>
      <c r="BM5" s="273">
        <v>3</v>
      </c>
      <c r="BN5" s="273">
        <v>4</v>
      </c>
      <c r="BO5" s="273">
        <v>5</v>
      </c>
      <c r="BP5" s="273">
        <v>6</v>
      </c>
      <c r="BQ5" s="273">
        <v>7</v>
      </c>
      <c r="BR5" s="273">
        <v>8</v>
      </c>
      <c r="BS5" s="273">
        <v>9</v>
      </c>
      <c r="BT5" s="273">
        <v>10</v>
      </c>
      <c r="BU5" s="273">
        <v>11</v>
      </c>
      <c r="BV5" s="273">
        <v>12</v>
      </c>
      <c r="BX5" s="271">
        <f>Cover!M36</f>
        <v>1</v>
      </c>
    </row>
    <row r="6" spans="2:76" ht="15" customHeight="1">
      <c r="BI6" s="271" t="s">
        <v>263</v>
      </c>
      <c r="BJ6" s="632">
        <v>16</v>
      </c>
      <c r="BK6" s="633">
        <f>BJ14-BJ13</f>
        <v>16</v>
      </c>
      <c r="BL6" s="633">
        <f>BK14-BK13</f>
        <v>15</v>
      </c>
      <c r="BM6" s="633">
        <f>BL14-BL13</f>
        <v>15</v>
      </c>
      <c r="BN6" s="633">
        <f>BM14-BM13</f>
        <v>15</v>
      </c>
      <c r="BO6" s="633">
        <f>BN14-BN13</f>
        <v>15</v>
      </c>
      <c r="BP6" s="633">
        <f t="shared" ref="BP6:BV6" si="0">BO14-BO13</f>
        <v>15</v>
      </c>
      <c r="BQ6" s="633">
        <f t="shared" si="0"/>
        <v>15</v>
      </c>
      <c r="BR6" s="633">
        <f t="shared" si="0"/>
        <v>15</v>
      </c>
      <c r="BS6" s="633">
        <f t="shared" si="0"/>
        <v>15</v>
      </c>
      <c r="BT6" s="633">
        <f t="shared" si="0"/>
        <v>15</v>
      </c>
      <c r="BU6" s="633">
        <f t="shared" si="0"/>
        <v>15</v>
      </c>
      <c r="BV6" s="633">
        <f t="shared" si="0"/>
        <v>15</v>
      </c>
    </row>
    <row r="7" spans="2:76" ht="15" customHeight="1">
      <c r="B7" s="531" t="s">
        <v>392</v>
      </c>
      <c r="C7" s="532"/>
      <c r="D7" s="532"/>
      <c r="E7" s="532"/>
      <c r="F7" s="532"/>
      <c r="G7" s="532"/>
      <c r="H7" s="532"/>
      <c r="I7" s="532"/>
      <c r="J7" s="532"/>
      <c r="K7" s="532"/>
      <c r="L7" s="532"/>
      <c r="M7" s="532"/>
      <c r="N7" s="532"/>
      <c r="O7" s="532"/>
      <c r="P7" s="532"/>
      <c r="Q7" s="532"/>
      <c r="R7" s="532"/>
      <c r="S7" s="532"/>
      <c r="T7" s="532"/>
      <c r="U7" s="532"/>
      <c r="V7" s="532"/>
      <c r="W7" s="532"/>
      <c r="X7" s="532"/>
      <c r="Y7" s="532"/>
      <c r="Z7" s="532"/>
      <c r="AA7" s="532"/>
      <c r="AB7" s="532"/>
      <c r="AE7" s="531" t="s">
        <v>265</v>
      </c>
      <c r="AF7" s="532"/>
      <c r="AG7" s="532"/>
      <c r="AH7" s="532"/>
      <c r="AI7" s="532"/>
      <c r="AJ7" s="532"/>
      <c r="AK7" s="532"/>
      <c r="AL7" s="532"/>
      <c r="AM7" s="532"/>
      <c r="AN7" s="532"/>
      <c r="AO7" s="532"/>
      <c r="AP7" s="532"/>
      <c r="AQ7" s="532"/>
      <c r="AR7" s="532"/>
      <c r="AS7" s="532"/>
      <c r="AT7" s="532"/>
      <c r="AU7" s="532"/>
      <c r="AV7" s="532"/>
      <c r="AW7" s="532"/>
      <c r="AX7" s="532"/>
      <c r="AY7" s="532"/>
      <c r="AZ7" s="532"/>
      <c r="BA7" s="532"/>
      <c r="BB7" s="532"/>
      <c r="BC7" s="532"/>
      <c r="BD7" s="532"/>
      <c r="BE7" s="532"/>
      <c r="BI7" s="271" t="s">
        <v>266</v>
      </c>
      <c r="BJ7" s="632"/>
      <c r="BK7" s="632"/>
      <c r="BL7" s="632"/>
      <c r="BM7" s="632"/>
      <c r="BN7" s="632"/>
      <c r="BO7" s="632"/>
      <c r="BP7" s="632"/>
      <c r="BQ7" s="632"/>
      <c r="BR7" s="632"/>
      <c r="BS7" s="632"/>
      <c r="BT7" s="880"/>
      <c r="BU7" s="880"/>
      <c r="BV7" s="632"/>
    </row>
    <row r="8" spans="2:76" ht="15" customHeight="1">
      <c r="B8" s="1191"/>
      <c r="C8" s="1138"/>
      <c r="D8" s="1138"/>
      <c r="E8" s="1138"/>
      <c r="F8" s="1138"/>
      <c r="G8" s="1138"/>
      <c r="H8" s="1138"/>
      <c r="I8" s="1138"/>
      <c r="J8" s="1138"/>
      <c r="K8" s="1138"/>
      <c r="L8" s="1138"/>
      <c r="M8" s="1138"/>
      <c r="N8" s="1138"/>
      <c r="O8" s="1138"/>
      <c r="P8" s="1138"/>
      <c r="Q8" s="1138"/>
      <c r="R8" s="1138"/>
      <c r="S8" s="1138"/>
      <c r="T8" s="1138"/>
      <c r="U8" s="1138"/>
      <c r="V8" s="1138"/>
      <c r="W8" s="1138"/>
      <c r="X8" s="1138"/>
      <c r="Y8" s="1138"/>
      <c r="Z8" s="1138"/>
      <c r="AA8" s="1138"/>
      <c r="AB8" s="1139"/>
      <c r="AE8" s="1137" t="s">
        <v>393</v>
      </c>
      <c r="AF8" s="1138"/>
      <c r="AG8" s="1138"/>
      <c r="AH8" s="1138"/>
      <c r="AI8" s="1138"/>
      <c r="AJ8" s="1138"/>
      <c r="AK8" s="1138"/>
      <c r="AL8" s="1138"/>
      <c r="AM8" s="1138"/>
      <c r="AN8" s="1138"/>
      <c r="AO8" s="1138"/>
      <c r="AP8" s="1138"/>
      <c r="AQ8" s="1138"/>
      <c r="AR8" s="1138"/>
      <c r="AS8" s="1138"/>
      <c r="AT8" s="1138"/>
      <c r="AU8" s="1138"/>
      <c r="AV8" s="1138"/>
      <c r="AW8" s="1138"/>
      <c r="AX8" s="1138"/>
      <c r="AY8" s="1138"/>
      <c r="AZ8" s="1138"/>
      <c r="BA8" s="1138"/>
      <c r="BB8" s="1138"/>
      <c r="BC8" s="1138"/>
      <c r="BD8" s="1138"/>
      <c r="BE8" s="1139"/>
      <c r="BI8" s="271" t="s">
        <v>269</v>
      </c>
      <c r="BJ8" s="632"/>
      <c r="BK8" s="632"/>
      <c r="BL8" s="632"/>
      <c r="BM8" s="632"/>
      <c r="BN8" s="632"/>
      <c r="BO8" s="632"/>
      <c r="BP8" s="632"/>
      <c r="BQ8" s="632"/>
      <c r="BR8" s="632"/>
      <c r="BS8" s="632"/>
      <c r="BT8" s="880"/>
      <c r="BU8" s="880"/>
      <c r="BV8" s="632"/>
    </row>
    <row r="9" spans="2:76" ht="15" customHeight="1">
      <c r="B9" s="1140"/>
      <c r="C9" s="1141"/>
      <c r="D9" s="1141"/>
      <c r="E9" s="1141"/>
      <c r="F9" s="1141"/>
      <c r="G9" s="1141"/>
      <c r="H9" s="1141"/>
      <c r="I9" s="1141"/>
      <c r="J9" s="1141"/>
      <c r="K9" s="1141"/>
      <c r="L9" s="1141"/>
      <c r="M9" s="1141"/>
      <c r="N9" s="1141"/>
      <c r="O9" s="1141"/>
      <c r="P9" s="1141"/>
      <c r="Q9" s="1141"/>
      <c r="R9" s="1141"/>
      <c r="S9" s="1141"/>
      <c r="T9" s="1141"/>
      <c r="U9" s="1141"/>
      <c r="V9" s="1141"/>
      <c r="W9" s="1141"/>
      <c r="X9" s="1141"/>
      <c r="Y9" s="1141"/>
      <c r="Z9" s="1141"/>
      <c r="AA9" s="1141"/>
      <c r="AB9" s="1142"/>
      <c r="AE9" s="1140"/>
      <c r="AF9" s="1141"/>
      <c r="AG9" s="1141"/>
      <c r="AH9" s="1141"/>
      <c r="AI9" s="1141"/>
      <c r="AJ9" s="1141"/>
      <c r="AK9" s="1141"/>
      <c r="AL9" s="1141"/>
      <c r="AM9" s="1141"/>
      <c r="AN9" s="1141"/>
      <c r="AO9" s="1141"/>
      <c r="AP9" s="1141"/>
      <c r="AQ9" s="1141"/>
      <c r="AR9" s="1141"/>
      <c r="AS9" s="1141"/>
      <c r="AT9" s="1141"/>
      <c r="AU9" s="1141"/>
      <c r="AV9" s="1141"/>
      <c r="AW9" s="1141"/>
      <c r="AX9" s="1141"/>
      <c r="AY9" s="1141"/>
      <c r="AZ9" s="1141"/>
      <c r="BA9" s="1141"/>
      <c r="BB9" s="1141"/>
      <c r="BC9" s="1141"/>
      <c r="BD9" s="1141"/>
      <c r="BE9" s="1142"/>
      <c r="BI9" s="271" t="s">
        <v>270</v>
      </c>
      <c r="BJ9" s="632"/>
      <c r="BK9" s="632">
        <v>-1</v>
      </c>
      <c r="BL9" s="632"/>
      <c r="BM9" s="632"/>
      <c r="BN9" s="632"/>
      <c r="BO9" s="632"/>
      <c r="BP9" s="632"/>
      <c r="BQ9" s="632"/>
      <c r="BR9" s="632"/>
      <c r="BS9" s="632"/>
      <c r="BT9" s="880"/>
      <c r="BU9" s="880"/>
      <c r="BV9" s="632"/>
    </row>
    <row r="10" spans="2:76" ht="15" customHeight="1">
      <c r="B10" s="1140"/>
      <c r="C10" s="1141"/>
      <c r="D10" s="1141"/>
      <c r="E10" s="1141"/>
      <c r="F10" s="1141"/>
      <c r="G10" s="1141"/>
      <c r="H10" s="1141"/>
      <c r="I10" s="1141"/>
      <c r="J10" s="1141"/>
      <c r="K10" s="1141"/>
      <c r="L10" s="1141"/>
      <c r="M10" s="1141"/>
      <c r="N10" s="1141"/>
      <c r="O10" s="1141"/>
      <c r="P10" s="1141"/>
      <c r="Q10" s="1141"/>
      <c r="R10" s="1141"/>
      <c r="S10" s="1141"/>
      <c r="T10" s="1141"/>
      <c r="U10" s="1141"/>
      <c r="V10" s="1141"/>
      <c r="W10" s="1141"/>
      <c r="X10" s="1141"/>
      <c r="Y10" s="1141"/>
      <c r="Z10" s="1141"/>
      <c r="AA10" s="1141"/>
      <c r="AB10" s="1142"/>
      <c r="AE10" s="1140"/>
      <c r="AF10" s="1141"/>
      <c r="AG10" s="1141"/>
      <c r="AH10" s="1141"/>
      <c r="AI10" s="1141"/>
      <c r="AJ10" s="1141"/>
      <c r="AK10" s="1141"/>
      <c r="AL10" s="1141"/>
      <c r="AM10" s="1141"/>
      <c r="AN10" s="1141"/>
      <c r="AO10" s="1141"/>
      <c r="AP10" s="1141"/>
      <c r="AQ10" s="1141"/>
      <c r="AR10" s="1141"/>
      <c r="AS10" s="1141"/>
      <c r="AT10" s="1141"/>
      <c r="AU10" s="1141"/>
      <c r="AV10" s="1141"/>
      <c r="AW10" s="1141"/>
      <c r="AX10" s="1141"/>
      <c r="AY10" s="1141"/>
      <c r="AZ10" s="1141"/>
      <c r="BA10" s="1141"/>
      <c r="BB10" s="1141"/>
      <c r="BC10" s="1141"/>
      <c r="BD10" s="1141"/>
      <c r="BE10" s="1142"/>
      <c r="BI10" s="271" t="s">
        <v>271</v>
      </c>
      <c r="BJ10" s="632"/>
      <c r="BK10" s="632"/>
      <c r="BL10" s="632"/>
      <c r="BM10" s="632"/>
      <c r="BN10" s="632"/>
      <c r="BO10" s="632"/>
      <c r="BP10" s="632"/>
      <c r="BQ10" s="632"/>
      <c r="BR10" s="632"/>
      <c r="BS10" s="632"/>
      <c r="BT10" s="880"/>
      <c r="BU10" s="880"/>
      <c r="BV10" s="632"/>
    </row>
    <row r="11" spans="2:76" ht="15" customHeight="1">
      <c r="B11" s="1143"/>
      <c r="C11" s="1144"/>
      <c r="D11" s="1144"/>
      <c r="E11" s="1144"/>
      <c r="F11" s="1144"/>
      <c r="G11" s="1144"/>
      <c r="H11" s="1144"/>
      <c r="I11" s="1144"/>
      <c r="J11" s="1144"/>
      <c r="K11" s="1144"/>
      <c r="L11" s="1144"/>
      <c r="M11" s="1144"/>
      <c r="N11" s="1144"/>
      <c r="O11" s="1144"/>
      <c r="P11" s="1144"/>
      <c r="Q11" s="1144"/>
      <c r="R11" s="1144"/>
      <c r="S11" s="1144"/>
      <c r="T11" s="1144"/>
      <c r="U11" s="1144"/>
      <c r="V11" s="1144"/>
      <c r="W11" s="1144"/>
      <c r="X11" s="1144"/>
      <c r="Y11" s="1144"/>
      <c r="Z11" s="1144"/>
      <c r="AA11" s="1144"/>
      <c r="AB11" s="1145"/>
      <c r="AE11" s="1143"/>
      <c r="AF11" s="1144"/>
      <c r="AG11" s="1144"/>
      <c r="AH11" s="1144"/>
      <c r="AI11" s="1144"/>
      <c r="AJ11" s="1144"/>
      <c r="AK11" s="1144"/>
      <c r="AL11" s="1144"/>
      <c r="AM11" s="1144"/>
      <c r="AN11" s="1144"/>
      <c r="AO11" s="1144"/>
      <c r="AP11" s="1144"/>
      <c r="AQ11" s="1144"/>
      <c r="AR11" s="1144"/>
      <c r="AS11" s="1144"/>
      <c r="AT11" s="1144"/>
      <c r="AU11" s="1144"/>
      <c r="AV11" s="1144"/>
      <c r="AW11" s="1144"/>
      <c r="AX11" s="1144"/>
      <c r="AY11" s="1144"/>
      <c r="AZ11" s="1144"/>
      <c r="BA11" s="1144"/>
      <c r="BB11" s="1144"/>
      <c r="BC11" s="1144"/>
      <c r="BD11" s="1144"/>
      <c r="BE11" s="1145"/>
      <c r="BI11" s="271" t="s">
        <v>272</v>
      </c>
      <c r="BJ11" s="632"/>
      <c r="BK11" s="632"/>
      <c r="BL11" s="632"/>
      <c r="BM11" s="632"/>
      <c r="BN11" s="632"/>
      <c r="BO11" s="632"/>
      <c r="BP11" s="632"/>
      <c r="BQ11" s="632"/>
      <c r="BR11" s="632"/>
      <c r="BS11" s="632"/>
      <c r="BT11" s="880"/>
      <c r="BU11" s="880"/>
      <c r="BV11" s="632"/>
    </row>
    <row r="12" spans="2:76" ht="15" customHeight="1">
      <c r="BI12" s="271" t="s">
        <v>273</v>
      </c>
      <c r="BJ12" s="632"/>
      <c r="BK12" s="632"/>
      <c r="BL12" s="632"/>
      <c r="BM12" s="632"/>
      <c r="BN12" s="632"/>
      <c r="BO12" s="632"/>
      <c r="BP12" s="632"/>
      <c r="BQ12" s="632"/>
      <c r="BR12" s="632"/>
      <c r="BS12" s="632"/>
      <c r="BT12" s="880"/>
      <c r="BU12" s="880"/>
      <c r="BV12" s="632"/>
    </row>
    <row r="13" spans="2:76" ht="15" customHeight="1">
      <c r="B13" s="531" t="s">
        <v>14</v>
      </c>
      <c r="C13" s="533"/>
      <c r="D13" s="533"/>
      <c r="E13" s="533"/>
      <c r="F13" s="532"/>
      <c r="G13" s="532"/>
      <c r="H13" s="532"/>
      <c r="I13" s="532"/>
      <c r="J13" s="532"/>
      <c r="K13" s="532"/>
      <c r="L13" s="532"/>
      <c r="M13" s="532"/>
      <c r="N13" s="532"/>
      <c r="O13" s="532"/>
      <c r="P13" s="532"/>
      <c r="Q13" s="532"/>
      <c r="R13" s="532"/>
      <c r="S13" s="532"/>
      <c r="T13" s="532"/>
      <c r="U13" s="532"/>
      <c r="V13" s="532"/>
      <c r="W13" s="532"/>
      <c r="X13" s="532"/>
      <c r="Y13" s="532"/>
      <c r="Z13" s="532"/>
      <c r="AA13" s="532"/>
      <c r="AB13" s="532"/>
      <c r="AE13" s="534" t="s">
        <v>59</v>
      </c>
      <c r="AF13" s="535"/>
      <c r="AG13" s="536"/>
      <c r="AH13" s="537"/>
      <c r="AI13" s="538"/>
      <c r="AJ13" s="538"/>
      <c r="AK13" s="538"/>
      <c r="AL13" s="538"/>
      <c r="AM13" s="538"/>
      <c r="AN13" s="538"/>
      <c r="AO13" s="538"/>
      <c r="AP13" s="538"/>
      <c r="AQ13" s="538"/>
      <c r="AR13" s="538"/>
      <c r="AS13" s="538"/>
      <c r="AT13" s="538"/>
      <c r="AU13" s="538"/>
      <c r="AV13" s="538"/>
      <c r="AW13" s="538"/>
      <c r="AX13" s="538"/>
      <c r="AY13" s="538"/>
      <c r="AZ13" s="538"/>
      <c r="BA13" s="538"/>
      <c r="BB13" s="538"/>
      <c r="BC13" s="538"/>
      <c r="BD13" s="538"/>
      <c r="BE13" s="538"/>
      <c r="BI13" s="271" t="s">
        <v>274</v>
      </c>
      <c r="BJ13" s="632"/>
      <c r="BK13" s="632"/>
      <c r="BL13" s="632"/>
      <c r="BM13" s="632"/>
      <c r="BN13" s="632"/>
      <c r="BO13" s="632"/>
      <c r="BP13" s="632"/>
      <c r="BQ13" s="635"/>
      <c r="BR13" s="632"/>
      <c r="BS13" s="632"/>
      <c r="BT13" s="880"/>
      <c r="BU13" s="880"/>
      <c r="BV13" s="632"/>
    </row>
    <row r="14" spans="2:76" ht="15" customHeight="1">
      <c r="B14" s="302"/>
      <c r="C14" s="302"/>
      <c r="D14" s="302"/>
      <c r="E14" s="302"/>
      <c r="F14" s="302"/>
      <c r="G14" s="302"/>
      <c r="H14" s="302"/>
      <c r="I14" s="303"/>
      <c r="J14" s="303"/>
      <c r="K14" s="304"/>
      <c r="L14" s="302"/>
      <c r="M14" s="302"/>
      <c r="N14" s="305"/>
      <c r="O14" s="302"/>
      <c r="P14" s="302"/>
      <c r="Q14" s="302"/>
      <c r="R14" s="302"/>
      <c r="S14" s="302"/>
      <c r="T14" s="302"/>
      <c r="U14" s="302"/>
      <c r="V14" s="1132"/>
      <c r="W14" s="1132"/>
      <c r="X14" s="302"/>
      <c r="Y14" s="302"/>
      <c r="Z14" s="302"/>
      <c r="AA14" s="302"/>
      <c r="AB14" s="302"/>
      <c r="AE14" s="306"/>
      <c r="AF14" s="302"/>
      <c r="AG14" s="302"/>
      <c r="AH14" s="302"/>
      <c r="AI14" s="302"/>
      <c r="AJ14" s="302"/>
      <c r="AK14" s="307"/>
      <c r="AL14" s="307"/>
      <c r="AM14" s="307"/>
      <c r="AN14" s="307"/>
      <c r="AO14" s="308"/>
      <c r="AP14" s="309"/>
      <c r="AQ14" s="309"/>
      <c r="AR14" s="309"/>
      <c r="AS14" s="307"/>
      <c r="AT14" s="308"/>
      <c r="AU14" s="307"/>
      <c r="AV14" s="307"/>
      <c r="AW14" s="307"/>
      <c r="AX14" s="302"/>
      <c r="AY14" s="302"/>
      <c r="AZ14" s="302"/>
      <c r="BA14" s="302"/>
      <c r="BB14" s="302"/>
      <c r="BC14" s="302"/>
      <c r="BD14" s="302"/>
      <c r="BE14" s="302"/>
      <c r="BI14" s="271" t="s">
        <v>41</v>
      </c>
      <c r="BJ14" s="275">
        <f t="shared" ref="BJ14:BO14" si="1">SUM(BJ6:BJ13)</f>
        <v>16</v>
      </c>
      <c r="BK14" s="275">
        <f t="shared" si="1"/>
        <v>15</v>
      </c>
      <c r="BL14" s="275">
        <f>SUM(BL6:BL13)</f>
        <v>15</v>
      </c>
      <c r="BM14" s="275">
        <f t="shared" si="1"/>
        <v>15</v>
      </c>
      <c r="BN14" s="275">
        <f t="shared" si="1"/>
        <v>15</v>
      </c>
      <c r="BO14" s="275">
        <f t="shared" si="1"/>
        <v>15</v>
      </c>
      <c r="BP14" s="275">
        <f t="shared" ref="BP14:BV14" si="2">SUM(BP6:BP13)</f>
        <v>15</v>
      </c>
      <c r="BQ14" s="275">
        <f t="shared" si="2"/>
        <v>15</v>
      </c>
      <c r="BR14" s="275">
        <f t="shared" si="2"/>
        <v>15</v>
      </c>
      <c r="BS14" s="275">
        <f t="shared" si="2"/>
        <v>15</v>
      </c>
      <c r="BT14" s="275">
        <f t="shared" si="2"/>
        <v>15</v>
      </c>
      <c r="BU14" s="275">
        <f t="shared" si="2"/>
        <v>15</v>
      </c>
      <c r="BV14" s="275">
        <f t="shared" si="2"/>
        <v>15</v>
      </c>
    </row>
    <row r="15" spans="2:76" ht="15" customHeight="1">
      <c r="B15" s="1128" t="s">
        <v>185</v>
      </c>
      <c r="C15" s="1128"/>
      <c r="D15" s="1128"/>
      <c r="E15" s="1128"/>
      <c r="F15" s="1128"/>
      <c r="G15" s="1128"/>
      <c r="I15" s="1128" t="s">
        <v>275</v>
      </c>
      <c r="J15" s="1134"/>
      <c r="K15" s="1134"/>
      <c r="L15" s="1134"/>
      <c r="M15" s="1134"/>
      <c r="N15" s="1134"/>
      <c r="O15" s="1134"/>
      <c r="P15" s="1134"/>
      <c r="Q15" s="1134"/>
      <c r="R15" s="1134"/>
      <c r="S15" s="1134"/>
      <c r="T15" s="1134"/>
      <c r="U15" s="1134"/>
      <c r="V15" s="1134"/>
      <c r="W15" s="310"/>
      <c r="X15" s="1135" t="s">
        <v>360</v>
      </c>
      <c r="Y15" s="1136"/>
      <c r="Z15" s="1136"/>
      <c r="AA15" s="1136"/>
      <c r="AB15" s="1136"/>
      <c r="AE15" s="1128" t="s">
        <v>277</v>
      </c>
      <c r="AF15" s="1128"/>
      <c r="AG15" s="1128"/>
      <c r="AH15" s="1128"/>
      <c r="AI15" s="1128"/>
      <c r="AJ15" s="1128"/>
      <c r="AK15" s="311"/>
      <c r="AL15" s="1129" t="s">
        <v>62</v>
      </c>
      <c r="AM15" s="1129"/>
      <c r="AN15" s="1129"/>
      <c r="AO15" s="1129"/>
      <c r="AP15" s="1128" t="str">
        <f>CONCATENATE(Cover!M36,"+",12-Cover!M36)</f>
        <v>1+11</v>
      </c>
      <c r="AQ15" s="1128"/>
      <c r="AR15" s="311"/>
      <c r="AS15" s="1128" t="s">
        <v>278</v>
      </c>
      <c r="AT15" s="1128"/>
      <c r="AU15" s="1128"/>
      <c r="AV15" s="1128"/>
      <c r="AW15" s="1128"/>
      <c r="AX15" s="1128"/>
      <c r="AY15" s="311"/>
      <c r="AZ15" s="1128" t="s">
        <v>279</v>
      </c>
      <c r="BA15" s="1128"/>
      <c r="BB15" s="1128"/>
      <c r="BC15" s="1128"/>
      <c r="BD15" s="1128"/>
      <c r="BE15" s="1128"/>
      <c r="BV15" s="6"/>
    </row>
    <row r="16" spans="2:76" ht="15" customHeight="1">
      <c r="E16" s="312" t="s">
        <v>263</v>
      </c>
      <c r="G16" s="313">
        <f>SUMIF(BJ4:BV4,BE5,BJ6:BV6)</f>
        <v>16</v>
      </c>
      <c r="I16" s="1112" t="s">
        <v>280</v>
      </c>
      <c r="J16" s="1113"/>
      <c r="K16" s="1113"/>
      <c r="L16" s="1114"/>
      <c r="N16" s="1112" t="s">
        <v>281</v>
      </c>
      <c r="O16" s="1113"/>
      <c r="P16" s="1113"/>
      <c r="Q16" s="1114"/>
      <c r="S16" s="1112" t="s">
        <v>282</v>
      </c>
      <c r="T16" s="1113"/>
      <c r="U16" s="1113"/>
      <c r="V16" s="1114"/>
      <c r="X16" s="314" t="s">
        <v>361</v>
      </c>
      <c r="Y16" s="315"/>
      <c r="Z16" s="316"/>
      <c r="AA16" s="314"/>
      <c r="AB16" s="314"/>
      <c r="AE16" s="311"/>
      <c r="AF16" s="311"/>
      <c r="AG16" s="311"/>
      <c r="AI16" s="311"/>
      <c r="AJ16" s="103" t="s">
        <v>61</v>
      </c>
      <c r="AK16" s="311"/>
      <c r="AL16" s="311"/>
      <c r="AM16" s="311"/>
      <c r="AN16" s="311"/>
      <c r="AO16" s="311"/>
      <c r="AP16" s="311"/>
      <c r="AQ16" s="311"/>
      <c r="AR16" s="311"/>
      <c r="AS16" s="311"/>
      <c r="AT16" s="311"/>
      <c r="AU16" s="311"/>
      <c r="AV16" s="311"/>
      <c r="AW16" s="311"/>
      <c r="AX16" s="311"/>
      <c r="AY16" s="311"/>
      <c r="AZ16" s="311"/>
      <c r="BA16" s="311"/>
      <c r="BB16" s="311"/>
      <c r="BC16" s="311"/>
      <c r="BD16" s="311"/>
      <c r="BE16" s="311"/>
      <c r="BI16" s="271" t="s">
        <v>284</v>
      </c>
      <c r="BJ16" s="635">
        <v>0</v>
      </c>
      <c r="BK16" s="635">
        <v>1</v>
      </c>
      <c r="BL16" s="635"/>
      <c r="BM16" s="635"/>
      <c r="BN16" s="635"/>
      <c r="BO16" s="635"/>
      <c r="BP16" s="635"/>
      <c r="BQ16" s="635"/>
      <c r="BR16" s="635"/>
      <c r="BS16" s="635"/>
      <c r="BT16" s="635"/>
      <c r="BU16" s="635"/>
      <c r="BV16" s="635"/>
    </row>
    <row r="17" spans="2:81" ht="15" customHeight="1">
      <c r="E17" s="312" t="s">
        <v>285</v>
      </c>
      <c r="G17" s="313">
        <f>V20</f>
        <v>-1</v>
      </c>
      <c r="I17" s="317"/>
      <c r="J17" s="312" t="s">
        <v>266</v>
      </c>
      <c r="K17" s="313">
        <f>SUMIF(BJ4:BV4,BE5,BJ7:BV7)</f>
        <v>0</v>
      </c>
      <c r="L17" s="318"/>
      <c r="N17" s="317"/>
      <c r="O17" s="312" t="s">
        <v>286</v>
      </c>
      <c r="P17" s="313">
        <f>SUMIF(BJ4:BV4,BE5,BJ9:BV9)</f>
        <v>-1</v>
      </c>
      <c r="Q17" s="318"/>
      <c r="S17" s="317"/>
      <c r="T17" s="312" t="s">
        <v>286</v>
      </c>
      <c r="U17" s="313">
        <f>SUMIF(BJ4:BV4,BE5,BJ11:BV11)</f>
        <v>0</v>
      </c>
      <c r="V17" s="319"/>
      <c r="X17" s="314" t="s">
        <v>287</v>
      </c>
      <c r="Y17" s="315"/>
      <c r="Z17" s="316"/>
      <c r="AA17" s="314">
        <f>SUMIF(Admin4!$B$5:$B$298,"7972",Admin4!$C$5:$C$298)</f>
        <v>0</v>
      </c>
      <c r="AB17" s="314"/>
      <c r="AE17" s="311"/>
      <c r="AF17" s="311"/>
      <c r="AG17" s="311"/>
      <c r="AI17" s="311"/>
      <c r="AJ17" s="320" t="s">
        <v>63</v>
      </c>
      <c r="AK17" s="311"/>
      <c r="AL17" s="311"/>
      <c r="AM17" s="311"/>
      <c r="AN17" s="1127">
        <f>SUMIF(Admin3!C8:O8,AR!BE5,Admin3!C74:O74)</f>
        <v>0</v>
      </c>
      <c r="AO17" s="1127"/>
      <c r="AP17" s="1127"/>
      <c r="AQ17" s="1127"/>
      <c r="AR17" s="311"/>
      <c r="AS17" s="311"/>
      <c r="AT17" s="311"/>
      <c r="AU17" s="1127">
        <f>SUMIF(Admin3!C8:O8,AR!BE5,Admin3!C78:O78)-SUMIF(Admin3!C8:O8,AR!BE5,Admin3!C74:O74)</f>
        <v>0</v>
      </c>
      <c r="AV17" s="1127"/>
      <c r="AW17" s="1127"/>
      <c r="AX17" s="1127"/>
      <c r="AY17" s="311"/>
      <c r="AZ17" s="311"/>
      <c r="BA17" s="311"/>
      <c r="BB17" s="1127">
        <f>SUMIF(Admin3!C8:O8,AR!BE5,Admin3!C82:O82)-SUMIF(Admin3!C8:O8,AR!BE5,Admin3!C74:O74)</f>
        <v>0</v>
      </c>
      <c r="BC17" s="1127"/>
      <c r="BD17" s="1127"/>
      <c r="BE17" s="1127"/>
      <c r="BI17" s="291"/>
      <c r="BJ17" s="257"/>
      <c r="BK17" s="257"/>
      <c r="BL17" s="257"/>
      <c r="BM17" s="257"/>
      <c r="BN17" s="257"/>
      <c r="BO17" s="257"/>
      <c r="BP17" s="257"/>
      <c r="BQ17" s="257"/>
      <c r="BR17" s="257"/>
      <c r="BS17" s="257"/>
      <c r="BT17" s="257"/>
      <c r="BU17" s="257"/>
      <c r="BV17" s="257"/>
    </row>
    <row r="18" spans="2:81" ht="15" customHeight="1">
      <c r="E18" s="312" t="s">
        <v>240</v>
      </c>
      <c r="G18" s="313">
        <f>SUMIF(BJ4:BV4,BE5,BJ13:BV13)</f>
        <v>0</v>
      </c>
      <c r="I18" s="321"/>
      <c r="J18" s="322" t="s">
        <v>288</v>
      </c>
      <c r="K18" s="323">
        <f>SUMIF(BJ4:BV4,BE5,BJ8:BV8)</f>
        <v>0</v>
      </c>
      <c r="L18" s="324"/>
      <c r="N18" s="321"/>
      <c r="O18" s="322" t="s">
        <v>289</v>
      </c>
      <c r="P18" s="323">
        <f>SUMIF(BJ4:BV4,BE5,BJ10:BV10)</f>
        <v>0</v>
      </c>
      <c r="Q18" s="324"/>
      <c r="S18" s="321"/>
      <c r="T18" s="322" t="s">
        <v>289</v>
      </c>
      <c r="U18" s="323">
        <f>SUMIF(BJ4:BV4,BE5,BJ12:BV12)</f>
        <v>0</v>
      </c>
      <c r="V18" s="325"/>
      <c r="X18" s="314"/>
      <c r="Y18" s="315"/>
      <c r="Z18" s="316"/>
      <c r="AA18" s="314"/>
      <c r="AB18" s="314"/>
      <c r="AE18" s="311"/>
      <c r="AF18" s="311"/>
      <c r="AG18" s="311"/>
      <c r="AH18" s="311"/>
      <c r="AI18" s="326"/>
      <c r="AJ18" s="320" t="s">
        <v>64</v>
      </c>
      <c r="AK18" s="311"/>
      <c r="AL18" s="311"/>
      <c r="AM18" s="311"/>
      <c r="AN18" s="1127">
        <f>SUMIF(Admin3!C8:O8,AR!BE5,Admin3!C75:O75)</f>
        <v>0</v>
      </c>
      <c r="AO18" s="1127"/>
      <c r="AP18" s="1127"/>
      <c r="AQ18" s="1127"/>
      <c r="AR18" s="311"/>
      <c r="AS18" s="311"/>
      <c r="AT18" s="311"/>
      <c r="AU18" s="1127">
        <f>SUMIF(Admin3!C8:O8,AR!BE5,Admin3!C79:O79)-SUMIF(Admin3!C8:O8,AR!BE5,Admin3!C75:O75)</f>
        <v>0</v>
      </c>
      <c r="AV18" s="1127"/>
      <c r="AW18" s="1127"/>
      <c r="AX18" s="1127"/>
      <c r="AY18" s="311"/>
      <c r="AZ18" s="311"/>
      <c r="BA18" s="311"/>
      <c r="BB18" s="1127">
        <f>SUMIF(Admin3!C8:O8,AR!BE5,Admin3!C83:O83)-SUMIF(Admin3!C8:O8,AR!BE5,Admin3!C75:O75)</f>
        <v>0</v>
      </c>
      <c r="BC18" s="1127"/>
      <c r="BD18" s="1127"/>
      <c r="BE18" s="1127"/>
    </row>
    <row r="19" spans="2:81" ht="15" customHeight="1" thickBot="1">
      <c r="E19" s="312" t="s">
        <v>41</v>
      </c>
      <c r="G19" s="327">
        <f>SUM(G16:G18)</f>
        <v>15</v>
      </c>
      <c r="I19" s="326"/>
      <c r="J19" s="326"/>
      <c r="K19" s="326"/>
      <c r="L19" s="326"/>
      <c r="M19" s="326"/>
      <c r="N19" s="326"/>
      <c r="O19" s="326"/>
      <c r="P19" s="326"/>
      <c r="Q19" s="326"/>
      <c r="R19" s="326"/>
      <c r="S19" s="326"/>
      <c r="T19" s="326"/>
      <c r="U19" s="326"/>
      <c r="V19" s="326"/>
      <c r="W19" s="326"/>
      <c r="X19" s="314" t="s">
        <v>290</v>
      </c>
      <c r="Y19" s="315"/>
      <c r="Z19" s="316"/>
      <c r="AA19" s="328"/>
      <c r="AB19" s="328"/>
      <c r="AE19" s="311"/>
      <c r="AF19" s="311"/>
      <c r="AG19" s="311"/>
      <c r="AH19" s="311"/>
      <c r="AJ19" s="320" t="s">
        <v>65</v>
      </c>
      <c r="AN19" s="1152">
        <f>SUM(AN17:AQ18)</f>
        <v>0</v>
      </c>
      <c r="AO19" s="1152"/>
      <c r="AP19" s="1152"/>
      <c r="AQ19" s="1152"/>
      <c r="AU19" s="1152">
        <f>SUM(AU17:AX18)</f>
        <v>0</v>
      </c>
      <c r="AV19" s="1152"/>
      <c r="AW19" s="1152"/>
      <c r="AX19" s="1152"/>
      <c r="BB19" s="1152">
        <f>SUM(BB17:BE18)</f>
        <v>0</v>
      </c>
      <c r="BC19" s="1152"/>
      <c r="BD19" s="1152"/>
      <c r="BE19" s="1152"/>
    </row>
    <row r="20" spans="2:81" ht="15" customHeight="1" thickTop="1" thickBot="1">
      <c r="B20" s="267"/>
      <c r="C20" s="267"/>
      <c r="D20" s="267"/>
      <c r="E20" s="312" t="s">
        <v>39</v>
      </c>
      <c r="G20" s="313">
        <f t="array" ref="G20">SUM(IF((Admin2!$C$6:$O$6=BE5)*(Admin2!$Q$9:$Q$83=BI2)*(Admin2!$B$9:$B$83="Annual Plan"),Admin2!$C$9:$O$83,0))</f>
        <v>16</v>
      </c>
      <c r="H20" s="326"/>
      <c r="I20" s="37" t="s">
        <v>284</v>
      </c>
      <c r="K20" s="326"/>
      <c r="L20" s="326"/>
      <c r="M20" s="329">
        <f>SUMIF(BJ4:BV4,BE5,BJ16:BV16)</f>
        <v>1</v>
      </c>
      <c r="T20" s="330" t="s">
        <v>291</v>
      </c>
      <c r="U20" s="326"/>
      <c r="V20" s="329">
        <f>SUM(K17:K18,P17:P18,U17:U18)</f>
        <v>-1</v>
      </c>
      <c r="X20" s="314" t="s">
        <v>287</v>
      </c>
      <c r="Y20" s="315"/>
      <c r="Z20" s="316"/>
      <c r="AA20" s="314">
        <f>SUMIF(Admin4!$B$5:$B$298,"7972",Admin4!$D$5:$D$298)</f>
        <v>0</v>
      </c>
      <c r="AB20" s="314"/>
      <c r="AC20" s="326"/>
      <c r="AD20" s="326"/>
      <c r="AE20" s="305"/>
      <c r="AF20" s="305"/>
      <c r="AG20" s="305"/>
      <c r="AH20" s="305"/>
      <c r="BI20" s="272" t="s">
        <v>245</v>
      </c>
      <c r="BJ20" s="276"/>
      <c r="BK20" s="276"/>
      <c r="BL20" s="276"/>
      <c r="BM20" s="276"/>
      <c r="BN20" s="276"/>
      <c r="BO20" s="276"/>
      <c r="BP20" s="276"/>
      <c r="BQ20" s="276"/>
      <c r="BR20" s="276"/>
      <c r="BS20" s="276"/>
      <c r="BT20" s="396"/>
      <c r="BU20" s="276"/>
    </row>
    <row r="21" spans="2:81" ht="15" customHeight="1" thickTop="1" thickBot="1">
      <c r="B21" s="267"/>
      <c r="C21" s="267"/>
      <c r="D21" s="267"/>
      <c r="E21" s="312" t="s">
        <v>40</v>
      </c>
      <c r="F21" s="326"/>
      <c r="G21" s="327">
        <f t="array" ref="G21">SUM(IF((Admin2!$C$6:$O$6=BE5)*(Admin2!$Q$9:$Q$61=BI2)*(Admin2!$B$9:$B$61="Forecast"),Admin2!$C$9:$O$61,0))</f>
        <v>16</v>
      </c>
      <c r="H21" s="326"/>
      <c r="X21" s="314"/>
      <c r="Y21" s="315"/>
      <c r="Z21" s="316"/>
      <c r="AA21" s="314"/>
      <c r="AB21" s="314"/>
      <c r="AE21" s="302"/>
      <c r="AF21" s="302"/>
      <c r="AG21" s="302"/>
      <c r="AH21" s="302"/>
      <c r="AI21" s="311"/>
      <c r="AJ21" s="103" t="s">
        <v>23</v>
      </c>
      <c r="AK21" s="311"/>
      <c r="AL21" s="311"/>
      <c r="AM21" s="311"/>
      <c r="AN21" s="311"/>
      <c r="AO21" s="311"/>
      <c r="AP21" s="311"/>
      <c r="AQ21" s="311"/>
      <c r="AR21" s="311"/>
      <c r="AS21" s="311"/>
      <c r="AT21" s="311"/>
      <c r="AU21" s="311"/>
      <c r="AV21" s="311"/>
      <c r="AW21" s="311"/>
      <c r="AX21" s="311"/>
      <c r="AY21" s="311"/>
      <c r="AZ21" s="311"/>
      <c r="BA21" s="311"/>
      <c r="BB21" s="311"/>
      <c r="BC21" s="311"/>
      <c r="BD21" s="311"/>
      <c r="BE21" s="311"/>
      <c r="BI21" s="54" t="s">
        <v>292</v>
      </c>
      <c r="BJ21" s="1116" t="s">
        <v>135</v>
      </c>
      <c r="BK21" s="1116"/>
      <c r="BL21" s="1116"/>
      <c r="BM21" s="1116"/>
      <c r="BN21" s="1116"/>
      <c r="BO21" s="1116"/>
      <c r="BP21" s="1116"/>
      <c r="BQ21" s="1116"/>
      <c r="BR21" s="1116"/>
      <c r="BS21" s="1116"/>
      <c r="BT21" s="1116"/>
      <c r="BU21" s="1116"/>
    </row>
    <row r="22" spans="2:81" ht="15" customHeight="1" thickTop="1" thickBot="1">
      <c r="B22" s="267"/>
      <c r="C22" s="267"/>
      <c r="D22" s="267"/>
      <c r="E22" s="312" t="s">
        <v>294</v>
      </c>
      <c r="F22" s="326"/>
      <c r="G22" s="327">
        <f>$G$20-$G$19</f>
        <v>1</v>
      </c>
      <c r="H22" s="326"/>
      <c r="K22" s="326"/>
      <c r="L22" s="326"/>
      <c r="U22" s="326"/>
      <c r="V22" s="326"/>
      <c r="W22" s="326"/>
      <c r="X22" s="314" t="s">
        <v>295</v>
      </c>
      <c r="Y22" s="315"/>
      <c r="Z22" s="316"/>
      <c r="AA22" s="328"/>
      <c r="AB22" s="331"/>
      <c r="AE22" s="302"/>
      <c r="AF22" s="302"/>
      <c r="AG22" s="302"/>
      <c r="AH22" s="302"/>
      <c r="AI22" s="311"/>
      <c r="AJ22" s="320" t="s">
        <v>63</v>
      </c>
      <c r="AK22" s="311"/>
      <c r="AL22" s="311"/>
      <c r="AM22" s="311"/>
      <c r="AN22" s="1127">
        <f>SUMIF(Admin3!C8:O8,AR!BE5,Admin3!C87:O87)</f>
        <v>0</v>
      </c>
      <c r="AO22" s="1127"/>
      <c r="AP22" s="1127"/>
      <c r="AQ22" s="1127"/>
      <c r="AR22" s="311"/>
      <c r="AS22" s="311"/>
      <c r="AT22" s="311"/>
      <c r="AU22" s="1127">
        <f>SUMIF(Admin3!C8:O8,AR!BE5,Admin3!C91:O91)-SUMIF(Admin3!C8:O8,AR!BE5,Admin3!C87:O87)</f>
        <v>0</v>
      </c>
      <c r="AV22" s="1127"/>
      <c r="AW22" s="1127"/>
      <c r="AX22" s="1127"/>
      <c r="AY22" s="311"/>
      <c r="AZ22" s="311"/>
      <c r="BA22" s="311"/>
      <c r="BB22" s="1127">
        <f>SUMIF(Admin3!C8:O8,AR!BE5,Admin3!C95:O95)-SUMIF(Admin3!C8:O8,AR!BE5,Admin3!C87:O87)</f>
        <v>0</v>
      </c>
      <c r="BC22" s="1127"/>
      <c r="BD22" s="1127"/>
      <c r="BE22" s="1127"/>
      <c r="BI22" s="54" t="s">
        <v>296</v>
      </c>
      <c r="BJ22" s="1233" t="s">
        <v>394</v>
      </c>
      <c r="BK22" s="1233"/>
      <c r="BL22" s="1233"/>
      <c r="BM22" s="1233"/>
      <c r="BN22" s="1233"/>
      <c r="BO22" s="1233"/>
      <c r="BP22" s="1233"/>
      <c r="BQ22" s="1233"/>
      <c r="BR22" s="1233"/>
      <c r="BS22" s="1233"/>
      <c r="BT22" s="1233"/>
      <c r="BU22" s="1233"/>
    </row>
    <row r="23" spans="2:81" ht="15" customHeight="1" thickTop="1" thickBot="1">
      <c r="B23" s="267"/>
      <c r="C23" s="267"/>
      <c r="D23" s="267"/>
      <c r="E23" s="312" t="s">
        <v>298</v>
      </c>
      <c r="F23" s="326"/>
      <c r="G23" s="327">
        <f>$G$21-$G$19</f>
        <v>1</v>
      </c>
      <c r="H23" s="326"/>
      <c r="I23" s="96"/>
      <c r="J23" s="96"/>
      <c r="K23" s="326"/>
      <c r="L23" s="326"/>
      <c r="U23" s="326"/>
      <c r="V23" s="326"/>
      <c r="W23" s="326"/>
      <c r="X23" s="314" t="s">
        <v>299</v>
      </c>
      <c r="Y23" s="315"/>
      <c r="Z23" s="316"/>
      <c r="AA23" s="314">
        <f>SUMIF(Admin4!$L$5:$L$298,"7972",Admin4!$N$5:$N$298)</f>
        <v>0</v>
      </c>
      <c r="AB23" s="331"/>
      <c r="AE23" s="302"/>
      <c r="AF23" s="302"/>
      <c r="AG23" s="302"/>
      <c r="AH23" s="302"/>
      <c r="AI23" s="302"/>
      <c r="AJ23" s="320" t="s">
        <v>64</v>
      </c>
      <c r="AK23" s="311"/>
      <c r="AL23" s="311"/>
      <c r="AM23" s="311"/>
      <c r="AN23" s="1127">
        <f>SUMIF(Admin3!C8:O8,AR!BE5,Admin3!C88:O88)</f>
        <v>0</v>
      </c>
      <c r="AO23" s="1127"/>
      <c r="AP23" s="1127"/>
      <c r="AQ23" s="1127"/>
      <c r="AR23" s="311"/>
      <c r="AS23" s="311"/>
      <c r="AT23" s="311"/>
      <c r="AU23" s="1127">
        <f>SUMIF(Admin3!C8:O8,AR!BE5,Admin3!C92:O92)-SUMIF(Admin3!C8:O8,AR!BE5,Admin3!C88:O88)</f>
        <v>0</v>
      </c>
      <c r="AV23" s="1127"/>
      <c r="AW23" s="1127"/>
      <c r="AX23" s="1127"/>
      <c r="AY23" s="311"/>
      <c r="AZ23" s="311"/>
      <c r="BA23" s="311"/>
      <c r="BB23" s="1127">
        <f>SUMIF(Admin3!C8:O8,AR!BE5,Admin3!C96:O96)-SUMIF(Admin3!C8:O8,AR!BE5,Admin3!C88:O88)</f>
        <v>0</v>
      </c>
      <c r="BC23" s="1127"/>
      <c r="BD23" s="1127"/>
      <c r="BE23" s="1127"/>
      <c r="BI23" s="54" t="s">
        <v>300</v>
      </c>
      <c r="BJ23" s="1233" t="s">
        <v>395</v>
      </c>
      <c r="BK23" s="1233"/>
      <c r="BL23" s="1233"/>
      <c r="BM23" s="1233"/>
      <c r="BN23" s="1233"/>
      <c r="BO23" s="1233"/>
      <c r="BP23" s="1233"/>
      <c r="BQ23" s="1233"/>
      <c r="BR23" s="1233"/>
      <c r="BS23" s="1233"/>
      <c r="BT23" s="1233"/>
      <c r="BU23" s="1233"/>
    </row>
    <row r="24" spans="2:81" ht="15" customHeight="1" thickTop="1" thickBot="1">
      <c r="B24" s="267"/>
      <c r="C24" s="267"/>
      <c r="D24" s="267"/>
      <c r="E24" s="312"/>
      <c r="F24" s="326"/>
      <c r="G24" s="96"/>
      <c r="H24" s="326"/>
      <c r="I24" s="96"/>
      <c r="J24" s="96"/>
      <c r="K24" s="326"/>
      <c r="L24" s="326"/>
      <c r="U24" s="326"/>
      <c r="V24" s="326"/>
      <c r="W24" s="326"/>
      <c r="X24" s="239"/>
      <c r="Y24" s="239"/>
      <c r="Z24" s="240"/>
      <c r="AA24" s="239"/>
      <c r="AB24" s="241"/>
      <c r="AE24" s="302"/>
      <c r="AF24" s="302"/>
      <c r="AG24" s="302"/>
      <c r="AH24" s="302"/>
      <c r="AI24" s="302"/>
      <c r="AJ24" s="320" t="s">
        <v>65</v>
      </c>
      <c r="AK24" s="311"/>
      <c r="AL24" s="311"/>
      <c r="AM24" s="311"/>
      <c r="AN24" s="1152">
        <f>SUM(AN22:AQ23)</f>
        <v>0</v>
      </c>
      <c r="AO24" s="1152"/>
      <c r="AP24" s="1152"/>
      <c r="AQ24" s="1152"/>
      <c r="AR24" s="311"/>
      <c r="AS24" s="311"/>
      <c r="AT24" s="311"/>
      <c r="AU24" s="1152">
        <f>SUM(AU22:AX23)</f>
        <v>0</v>
      </c>
      <c r="AV24" s="1152"/>
      <c r="AW24" s="1152"/>
      <c r="AX24" s="1152"/>
      <c r="AY24" s="311"/>
      <c r="AZ24" s="311"/>
      <c r="BA24" s="311"/>
      <c r="BB24" s="1152">
        <f>SUM(BB22:BE23)</f>
        <v>0</v>
      </c>
      <c r="BC24" s="1152"/>
      <c r="BD24" s="1152"/>
      <c r="BE24" s="1152"/>
      <c r="BI24" s="277"/>
      <c r="BJ24" s="277"/>
      <c r="BK24" s="277"/>
      <c r="BL24" s="1148" t="s">
        <v>302</v>
      </c>
      <c r="BM24" s="1149"/>
      <c r="BN24" s="1149"/>
      <c r="BO24" s="1149"/>
      <c r="BP24" s="1151"/>
      <c r="BQ24" s="1148" t="s">
        <v>719</v>
      </c>
      <c r="BR24" s="1149"/>
      <c r="BS24" s="1149"/>
      <c r="BT24" s="1149"/>
      <c r="BU24" s="1150"/>
      <c r="BW24" s="1148" t="s">
        <v>303</v>
      </c>
      <c r="BX24" s="1149"/>
      <c r="BY24" s="1149"/>
      <c r="BZ24" s="1149"/>
      <c r="CA24" s="1149"/>
      <c r="CB24" s="1149"/>
      <c r="CC24" s="1150"/>
    </row>
    <row r="25" spans="2:81" ht="15" customHeight="1" thickTop="1">
      <c r="B25" s="267"/>
      <c r="C25" s="267"/>
      <c r="D25" s="267"/>
      <c r="E25" s="312"/>
      <c r="F25" s="326"/>
      <c r="G25" s="95">
        <f>G26-SUM($G$16:$G$18)</f>
        <v>0</v>
      </c>
      <c r="H25" s="326"/>
      <c r="I25" s="96" t="str">
        <f>IF(G25&lt;&gt;0,"There is a variance in reported ending EEs.","")</f>
        <v/>
      </c>
      <c r="J25" s="96"/>
      <c r="K25" s="326"/>
      <c r="L25" s="326"/>
      <c r="U25" s="326"/>
      <c r="V25" s="326"/>
      <c r="W25" s="326"/>
      <c r="X25" s="326"/>
      <c r="Y25" s="326"/>
      <c r="Z25" s="320"/>
      <c r="AA25" s="326"/>
      <c r="AB25" s="332"/>
      <c r="AE25" s="302"/>
      <c r="AF25" s="302"/>
      <c r="AG25" s="302"/>
      <c r="AH25" s="302"/>
      <c r="AI25" s="302"/>
      <c r="AJ25" s="320"/>
      <c r="AK25" s="311"/>
      <c r="AL25" s="311"/>
      <c r="AM25" s="311"/>
      <c r="AN25" s="333"/>
      <c r="AO25" s="333"/>
      <c r="AP25" s="333"/>
      <c r="AQ25" s="333"/>
      <c r="AR25" s="311"/>
      <c r="AS25" s="311"/>
      <c r="AT25" s="311"/>
      <c r="AU25" s="333"/>
      <c r="AV25" s="333"/>
      <c r="AW25" s="333"/>
      <c r="AX25" s="333"/>
      <c r="AY25" s="311"/>
      <c r="AZ25" s="311"/>
      <c r="BA25" s="311"/>
      <c r="BB25" s="333"/>
      <c r="BC25" s="333"/>
      <c r="BD25" s="333"/>
      <c r="BE25" s="333"/>
      <c r="BI25" s="839" t="s">
        <v>23</v>
      </c>
      <c r="BJ25" s="839" t="s">
        <v>37</v>
      </c>
      <c r="BK25" s="839" t="s">
        <v>304</v>
      </c>
      <c r="BL25" s="838" t="s">
        <v>305</v>
      </c>
      <c r="BM25" s="838" t="s">
        <v>310</v>
      </c>
      <c r="BN25" s="838" t="s">
        <v>311</v>
      </c>
      <c r="BO25" s="278" t="s">
        <v>312</v>
      </c>
      <c r="BP25" s="838" t="s">
        <v>313</v>
      </c>
      <c r="BQ25" s="838" t="s">
        <v>305</v>
      </c>
      <c r="BR25" s="838" t="s">
        <v>715</v>
      </c>
      <c r="BS25" s="838" t="s">
        <v>716</v>
      </c>
      <c r="BT25" s="278" t="s">
        <v>717</v>
      </c>
      <c r="BU25" s="838" t="s">
        <v>718</v>
      </c>
      <c r="BW25" s="279" t="s">
        <v>314</v>
      </c>
      <c r="BX25" s="279" t="s">
        <v>23</v>
      </c>
      <c r="BY25" s="279" t="s">
        <v>315</v>
      </c>
      <c r="BZ25" s="279" t="s">
        <v>122</v>
      </c>
      <c r="CA25" s="279" t="s">
        <v>316</v>
      </c>
      <c r="CB25" s="279" t="s">
        <v>317</v>
      </c>
      <c r="CC25" s="279" t="s">
        <v>318</v>
      </c>
    </row>
    <row r="26" spans="2:81" ht="15" customHeight="1">
      <c r="B26" s="267"/>
      <c r="C26" s="267"/>
      <c r="D26" s="267"/>
      <c r="E26" s="312"/>
      <c r="F26" s="326"/>
      <c r="G26" s="95">
        <f t="array" ref="G26">SUM(IF((Admin2!$C$6:$O$6=$BE$5)*(Admin2!$Q$9:$Q$61=$BI$2)*(Admin2!$B$9:$B$61="Ending EEs"),Admin2!$C$9:$O$61,0))</f>
        <v>15</v>
      </c>
      <c r="H26" s="326"/>
      <c r="I26" s="96" t="str">
        <f>IF(G26&lt;&gt;0,"Ending headcount per Kronos/HCMS.","")</f>
        <v>Ending headcount per Kronos/HCMS.</v>
      </c>
      <c r="J26" s="96"/>
      <c r="K26" s="326"/>
      <c r="L26" s="326"/>
      <c r="U26" s="326"/>
      <c r="V26" s="326"/>
      <c r="W26" s="326"/>
      <c r="X26" s="326"/>
      <c r="Y26" s="326"/>
      <c r="Z26" s="320"/>
      <c r="AA26" s="326"/>
      <c r="AB26" s="332"/>
      <c r="AE26" s="302"/>
      <c r="AF26" s="302"/>
      <c r="AG26" s="302"/>
      <c r="AH26" s="302"/>
      <c r="AI26" s="302"/>
      <c r="AJ26" s="320"/>
      <c r="AK26" s="311"/>
      <c r="AL26" s="311"/>
      <c r="AM26" s="311"/>
      <c r="AN26" s="333"/>
      <c r="AO26" s="333"/>
      <c r="AP26" s="333"/>
      <c r="AQ26" s="333"/>
      <c r="AR26" s="311"/>
      <c r="AS26" s="311"/>
      <c r="AT26" s="311"/>
      <c r="AU26" s="333"/>
      <c r="AV26" s="333"/>
      <c r="AW26" s="333"/>
      <c r="AX26" s="333"/>
      <c r="AY26" s="311"/>
      <c r="AZ26" s="311"/>
      <c r="BA26" s="311"/>
      <c r="BB26" s="333"/>
      <c r="BC26" s="333"/>
      <c r="BD26" s="333"/>
      <c r="BE26" s="333"/>
      <c r="BI26" s="884" t="s">
        <v>319</v>
      </c>
      <c r="BJ26" s="884">
        <v>1</v>
      </c>
      <c r="BK26" s="884" t="s">
        <v>320</v>
      </c>
      <c r="BL26" s="885">
        <v>5.48</v>
      </c>
      <c r="BM26" s="885">
        <v>97.474999999999994</v>
      </c>
      <c r="BN26" s="886">
        <f>IF(BM26="","",BL26/BM26)</f>
        <v>5.6219543472685311E-2</v>
      </c>
      <c r="BO26" s="289">
        <f>IF(SUM(BM26:BM28=0),0,SUM(BL26:BL28)/SUM(BM26:BM28))</f>
        <v>6.9231876902822342E-2</v>
      </c>
      <c r="BP26" s="888">
        <v>0.02</v>
      </c>
      <c r="BQ26" s="885">
        <v>5.1360000000000001</v>
      </c>
      <c r="BR26" s="885">
        <v>109.11199999999999</v>
      </c>
      <c r="BS26" s="886">
        <f>IF(BR26="","",BQ26/BR26)</f>
        <v>4.7070899626072298E-2</v>
      </c>
      <c r="BT26" s="289">
        <f>IF(SUM(BR26:BR28=0),0,SUM(BQ26:BQ28)/SUM(BR26:BR28))</f>
        <v>4.7070899626072298E-2</v>
      </c>
      <c r="BU26" s="888">
        <v>0.02</v>
      </c>
      <c r="BX26" s="666" t="str">
        <f t="shared" ref="BX26:BX28" si="3">TEXT(CONCATENATE(CC26,"/01/20",CB26),"MMM")</f>
        <v>Oct</v>
      </c>
      <c r="BY26" s="643">
        <f>IF(CB26=$CB$38,SUMIF($BI$26:$BI$37,$BX26,$BR$26:$BR$37),SUMIF($BI$26:$BI$37,$BX26,$BM$26:$BM$37))</f>
        <v>97.474999999999994</v>
      </c>
      <c r="BZ26" s="821">
        <f>IF(IF(CB26=CB38,SUMIF(BI26:BI37,$BX26,BU26:BU37),SUMIF(BI26:BI37,$BX26,BP26:BP37))=0,NA(),IF(CB26=CB38,SUMIF(BI26:BI37,$BX26,BU26:BU37),SUMIF(BI26:BI37,$BX26,BP26:BP37)))</f>
        <v>0.02</v>
      </c>
      <c r="CA26" s="644">
        <f>IF(IF(CB26=CB38,SUMIF(BI26:BI37,$BX26,BS26:BS37),SUMIF(BI26:BI37,$BX26,BN26:BN37))=0,NA(),IF(CB26=CB38,SUMIF(BI26:BI37,$BX26,BS26:BS37),SUMIF(BI26:BI37,$BX26,BN26:BN37)))</f>
        <v>5.6219543472685311E-2</v>
      </c>
      <c r="CB26" s="645">
        <v>23</v>
      </c>
      <c r="CC26" s="645">
        <f t="shared" ref="CC26:CC36" si="4">IF(CC27-1&lt;1,CC27+11,CC27-1)</f>
        <v>10</v>
      </c>
    </row>
    <row r="27" spans="2:81" ht="15" customHeight="1">
      <c r="B27" s="267"/>
      <c r="C27" s="267"/>
      <c r="D27" s="267"/>
      <c r="E27" s="312"/>
      <c r="F27" s="326"/>
      <c r="G27" s="312"/>
      <c r="H27" s="312"/>
      <c r="I27" s="312"/>
      <c r="J27" s="312"/>
      <c r="K27" s="312"/>
      <c r="L27" s="326"/>
      <c r="U27" s="326"/>
      <c r="V27" s="326"/>
      <c r="W27" s="326"/>
      <c r="X27" s="326"/>
      <c r="Y27" s="326"/>
      <c r="Z27" s="320"/>
      <c r="AA27" s="326"/>
      <c r="AB27" s="332"/>
      <c r="AE27" s="302"/>
      <c r="AF27" s="302"/>
      <c r="AG27" s="302"/>
      <c r="AH27" s="302"/>
      <c r="AI27" s="302"/>
      <c r="AJ27" s="320"/>
      <c r="AK27" s="311"/>
      <c r="AL27" s="311"/>
      <c r="AM27" s="311"/>
      <c r="AN27" s="333"/>
      <c r="AO27" s="333"/>
      <c r="AP27" s="333"/>
      <c r="AQ27" s="333"/>
      <c r="AR27" s="311"/>
      <c r="AS27" s="311"/>
      <c r="AT27" s="311"/>
      <c r="AU27" s="333"/>
      <c r="AV27" s="333"/>
      <c r="AW27" s="333"/>
      <c r="AX27" s="333"/>
      <c r="AY27" s="311"/>
      <c r="AZ27" s="311"/>
      <c r="BA27" s="311"/>
      <c r="BB27" s="333"/>
      <c r="BC27" s="333"/>
      <c r="BD27" s="333"/>
      <c r="BE27" s="333"/>
      <c r="BI27" s="884" t="s">
        <v>321</v>
      </c>
      <c r="BJ27" s="884">
        <v>2</v>
      </c>
      <c r="BK27" s="884" t="s">
        <v>320</v>
      </c>
      <c r="BL27" s="885">
        <v>6.7190000000000003</v>
      </c>
      <c r="BM27" s="885">
        <v>100.023</v>
      </c>
      <c r="BN27" s="886">
        <f t="shared" ref="BN27:BN37" si="5">IF(BM27="","",BL27/BM27)</f>
        <v>6.7174549853533688E-2</v>
      </c>
      <c r="BO27" s="290"/>
      <c r="BP27" s="888">
        <v>0.02</v>
      </c>
      <c r="BQ27" s="885"/>
      <c r="BR27" s="885"/>
      <c r="BS27" s="886" t="str">
        <f t="shared" ref="BS27:BS37" si="6">IF(BR27="","",BQ27/BR27)</f>
        <v/>
      </c>
      <c r="BT27" s="290"/>
      <c r="BU27" s="888">
        <v>0.02</v>
      </c>
      <c r="BX27" s="666" t="str">
        <f t="shared" si="3"/>
        <v>Nov</v>
      </c>
      <c r="BY27" s="643">
        <f t="shared" ref="BY27:BY37" si="7">IF(CB27=$CB$38,SUMIF($BI$26:$BI$37,$BX27,$BR$26:$BR$37),SUMIF($BI$26:$BI$37,$BX27,$BM$26:$BM$37))</f>
        <v>100.023</v>
      </c>
      <c r="BZ27" s="821">
        <f>IF(IF(CB27=CB38,SUMIF(BI26:BI37,$BX27,BU26:BU37),SUMIF(BI26:BI37,$BX27,BP26:BP37))=0,NA(),IF(CB27=CB38,SUMIF(BI26:BI37,$BX27,BU26:BU37),SUMIF(BI26:BI37,$BX27,BP26:BP37)))</f>
        <v>0.02</v>
      </c>
      <c r="CA27" s="644">
        <f>IF(IF(CB27=CB38,SUMIF(BI26:BI37,$BX27,BS26:BS37),SUMIF(BI26:BI37,$BX27,BN26:BN37))=0,NA(),IF(CB27=CB38,SUMIF(BI26:BI37,$BX27,BS26:BS37),SUMIF(BI26:BI37,$BX27,BN26:BN37)))</f>
        <v>6.7174549853533688E-2</v>
      </c>
      <c r="CB27" s="645">
        <v>23</v>
      </c>
      <c r="CC27" s="645">
        <f t="shared" si="4"/>
        <v>11</v>
      </c>
    </row>
    <row r="28" spans="2:81" ht="15" customHeight="1">
      <c r="B28" s="267" t="s">
        <v>242</v>
      </c>
      <c r="C28" s="267"/>
      <c r="D28" s="267"/>
      <c r="E28" s="334"/>
      <c r="F28" s="326"/>
      <c r="G28" s="326"/>
      <c r="H28" s="326"/>
      <c r="I28" s="326"/>
      <c r="J28" s="326"/>
      <c r="K28" s="326"/>
      <c r="L28" s="326"/>
      <c r="M28" s="326"/>
      <c r="N28" s="326"/>
      <c r="O28" s="326"/>
      <c r="P28" s="326"/>
      <c r="Q28" s="326"/>
      <c r="R28" s="326"/>
      <c r="S28" s="326"/>
      <c r="T28" s="326"/>
      <c r="U28" s="326"/>
      <c r="V28" s="326"/>
      <c r="W28" s="326"/>
      <c r="X28" s="326"/>
      <c r="Y28" s="326"/>
      <c r="Z28" s="326"/>
      <c r="AA28" s="326"/>
      <c r="AB28" s="326"/>
      <c r="AE28" s="267" t="s">
        <v>242</v>
      </c>
      <c r="AF28" s="267"/>
      <c r="AG28" s="267"/>
      <c r="AH28" s="334"/>
      <c r="AI28" s="326"/>
      <c r="AJ28" s="326"/>
      <c r="AK28" s="326"/>
      <c r="AL28" s="326"/>
      <c r="AM28" s="326"/>
      <c r="AN28" s="326"/>
      <c r="AO28" s="326"/>
      <c r="AP28" s="326"/>
      <c r="AQ28" s="326"/>
      <c r="AR28" s="326"/>
      <c r="AS28" s="326"/>
      <c r="AT28" s="326"/>
      <c r="AU28" s="326"/>
      <c r="AV28" s="326"/>
      <c r="AW28" s="326"/>
      <c r="AX28" s="326"/>
      <c r="AY28" s="326"/>
      <c r="AZ28" s="326"/>
      <c r="BA28" s="326"/>
      <c r="BB28" s="326"/>
      <c r="BC28" s="326"/>
      <c r="BD28" s="326"/>
      <c r="BE28" s="326"/>
      <c r="BI28" s="884" t="s">
        <v>322</v>
      </c>
      <c r="BJ28" s="884">
        <v>3</v>
      </c>
      <c r="BK28" s="884" t="s">
        <v>320</v>
      </c>
      <c r="BL28" s="885">
        <v>7.9939999999999998</v>
      </c>
      <c r="BM28" s="885">
        <v>94.174000000000007</v>
      </c>
      <c r="BN28" s="886">
        <f t="shared" si="5"/>
        <v>8.4885424851869937E-2</v>
      </c>
      <c r="BO28" s="290"/>
      <c r="BP28" s="888">
        <v>0.02</v>
      </c>
      <c r="BQ28" s="885"/>
      <c r="BR28" s="885"/>
      <c r="BS28" s="886" t="str">
        <f t="shared" si="6"/>
        <v/>
      </c>
      <c r="BT28" s="290"/>
      <c r="BU28" s="888">
        <v>0.02</v>
      </c>
      <c r="BX28" s="666" t="str">
        <f t="shared" si="3"/>
        <v>Dec</v>
      </c>
      <c r="BY28" s="643">
        <f t="shared" si="7"/>
        <v>94.174000000000007</v>
      </c>
      <c r="BZ28" s="821">
        <f>IF(IF(CB28=CB38,SUMIF(BI26:BI37,$BX28,BU26:BU37),SUMIF(BI26:BI37,$BX28,BP26:BP37))=0,NA(),IF(CB28=CB38,SUMIF(BI26:BI37,$BX28,BU26:BU37),SUMIF(BI26:BI37,$BX28,BP26:BP37)))</f>
        <v>0.02</v>
      </c>
      <c r="CA28" s="644">
        <f>IF(IF(CB28=CB38,SUMIF(BI26:BI37,$BX28,BS26:BS37),SUMIF(BI26:BI37,$BX28,BN26:BN37))=0,NA(),IF(CB28=CB38,SUMIF(BI26:BI37,$BX28,BS26:BS37),SUMIF(BI26:BI37,$BX28,BN26:BN37)))</f>
        <v>8.4885424851869937E-2</v>
      </c>
      <c r="CB28" s="645">
        <v>23</v>
      </c>
      <c r="CC28" s="645">
        <f t="shared" si="4"/>
        <v>12</v>
      </c>
    </row>
    <row r="29" spans="2:81" ht="15" customHeight="1">
      <c r="B29" s="1191" t="s">
        <v>747</v>
      </c>
      <c r="C29" s="1138"/>
      <c r="D29" s="1138"/>
      <c r="E29" s="1138"/>
      <c r="F29" s="1138"/>
      <c r="G29" s="1138"/>
      <c r="H29" s="1138"/>
      <c r="I29" s="1138"/>
      <c r="J29" s="1138"/>
      <c r="K29" s="1138"/>
      <c r="L29" s="1138"/>
      <c r="M29" s="1138"/>
      <c r="N29" s="1138"/>
      <c r="O29" s="1138"/>
      <c r="P29" s="1138"/>
      <c r="Q29" s="1138"/>
      <c r="R29" s="1138"/>
      <c r="S29" s="1138"/>
      <c r="T29" s="1138"/>
      <c r="U29" s="1138"/>
      <c r="V29" s="1138"/>
      <c r="W29" s="1138"/>
      <c r="X29" s="1138"/>
      <c r="Y29" s="1138"/>
      <c r="Z29" s="1138"/>
      <c r="AA29" s="1138"/>
      <c r="AB29" s="1139"/>
      <c r="AC29"/>
      <c r="AD29"/>
      <c r="AE29" s="1191" t="s">
        <v>396</v>
      </c>
      <c r="AF29" s="1138"/>
      <c r="AG29" s="1138"/>
      <c r="AH29" s="1138"/>
      <c r="AI29" s="1138"/>
      <c r="AJ29" s="1138"/>
      <c r="AK29" s="1138"/>
      <c r="AL29" s="1138"/>
      <c r="AM29" s="1138"/>
      <c r="AN29" s="1138"/>
      <c r="AO29" s="1138"/>
      <c r="AP29" s="1138"/>
      <c r="AQ29" s="1138"/>
      <c r="AR29" s="1138"/>
      <c r="AS29" s="1138"/>
      <c r="AT29" s="1138"/>
      <c r="AU29" s="1138"/>
      <c r="AV29" s="1138"/>
      <c r="AW29" s="1138"/>
      <c r="AX29" s="1138"/>
      <c r="AY29" s="1138"/>
      <c r="AZ29" s="1138"/>
      <c r="BA29" s="1138"/>
      <c r="BB29" s="1138"/>
      <c r="BC29" s="1138"/>
      <c r="BD29" s="1138"/>
      <c r="BE29" s="1139"/>
      <c r="BI29" s="884" t="s">
        <v>323</v>
      </c>
      <c r="BJ29" s="884">
        <v>4</v>
      </c>
      <c r="BK29" s="884" t="s">
        <v>324</v>
      </c>
      <c r="BL29" s="885">
        <v>4.8120000000000003</v>
      </c>
      <c r="BM29" s="885">
        <v>88.14</v>
      </c>
      <c r="BN29" s="886">
        <f t="shared" si="5"/>
        <v>5.4594962559564329E-2</v>
      </c>
      <c r="BO29" s="289">
        <f>IF(SUM(BM29:BM31=0),0,SUM(BL29:BL31)/SUM(BM29:BM31))</f>
        <v>7.1179785954024452E-2</v>
      </c>
      <c r="BP29" s="888">
        <v>0.02</v>
      </c>
      <c r="BQ29" s="885"/>
      <c r="BR29" s="885"/>
      <c r="BS29" s="886" t="str">
        <f t="shared" si="6"/>
        <v/>
      </c>
      <c r="BT29" s="289">
        <f>IF(SUM(BR29:BR31=0),0,SUM(BQ29:BQ31)/SUM(BR29:BR31))</f>
        <v>0</v>
      </c>
      <c r="BU29" s="888">
        <v>0.02</v>
      </c>
      <c r="BX29" s="666" t="str">
        <f t="shared" ref="BX29:BX37" si="8">TEXT(CONCATENATE(CC29,"/01/20",CB29),"MMM")</f>
        <v>Jan</v>
      </c>
      <c r="BY29" s="643">
        <f t="shared" si="7"/>
        <v>88.14</v>
      </c>
      <c r="BZ29" s="821">
        <f>IF(IF(CB29=CB38,SUMIF(BI26:BI37,$BX29,BU26:BU37),SUMIF(BI26:BI37,$BX29,BP26:BP37))=0,NA(),IF(CB29=CB38,SUMIF(BI26:BI37,$BX29,BU26:BU37),SUMIF(BI26:BI37,$BX29,BP26:BP37)))</f>
        <v>0.02</v>
      </c>
      <c r="CA29" s="644">
        <f>IF(IF(CB29=CB38,SUMIF(BI26:BI37,$BX29,BS26:BS37),SUMIF(BI26:BI37,$BX29,BN26:BN37))=0,NA(),IF(CB29=CB38,SUMIF(BI26:BI37,$BX29,BS26:BS37),SUMIF(BI26:BI37,$BX29,BN26:BN37)))</f>
        <v>5.4594962559564329E-2</v>
      </c>
      <c r="CB29" s="645">
        <v>23</v>
      </c>
      <c r="CC29" s="645">
        <f t="shared" si="4"/>
        <v>1</v>
      </c>
    </row>
    <row r="30" spans="2:81" ht="15" customHeight="1">
      <c r="B30" s="1140"/>
      <c r="C30" s="1141"/>
      <c r="D30" s="1141"/>
      <c r="E30" s="1141"/>
      <c r="F30" s="1141"/>
      <c r="G30" s="1141"/>
      <c r="H30" s="1141"/>
      <c r="I30" s="1141"/>
      <c r="J30" s="1141"/>
      <c r="K30" s="1141"/>
      <c r="L30" s="1141"/>
      <c r="M30" s="1141"/>
      <c r="N30" s="1141"/>
      <c r="O30" s="1141"/>
      <c r="P30" s="1141"/>
      <c r="Q30" s="1141"/>
      <c r="R30" s="1141"/>
      <c r="S30" s="1141"/>
      <c r="T30" s="1141"/>
      <c r="U30" s="1141"/>
      <c r="V30" s="1141"/>
      <c r="W30" s="1141"/>
      <c r="X30" s="1141"/>
      <c r="Y30" s="1141"/>
      <c r="Z30" s="1141"/>
      <c r="AA30" s="1141"/>
      <c r="AB30" s="1142"/>
      <c r="AC30"/>
      <c r="AD30"/>
      <c r="AE30" s="1140"/>
      <c r="AF30" s="1141"/>
      <c r="AG30" s="1141"/>
      <c r="AH30" s="1141"/>
      <c r="AI30" s="1141"/>
      <c r="AJ30" s="1141"/>
      <c r="AK30" s="1141"/>
      <c r="AL30" s="1141"/>
      <c r="AM30" s="1141"/>
      <c r="AN30" s="1141"/>
      <c r="AO30" s="1141"/>
      <c r="AP30" s="1141"/>
      <c r="AQ30" s="1141"/>
      <c r="AR30" s="1141"/>
      <c r="AS30" s="1141"/>
      <c r="AT30" s="1141"/>
      <c r="AU30" s="1141"/>
      <c r="AV30" s="1141"/>
      <c r="AW30" s="1141"/>
      <c r="AX30" s="1141"/>
      <c r="AY30" s="1141"/>
      <c r="AZ30" s="1141"/>
      <c r="BA30" s="1141"/>
      <c r="BB30" s="1141"/>
      <c r="BC30" s="1141"/>
      <c r="BD30" s="1141"/>
      <c r="BE30" s="1142"/>
      <c r="BI30" s="884" t="s">
        <v>325</v>
      </c>
      <c r="BJ30" s="884">
        <v>5</v>
      </c>
      <c r="BK30" s="884" t="s">
        <v>324</v>
      </c>
      <c r="BL30" s="885">
        <v>6.9569999999999999</v>
      </c>
      <c r="BM30" s="885">
        <v>93.203999999999994</v>
      </c>
      <c r="BN30" s="886">
        <f t="shared" si="5"/>
        <v>7.464271919660101E-2</v>
      </c>
      <c r="BO30" s="290"/>
      <c r="BP30" s="888">
        <v>0.02</v>
      </c>
      <c r="BQ30" s="885"/>
      <c r="BR30" s="885"/>
      <c r="BS30" s="886" t="str">
        <f t="shared" si="6"/>
        <v/>
      </c>
      <c r="BT30" s="290"/>
      <c r="BU30" s="888">
        <v>0.02</v>
      </c>
      <c r="BX30" s="666" t="str">
        <f t="shared" si="8"/>
        <v>Feb</v>
      </c>
      <c r="BY30" s="643">
        <f t="shared" si="7"/>
        <v>93.203999999999994</v>
      </c>
      <c r="BZ30" s="821">
        <f>IF(IF(CB30=CB38,SUMIF(BI26:BI37,$BX30,BU26:BU37),SUMIF(BI26:BI37,$BX30,BP26:BP37))=0,NA(),IF(CB30=CB38,SUMIF(BI26:BI37,$BX30,BU26:BU37),SUMIF(BI26:BI37,$BX30,BP26:BP37)))</f>
        <v>0.02</v>
      </c>
      <c r="CA30" s="644">
        <f>IF(IF(CB30=CB38,SUMIF(BI26:BI37,$BX30,BS26:BS37),SUMIF(BI26:BI37,$BX30,BN26:BN37))=0,NA(),IF(CB30=CB38,SUMIF(BI26:BI37,$BX30,BS26:BS37),SUMIF(BI26:BI37,$BX30,BN26:BN37)))</f>
        <v>7.464271919660101E-2</v>
      </c>
      <c r="CB30" s="645">
        <v>23</v>
      </c>
      <c r="CC30" s="645">
        <f t="shared" si="4"/>
        <v>2</v>
      </c>
    </row>
    <row r="31" spans="2:81" ht="15" customHeight="1">
      <c r="B31" s="1140"/>
      <c r="C31" s="1141"/>
      <c r="D31" s="1141"/>
      <c r="E31" s="1141"/>
      <c r="F31" s="1141"/>
      <c r="G31" s="1141"/>
      <c r="H31" s="1141"/>
      <c r="I31" s="1141"/>
      <c r="J31" s="1141"/>
      <c r="K31" s="1141"/>
      <c r="L31" s="1141"/>
      <c r="M31" s="1141"/>
      <c r="N31" s="1141"/>
      <c r="O31" s="1141"/>
      <c r="P31" s="1141"/>
      <c r="Q31" s="1141"/>
      <c r="R31" s="1141"/>
      <c r="S31" s="1141"/>
      <c r="T31" s="1141"/>
      <c r="U31" s="1141"/>
      <c r="V31" s="1141"/>
      <c r="W31" s="1141"/>
      <c r="X31" s="1141"/>
      <c r="Y31" s="1141"/>
      <c r="Z31" s="1141"/>
      <c r="AA31" s="1141"/>
      <c r="AB31" s="1142"/>
      <c r="AC31"/>
      <c r="AD31"/>
      <c r="AE31" s="1140"/>
      <c r="AF31" s="1141"/>
      <c r="AG31" s="1141"/>
      <c r="AH31" s="1141"/>
      <c r="AI31" s="1141"/>
      <c r="AJ31" s="1141"/>
      <c r="AK31" s="1141"/>
      <c r="AL31" s="1141"/>
      <c r="AM31" s="1141"/>
      <c r="AN31" s="1141"/>
      <c r="AO31" s="1141"/>
      <c r="AP31" s="1141"/>
      <c r="AQ31" s="1141"/>
      <c r="AR31" s="1141"/>
      <c r="AS31" s="1141"/>
      <c r="AT31" s="1141"/>
      <c r="AU31" s="1141"/>
      <c r="AV31" s="1141"/>
      <c r="AW31" s="1141"/>
      <c r="AX31" s="1141"/>
      <c r="AY31" s="1141"/>
      <c r="AZ31" s="1141"/>
      <c r="BA31" s="1141"/>
      <c r="BB31" s="1141"/>
      <c r="BC31" s="1141"/>
      <c r="BD31" s="1141"/>
      <c r="BE31" s="1142"/>
      <c r="BI31" s="884" t="s">
        <v>326</v>
      </c>
      <c r="BJ31" s="884">
        <v>6</v>
      </c>
      <c r="BK31" s="884" t="s">
        <v>324</v>
      </c>
      <c r="BL31" s="885">
        <v>7.3390000000000004</v>
      </c>
      <c r="BM31" s="887">
        <v>87.102999999999994</v>
      </c>
      <c r="BN31" s="886">
        <f t="shared" si="5"/>
        <v>8.4256569808158169E-2</v>
      </c>
      <c r="BO31" s="290"/>
      <c r="BP31" s="888">
        <v>0.02</v>
      </c>
      <c r="BQ31" s="885"/>
      <c r="BR31" s="887"/>
      <c r="BS31" s="886" t="str">
        <f t="shared" si="6"/>
        <v/>
      </c>
      <c r="BT31" s="290"/>
      <c r="BU31" s="888">
        <v>0.02</v>
      </c>
      <c r="BX31" s="666" t="str">
        <f>TEXT(CONCATENATE(CC31,"/01/20",CB31),"MMM")</f>
        <v>Mar</v>
      </c>
      <c r="BY31" s="643">
        <f t="shared" si="7"/>
        <v>87.102999999999994</v>
      </c>
      <c r="BZ31" s="821">
        <f>IF(IF(CB31=CB38,SUMIF(BI26:BI37,$BX31,BU26:BU37),SUMIF(BI26:BI37,$BX31,BP26:BP37))=0,NA(),IF(CB31=CB38,SUMIF(BI26:BI37,$BX31,BU26:BU37),SUMIF(BI26:BI37,$BX31,BP26:BP37)))</f>
        <v>0.02</v>
      </c>
      <c r="CA31" s="644">
        <f>IF(IF(CB31=CB38,SUMIF(BI26:BI37,$BX31,BS26:BS37),SUMIF(BI26:BI37,$BX31,BN26:BN37))=0,NA(),IF(CB31=CB38,SUMIF(BI26:BI37,$BX31,BS26:BS37),SUMIF(BI26:BI37,$BX31,BN26:BN37)))</f>
        <v>8.4256569808158169E-2</v>
      </c>
      <c r="CB31" s="645">
        <v>23</v>
      </c>
      <c r="CC31" s="645">
        <f t="shared" si="4"/>
        <v>3</v>
      </c>
    </row>
    <row r="32" spans="2:81" ht="15" customHeight="1">
      <c r="B32" s="1143"/>
      <c r="C32" s="1144"/>
      <c r="D32" s="1144"/>
      <c r="E32" s="1144"/>
      <c r="F32" s="1144"/>
      <c r="G32" s="1144"/>
      <c r="H32" s="1144"/>
      <c r="I32" s="1144"/>
      <c r="J32" s="1144"/>
      <c r="K32" s="1144"/>
      <c r="L32" s="1144"/>
      <c r="M32" s="1144"/>
      <c r="N32" s="1144"/>
      <c r="O32" s="1144"/>
      <c r="P32" s="1144"/>
      <c r="Q32" s="1144"/>
      <c r="R32" s="1144"/>
      <c r="S32" s="1144"/>
      <c r="T32" s="1144"/>
      <c r="U32" s="1144"/>
      <c r="V32" s="1144"/>
      <c r="W32" s="1144"/>
      <c r="X32" s="1144"/>
      <c r="Y32" s="1144"/>
      <c r="Z32" s="1144"/>
      <c r="AA32" s="1144"/>
      <c r="AB32" s="1145"/>
      <c r="AC32"/>
      <c r="AD32"/>
      <c r="AE32" s="1143"/>
      <c r="AF32" s="1144"/>
      <c r="AG32" s="1144"/>
      <c r="AH32" s="1144"/>
      <c r="AI32" s="1144"/>
      <c r="AJ32" s="1144"/>
      <c r="AK32" s="1144"/>
      <c r="AL32" s="1144"/>
      <c r="AM32" s="1144"/>
      <c r="AN32" s="1144"/>
      <c r="AO32" s="1144"/>
      <c r="AP32" s="1144"/>
      <c r="AQ32" s="1144"/>
      <c r="AR32" s="1144"/>
      <c r="AS32" s="1144"/>
      <c r="AT32" s="1144"/>
      <c r="AU32" s="1144"/>
      <c r="AV32" s="1144"/>
      <c r="AW32" s="1144"/>
      <c r="AX32" s="1144"/>
      <c r="AY32" s="1144"/>
      <c r="AZ32" s="1144"/>
      <c r="BA32" s="1144"/>
      <c r="BB32" s="1144"/>
      <c r="BC32" s="1144"/>
      <c r="BD32" s="1144"/>
      <c r="BE32" s="1145"/>
      <c r="BI32" s="884" t="s">
        <v>327</v>
      </c>
      <c r="BJ32" s="884">
        <v>7</v>
      </c>
      <c r="BK32" s="884" t="s">
        <v>328</v>
      </c>
      <c r="BL32" s="885">
        <v>8.7309999999999999</v>
      </c>
      <c r="BM32" s="887">
        <v>82.088999999999999</v>
      </c>
      <c r="BN32" s="886">
        <f t="shared" si="5"/>
        <v>0.10636017005932585</v>
      </c>
      <c r="BO32" s="289">
        <f>IF(SUM(BM32:BM34=0),0,SUM(BL32:BL34)/SUM(BM32:BM34))</f>
        <v>8.7954678617238588E-2</v>
      </c>
      <c r="BP32" s="888">
        <v>0.02</v>
      </c>
      <c r="BQ32" s="885"/>
      <c r="BR32" s="887"/>
      <c r="BS32" s="886" t="str">
        <f t="shared" si="6"/>
        <v/>
      </c>
      <c r="BT32" s="289">
        <f>IF(SUM(BR32:BR34=0),0,SUM(BQ32:BQ34)/SUM(BR32:BR34))</f>
        <v>0</v>
      </c>
      <c r="BU32" s="888">
        <v>0.02</v>
      </c>
      <c r="BX32" s="666" t="str">
        <f t="shared" si="8"/>
        <v>Apr</v>
      </c>
      <c r="BY32" s="643">
        <f t="shared" si="7"/>
        <v>82.088999999999999</v>
      </c>
      <c r="BZ32" s="821">
        <f>IF(IF(CB32=CB38,SUMIF(BI26:BI37,$BX32,BU26:BU37),SUMIF(BI26:BI37,$BX32,BP26:BP37))=0,NA(),IF(CB32=CB38,SUMIF(BI26:BI37,$BX32,BU26:BU37),SUMIF(BI26:BI37,$BX32,BP26:BP37)))</f>
        <v>0.02</v>
      </c>
      <c r="CA32" s="644">
        <f>IF(IF(CB32=CB38,SUMIF(BI26:BI37,$BX32,BS26:BS37),SUMIF(BI26:BI37,$BX32,BN26:BN37))=0,NA(),IF(CB32=CB38,SUMIF(BI26:BI37,$BX32,BS26:BS37),SUMIF(BI26:BI37,$BX32,BN26:BN37)))</f>
        <v>0.10636017005932585</v>
      </c>
      <c r="CB32" s="645">
        <v>23</v>
      </c>
      <c r="CC32" s="645">
        <f t="shared" si="4"/>
        <v>4</v>
      </c>
    </row>
    <row r="33" spans="2:81" ht="15" customHeight="1">
      <c r="BI33" s="884" t="s">
        <v>329</v>
      </c>
      <c r="BJ33" s="884">
        <v>8</v>
      </c>
      <c r="BK33" s="884" t="s">
        <v>328</v>
      </c>
      <c r="BL33" s="885">
        <v>5.6340000000000003</v>
      </c>
      <c r="BM33" s="887">
        <v>71.635000000000005</v>
      </c>
      <c r="BN33" s="886">
        <f t="shared" si="5"/>
        <v>7.8648705241851052E-2</v>
      </c>
      <c r="BO33" s="290"/>
      <c r="BP33" s="888">
        <v>0.02</v>
      </c>
      <c r="BQ33" s="885"/>
      <c r="BR33" s="887"/>
      <c r="BS33" s="886" t="str">
        <f t="shared" si="6"/>
        <v/>
      </c>
      <c r="BT33" s="290"/>
      <c r="BU33" s="888">
        <v>0.02</v>
      </c>
      <c r="BX33" s="666" t="str">
        <f t="shared" si="8"/>
        <v>May</v>
      </c>
      <c r="BY33" s="643">
        <f t="shared" si="7"/>
        <v>71.635000000000005</v>
      </c>
      <c r="BZ33" s="821">
        <f>IF(IF(CB33=CB38,SUMIF(BI26:BI37,$BX33,BU26:BU37),SUMIF(BI26:BI37,$BX33,BP26:BP37))=0,NA(),IF(CB33=CB38,SUMIF(BI26:BI37,$BX33,BU26:BU37),SUMIF(BI26:BI37,$BX33,BP26:BP37)))</f>
        <v>0.02</v>
      </c>
      <c r="CA33" s="644">
        <f>IF(IF(CB33=CB38,SUMIF(BI26:BI37,$BX33,BS26:BS37),SUMIF(BI26:BI37,$BX33,BN26:BN37))=0,NA(),IF(CB33=CB38,SUMIF(BI26:BI37,$BX33,BS26:BS37),SUMIF(BI26:BI37,$BX33,BN26:BN37)))</f>
        <v>7.8648705241851052E-2</v>
      </c>
      <c r="CB33" s="645">
        <v>23</v>
      </c>
      <c r="CC33" s="645">
        <f t="shared" si="4"/>
        <v>5</v>
      </c>
    </row>
    <row r="34" spans="2:81" ht="15" customHeight="1">
      <c r="B34" s="541" t="s">
        <v>330</v>
      </c>
      <c r="C34" s="542"/>
      <c r="D34" s="542"/>
      <c r="E34" s="542"/>
      <c r="F34" s="542"/>
      <c r="G34" s="543"/>
      <c r="H34" s="543"/>
      <c r="I34" s="543"/>
      <c r="J34" s="543"/>
      <c r="K34" s="543"/>
      <c r="L34" s="545"/>
      <c r="M34" s="542"/>
      <c r="N34" s="542"/>
      <c r="O34" s="532"/>
      <c r="P34" s="532"/>
      <c r="Q34" s="532"/>
      <c r="R34" s="532"/>
      <c r="S34" s="532"/>
      <c r="T34" s="532"/>
      <c r="U34" s="532"/>
      <c r="V34" s="532"/>
      <c r="W34" s="532"/>
      <c r="X34" s="532"/>
      <c r="Y34" s="532"/>
      <c r="Z34" s="532"/>
      <c r="AA34" s="532"/>
      <c r="AB34" s="532"/>
      <c r="AC34" s="532"/>
      <c r="AD34" s="532"/>
      <c r="AE34" s="532"/>
      <c r="AF34" s="532"/>
      <c r="AG34" s="532"/>
      <c r="AH34" s="532"/>
      <c r="AI34" s="532"/>
      <c r="AJ34" s="532"/>
      <c r="AK34" s="532"/>
      <c r="AL34" s="532"/>
      <c r="AM34" s="532"/>
      <c r="AN34" s="532"/>
      <c r="AO34" s="532"/>
      <c r="AP34" s="532"/>
      <c r="AQ34" s="532"/>
      <c r="AR34" s="532"/>
      <c r="AS34" s="532"/>
      <c r="AT34" s="532"/>
      <c r="AU34" s="532"/>
      <c r="AV34" s="532"/>
      <c r="AW34" s="532"/>
      <c r="AX34" s="532"/>
      <c r="AY34" s="532"/>
      <c r="AZ34" s="532"/>
      <c r="BA34" s="532"/>
      <c r="BB34" s="532"/>
      <c r="BC34" s="532"/>
      <c r="BD34" s="532"/>
      <c r="BE34" s="532"/>
      <c r="BI34" s="884" t="s">
        <v>331</v>
      </c>
      <c r="BJ34" s="884">
        <v>9</v>
      </c>
      <c r="BK34" s="884" t="s">
        <v>328</v>
      </c>
      <c r="BL34" s="885">
        <v>7.8520000000000003</v>
      </c>
      <c r="BM34" s="887">
        <v>98.872</v>
      </c>
      <c r="BN34" s="886">
        <f t="shared" si="5"/>
        <v>7.9415810340642448E-2</v>
      </c>
      <c r="BO34" s="290"/>
      <c r="BP34" s="888">
        <v>0.02</v>
      </c>
      <c r="BQ34" s="885"/>
      <c r="BR34" s="887"/>
      <c r="BS34" s="886" t="str">
        <f t="shared" si="6"/>
        <v/>
      </c>
      <c r="BT34" s="290"/>
      <c r="BU34" s="888">
        <v>0.02</v>
      </c>
      <c r="BX34" s="666" t="str">
        <f t="shared" si="8"/>
        <v>Jun</v>
      </c>
      <c r="BY34" s="643">
        <f t="shared" si="7"/>
        <v>98.872</v>
      </c>
      <c r="BZ34" s="821">
        <f>IF(IF(CB34=CB38,SUMIF(BI26:BI37,$BX34,BU26:BU37),SUMIF(BI26:BI37,$BX34,BP26:BP37))=0,NA(),IF(CB34=CB38,SUMIF(BI26:BI37,$BX34,BU26:BU37),SUMIF(BI26:BI37,$BX34,BP26:BP37)))</f>
        <v>0.02</v>
      </c>
      <c r="CA34" s="644">
        <f>IF(IF(CB34=CB38,SUMIF(BI26:BI37,$BX34,BS26:BS37),SUMIF(BI26:BI37,$BX34,BN26:BN37))=0,NA(),IF(CB34=CB38,SUMIF(BI26:BI37,$BX34,BS26:BS37),SUMIF(BI26:BI37,$BX34,BN26:BN37)))</f>
        <v>7.9415810340642448E-2</v>
      </c>
      <c r="CB34" s="645">
        <v>23</v>
      </c>
      <c r="CC34" s="645">
        <f t="shared" si="4"/>
        <v>6</v>
      </c>
    </row>
    <row r="35" spans="2:81" ht="15" customHeight="1">
      <c r="B35" s="1124" t="s">
        <v>332</v>
      </c>
      <c r="C35" s="1124"/>
      <c r="D35" s="1124"/>
      <c r="E35" s="1124"/>
      <c r="F35" s="1124"/>
      <c r="G35" s="1124"/>
      <c r="H35" s="1124"/>
      <c r="I35" s="1124"/>
      <c r="J35" s="1124"/>
      <c r="K35" s="1124" t="s">
        <v>335</v>
      </c>
      <c r="L35" s="1124"/>
      <c r="M35" s="1124"/>
      <c r="N35" s="1124"/>
      <c r="O35" s="1124"/>
      <c r="P35" s="1124"/>
      <c r="Q35" s="1123" t="s">
        <v>713</v>
      </c>
      <c r="R35" s="1123"/>
      <c r="S35" s="1123"/>
      <c r="T35" s="1124" t="s">
        <v>712</v>
      </c>
      <c r="U35" s="1124"/>
      <c r="V35" s="1124"/>
      <c r="W35" s="1124"/>
      <c r="X35" s="1124"/>
      <c r="Y35" s="1124"/>
      <c r="Z35" s="1124"/>
      <c r="AA35" s="1124"/>
      <c r="AB35" s="1124"/>
      <c r="AC35" s="1153" t="s">
        <v>714</v>
      </c>
      <c r="AD35" s="1154"/>
      <c r="AE35" s="1154"/>
      <c r="AF35" s="1154"/>
      <c r="AG35" s="1154"/>
      <c r="AH35" s="1154"/>
      <c r="AI35" s="1154"/>
      <c r="AJ35" s="1154"/>
      <c r="AK35" s="1154"/>
      <c r="AL35" s="1154"/>
      <c r="AM35" s="1154"/>
      <c r="AN35" s="1154"/>
      <c r="AO35" s="1154"/>
      <c r="AP35" s="1154"/>
      <c r="AQ35" s="1154"/>
      <c r="AR35" s="1154"/>
      <c r="AS35" s="1154"/>
      <c r="AT35" s="1154"/>
      <c r="AU35" s="1154"/>
      <c r="AV35" s="1154"/>
      <c r="AW35" s="1154"/>
      <c r="AX35" s="1154"/>
      <c r="AY35" s="1154"/>
      <c r="AZ35" s="1154"/>
      <c r="BA35" s="1154"/>
      <c r="BB35" s="1154"/>
      <c r="BC35" s="1154"/>
      <c r="BD35" s="1154"/>
      <c r="BE35" s="1155"/>
      <c r="BH35" s="223"/>
      <c r="BI35" s="884" t="s">
        <v>337</v>
      </c>
      <c r="BJ35" s="884">
        <v>10</v>
      </c>
      <c r="BK35" s="884" t="s">
        <v>338</v>
      </c>
      <c r="BL35" s="885">
        <v>6.87</v>
      </c>
      <c r="BM35" s="887">
        <v>80.849000000000004</v>
      </c>
      <c r="BN35" s="886">
        <f t="shared" si="5"/>
        <v>8.4973221684869316E-2</v>
      </c>
      <c r="BO35" s="289">
        <f>IF(SUM(BM35:BM37=0),0,SUM(BL35:BL37)/SUM(BM35:BM37))</f>
        <v>6.5450781102955019E-2</v>
      </c>
      <c r="BP35" s="888">
        <v>0.02</v>
      </c>
      <c r="BQ35" s="885"/>
      <c r="BR35" s="887"/>
      <c r="BS35" s="886" t="str">
        <f t="shared" si="6"/>
        <v/>
      </c>
      <c r="BT35" s="289">
        <f>IF(SUM(BR35:BR37=0),0,SUM(BQ35:BQ37)/SUM(BR35:BR37))</f>
        <v>0</v>
      </c>
      <c r="BU35" s="888">
        <v>0.02</v>
      </c>
      <c r="BX35" s="666" t="str">
        <f t="shared" si="8"/>
        <v>Jul</v>
      </c>
      <c r="BY35" s="643">
        <f t="shared" si="7"/>
        <v>80.849000000000004</v>
      </c>
      <c r="BZ35" s="821">
        <f>IF(IF(CB35=CB38,SUMIF(BI26:BI37,$BX35,BU26:BU37),SUMIF(BI26:BI37,$BX35,BP26:BP37))=0,NA(),IF(CB35=CB38,SUMIF(BI26:BI37,$BX35,BU26:BU37),SUMIF(BI26:BI37,$BX35,BP26:BP37)))</f>
        <v>0.02</v>
      </c>
      <c r="CA35" s="644">
        <f>IF(IF(CB35=CB38,SUMIF(BI26:BI37,$BX35,BS26:BS37),SUMIF(BI26:BI37,$BX35,BN26:BN37))=0,NA(),IF(CB35=CB38,SUMIF(BI26:BI37,$BX35,BS26:BS37),SUMIF(BI26:BI37,$BX35,BN26:BN37)))</f>
        <v>8.4973221684869316E-2</v>
      </c>
      <c r="CB35" s="645">
        <v>23</v>
      </c>
      <c r="CC35" s="645">
        <f t="shared" si="4"/>
        <v>7</v>
      </c>
    </row>
    <row r="36" spans="2:81" ht="15" customHeight="1">
      <c r="B36" s="1124"/>
      <c r="C36" s="1124"/>
      <c r="D36" s="1124"/>
      <c r="E36" s="1124"/>
      <c r="F36" s="1124"/>
      <c r="G36" s="1124"/>
      <c r="H36" s="1124"/>
      <c r="I36" s="1124"/>
      <c r="J36" s="1124"/>
      <c r="K36" s="1124" t="s">
        <v>23</v>
      </c>
      <c r="L36" s="1124"/>
      <c r="M36" s="1124"/>
      <c r="N36" s="1124" t="s">
        <v>339</v>
      </c>
      <c r="O36" s="1124"/>
      <c r="P36" s="1124"/>
      <c r="Q36" s="1123"/>
      <c r="R36" s="1123"/>
      <c r="S36" s="1123"/>
      <c r="T36" s="1123" t="s">
        <v>340</v>
      </c>
      <c r="U36" s="1123"/>
      <c r="V36" s="1123"/>
      <c r="W36" s="1123" t="s">
        <v>341</v>
      </c>
      <c r="X36" s="1123"/>
      <c r="Y36" s="1123"/>
      <c r="Z36" s="1123" t="s">
        <v>342</v>
      </c>
      <c r="AA36" s="1123"/>
      <c r="AB36" s="1123"/>
      <c r="AC36" s="1156"/>
      <c r="AD36" s="1157"/>
      <c r="AE36" s="1157"/>
      <c r="AF36" s="1157"/>
      <c r="AG36" s="1157"/>
      <c r="AH36" s="1157"/>
      <c r="AI36" s="1157"/>
      <c r="AJ36" s="1157"/>
      <c r="AK36" s="1157"/>
      <c r="AL36" s="1157"/>
      <c r="AM36" s="1157"/>
      <c r="AN36" s="1157"/>
      <c r="AO36" s="1157"/>
      <c r="AP36" s="1157"/>
      <c r="AQ36" s="1157"/>
      <c r="AR36" s="1157"/>
      <c r="AS36" s="1157"/>
      <c r="AT36" s="1157"/>
      <c r="AU36" s="1157"/>
      <c r="AV36" s="1157"/>
      <c r="AW36" s="1157"/>
      <c r="AX36" s="1157"/>
      <c r="AY36" s="1157"/>
      <c r="AZ36" s="1157"/>
      <c r="BA36" s="1157"/>
      <c r="BB36" s="1157"/>
      <c r="BC36" s="1157"/>
      <c r="BD36" s="1157"/>
      <c r="BE36" s="1158"/>
      <c r="BH36" s="223"/>
      <c r="BI36" s="884" t="s">
        <v>343</v>
      </c>
      <c r="BJ36" s="884">
        <v>11</v>
      </c>
      <c r="BK36" s="884" t="s">
        <v>338</v>
      </c>
      <c r="BL36" s="885">
        <v>4.7460000000000004</v>
      </c>
      <c r="BM36" s="887">
        <v>84.533000000000001</v>
      </c>
      <c r="BN36" s="886">
        <f t="shared" si="5"/>
        <v>5.6143754510072995E-2</v>
      </c>
      <c r="BO36" s="290"/>
      <c r="BP36" s="888">
        <v>0.02</v>
      </c>
      <c r="BQ36" s="885"/>
      <c r="BR36" s="887"/>
      <c r="BS36" s="886" t="str">
        <f t="shared" si="6"/>
        <v/>
      </c>
      <c r="BT36" s="290"/>
      <c r="BU36" s="888">
        <v>0.02</v>
      </c>
      <c r="BX36" s="666" t="str">
        <f t="shared" si="8"/>
        <v>Aug</v>
      </c>
      <c r="BY36" s="643">
        <f t="shared" si="7"/>
        <v>84.533000000000001</v>
      </c>
      <c r="BZ36" s="821">
        <f>IF(IF(CB36=CB38,SUMIF(BI26:BI37,$BX36,BU26:BU37),SUMIF(BI26:BI37,$BX36,BP26:BP37))=0,NA(),IF(CB36=CB38,SUMIF(BI26:BI37,$BX36,BU26:BU37),SUMIF(BI26:BI37,$BX36,BP26:BP37)))</f>
        <v>0.02</v>
      </c>
      <c r="CA36" s="644">
        <f>IF(IF(CB36=CB38,SUMIF(BI26:BI37,$BX36,BS26:BS37),SUMIF(BI26:BI37,$BX36,BN26:BN37))=0,NA(),IF(CB36=CB38,SUMIF(BI26:BI37,$BX36,BS26:BS37),SUMIF(BI26:BI37,$BX36,BN26:BN37)))</f>
        <v>5.6143754510072995E-2</v>
      </c>
      <c r="CB36" s="645">
        <v>23</v>
      </c>
      <c r="CC36" s="645">
        <f t="shared" si="4"/>
        <v>8</v>
      </c>
    </row>
    <row r="37" spans="2:81" ht="15" customHeight="1">
      <c r="B37" s="1124"/>
      <c r="C37" s="1124"/>
      <c r="D37" s="1124"/>
      <c r="E37" s="1124"/>
      <c r="F37" s="1124"/>
      <c r="G37" s="1124"/>
      <c r="H37" s="1124"/>
      <c r="I37" s="1124"/>
      <c r="J37" s="1124"/>
      <c r="K37" s="1124"/>
      <c r="L37" s="1124"/>
      <c r="M37" s="1124"/>
      <c r="N37" s="1124"/>
      <c r="O37" s="1124"/>
      <c r="P37" s="1124"/>
      <c r="Q37" s="1123"/>
      <c r="R37" s="1123"/>
      <c r="S37" s="1123"/>
      <c r="T37" s="1123"/>
      <c r="U37" s="1123"/>
      <c r="V37" s="1123"/>
      <c r="W37" s="1123"/>
      <c r="X37" s="1123"/>
      <c r="Y37" s="1123"/>
      <c r="Z37" s="1123"/>
      <c r="AA37" s="1123"/>
      <c r="AB37" s="1123"/>
      <c r="AC37" s="1159"/>
      <c r="AD37" s="1160"/>
      <c r="AE37" s="1160"/>
      <c r="AF37" s="1160"/>
      <c r="AG37" s="1160"/>
      <c r="AH37" s="1160"/>
      <c r="AI37" s="1160"/>
      <c r="AJ37" s="1160"/>
      <c r="AK37" s="1160"/>
      <c r="AL37" s="1160"/>
      <c r="AM37" s="1160"/>
      <c r="AN37" s="1160"/>
      <c r="AO37" s="1160"/>
      <c r="AP37" s="1160"/>
      <c r="AQ37" s="1160"/>
      <c r="AR37" s="1160"/>
      <c r="AS37" s="1160"/>
      <c r="AT37" s="1160"/>
      <c r="AU37" s="1160"/>
      <c r="AV37" s="1160"/>
      <c r="AW37" s="1160"/>
      <c r="AX37" s="1160"/>
      <c r="AY37" s="1160"/>
      <c r="AZ37" s="1160"/>
      <c r="BA37" s="1160"/>
      <c r="BB37" s="1160"/>
      <c r="BC37" s="1160"/>
      <c r="BD37" s="1160"/>
      <c r="BE37" s="1161"/>
      <c r="BH37" s="223"/>
      <c r="BI37" s="884" t="s">
        <v>344</v>
      </c>
      <c r="BJ37" s="884">
        <v>12</v>
      </c>
      <c r="BK37" s="884" t="s">
        <v>338</v>
      </c>
      <c r="BL37" s="885">
        <v>5.7709999999999999</v>
      </c>
      <c r="BM37" s="887">
        <v>100.268</v>
      </c>
      <c r="BN37" s="886">
        <f t="shared" si="5"/>
        <v>5.7555750588423028E-2</v>
      </c>
      <c r="BO37" s="290"/>
      <c r="BP37" s="888">
        <v>0.02</v>
      </c>
      <c r="BQ37" s="885"/>
      <c r="BR37" s="887"/>
      <c r="BS37" s="886" t="str">
        <f t="shared" si="6"/>
        <v/>
      </c>
      <c r="BT37" s="290"/>
      <c r="BU37" s="888">
        <v>0.02</v>
      </c>
      <c r="BX37" s="666" t="str">
        <f t="shared" si="8"/>
        <v>Sep</v>
      </c>
      <c r="BY37" s="643">
        <f t="shared" si="7"/>
        <v>100.268</v>
      </c>
      <c r="BZ37" s="821">
        <f>IF(IF(CB37=CB38,SUMIF(BI26:BI37,$BX37,BU26:BU37),SUMIF(BI26:BI37,$BX37,BP26:BP37))=0,NA(),IF(CB37=CB38,SUMIF(BI26:BI37,$BX37,BU26:BU37),SUMIF(BI26:BI37,$BX37,BP26:BP37)))</f>
        <v>0.02</v>
      </c>
      <c r="CA37" s="644">
        <f>IF(IF(CB37=CB38,SUMIF(BI26:BI37,$BX37,BS26:BS37),SUMIF(BI26:BI37,$BX37,BN26:BN37))=0,NA(),IF(CB37=CB38,SUMIF(BI26:BI37,$BX37,BS26:BS37),SUMIF(BI26:BI37,$BX37,BN26:BN37)))</f>
        <v>5.7555750588423028E-2</v>
      </c>
      <c r="CB37" s="645">
        <v>23</v>
      </c>
      <c r="CC37" s="645">
        <f>IF(CC38-1&lt;1,CC38+11,CC38-1)</f>
        <v>9</v>
      </c>
    </row>
    <row r="38" spans="2:81" ht="51.6" customHeight="1">
      <c r="B38" s="1126" t="s">
        <v>397</v>
      </c>
      <c r="C38" s="1126"/>
      <c r="D38" s="1126"/>
      <c r="E38" s="1126"/>
      <c r="F38" s="1126"/>
      <c r="G38" s="1126"/>
      <c r="H38" s="1126"/>
      <c r="I38" s="1126"/>
      <c r="J38" s="1126"/>
      <c r="K38" s="1125">
        <f>SUMIF(FA!$BJ$26:$BJ$37,Cover!$M$36,FA!$BN$26:$BN$37)</f>
        <v>5.6219543472685311E-2</v>
      </c>
      <c r="L38" s="1125"/>
      <c r="M38" s="1125"/>
      <c r="N38" s="1125">
        <f>SUMIF(FA!$BK$26:$BK$37,Cover!$M$35,FA!$BO$26:$BO$37)</f>
        <v>6.9231876902822342E-2</v>
      </c>
      <c r="O38" s="1125"/>
      <c r="P38" s="1125"/>
      <c r="Q38" s="1174">
        <f>SUMIF(FA!$BJ$26:$BJ$37,Cover!$M$36,FA!$BU$26:$BU$37)</f>
        <v>0.02</v>
      </c>
      <c r="R38" s="1174"/>
      <c r="S38" s="1174"/>
      <c r="T38" s="1125">
        <f>IF(Cover!$M$36=1,SUMIF($BJ$26:$BJ$37,12,$BN$26:$BN$37),SUMIF(FA!$BJ$26:$BJ$37,Cover!$M$36-1,FA!$BS$26:$BS$37))</f>
        <v>5.7555750588423028E-2</v>
      </c>
      <c r="U38" s="1125"/>
      <c r="V38" s="1125"/>
      <c r="W38" s="1125">
        <f>SUMIF(FA!$BJ$26:$BJ$37,Cover!$M$36,FA!$BS$26:$BS$37)</f>
        <v>4.7070899626072298E-2</v>
      </c>
      <c r="X38" s="1125"/>
      <c r="Y38" s="1125"/>
      <c r="Z38" s="1125">
        <f>SUMIF(FA!$BK$26:$BK$37,Cover!$M$35,FA!$BT$26:$BT$37)</f>
        <v>4.7070899626072298E-2</v>
      </c>
      <c r="AA38" s="1125"/>
      <c r="AB38" s="1125"/>
      <c r="AC38" s="1254" t="s">
        <v>748</v>
      </c>
      <c r="AD38" s="1255"/>
      <c r="AE38" s="1255"/>
      <c r="AF38" s="1255"/>
      <c r="AG38" s="1255"/>
      <c r="AH38" s="1255"/>
      <c r="AI38" s="1255"/>
      <c r="AJ38" s="1255"/>
      <c r="AK38" s="1255"/>
      <c r="AL38" s="1255"/>
      <c r="AM38" s="1255"/>
      <c r="AN38" s="1255"/>
      <c r="AO38" s="1255"/>
      <c r="AP38" s="1255"/>
      <c r="AQ38" s="1255"/>
      <c r="AR38" s="1255"/>
      <c r="AS38" s="1255"/>
      <c r="AT38" s="1255"/>
      <c r="AU38" s="1255"/>
      <c r="AV38" s="1255"/>
      <c r="AW38" s="1255"/>
      <c r="AX38" s="1255"/>
      <c r="AY38" s="1255"/>
      <c r="AZ38" s="1255"/>
      <c r="BA38" s="1255"/>
      <c r="BB38" s="1255"/>
      <c r="BC38" s="1255"/>
      <c r="BD38" s="1255"/>
      <c r="BE38" s="1256"/>
      <c r="BH38" s="160">
        <f>IF(Q38=0,4,IF(W38=0,0,IF(Q38="","",IF(W38&lt;=Q38,1,IF(W38&gt;Q38*1.1,3,2)))))</f>
        <v>3</v>
      </c>
      <c r="BJ38" s="277"/>
      <c r="BK38" s="277"/>
      <c r="BL38" s="277"/>
      <c r="BM38" s="277"/>
      <c r="BN38" s="277"/>
      <c r="BO38" s="277"/>
      <c r="BP38" s="277"/>
      <c r="BQ38" s="277"/>
      <c r="BR38" s="277"/>
      <c r="BS38" s="277"/>
      <c r="BT38" s="277"/>
      <c r="BW38" s="667" t="str">
        <f>Cover!$M$34</f>
        <v>OCT FY-24</v>
      </c>
      <c r="BX38" s="666" t="str">
        <f>TEXT(CONCATENATE(CC38,"/01/20",CB38),"MMM")</f>
        <v>Oct</v>
      </c>
      <c r="BY38" s="643">
        <f>SUMIF($BI26:$BI37,$BX38,$BR26:$BR37)</f>
        <v>109.11199999999999</v>
      </c>
      <c r="BZ38" s="821">
        <f>IF(IF(CB38=CB38,SUMIF(BI26:BI37,$BX38,BU26:BU37),SUMIF(BI26:BI37,$BX38,BP26:BP37))=0,NA(),IF(CB38=CB38,SUMIF(BI26:BI37,$BX38,BU26:BU37),SUMIF(BI26:BI37,$BX38,BP26:BP37)))</f>
        <v>0.02</v>
      </c>
      <c r="CA38" s="644">
        <f>IF(SUMIF($BI26:$BI37,$BX38,$BS26:$BS37)=0,NA(),SUMIF($BI26:$BI37,$BX38,$BS26:$BS37))</f>
        <v>4.7070899626072298E-2</v>
      </c>
      <c r="CB38" s="645">
        <v>24</v>
      </c>
      <c r="CC38" s="645">
        <f>MONTH(DATEVALUE(LEFT(BW38,3)&amp;" 1"))</f>
        <v>10</v>
      </c>
    </row>
    <row r="39" spans="2:81" ht="45" customHeight="1">
      <c r="B39" s="1259" t="s">
        <v>397</v>
      </c>
      <c r="C39" s="1260"/>
      <c r="D39" s="1260"/>
      <c r="E39" s="1260"/>
      <c r="F39" s="1260"/>
      <c r="G39" s="1260"/>
      <c r="H39" s="1260"/>
      <c r="I39" s="1260"/>
      <c r="J39" s="1261"/>
      <c r="K39" s="1125">
        <f>SUMIF(FA!$BJ$45:$BJ$56,Cover!$M$36,FA!$BN$45:$BN$56)</f>
        <v>0</v>
      </c>
      <c r="L39" s="1125"/>
      <c r="M39" s="1125"/>
      <c r="N39" s="1125">
        <f>SUMIF(FA!$BK$45:$BK$56,Cover!$M$35,FA!$BO$45:$BO$56)</f>
        <v>0</v>
      </c>
      <c r="O39" s="1125"/>
      <c r="P39" s="1125"/>
      <c r="Q39" s="1285">
        <f>SUMIF(FA!$BJ$45:$BJ$56,Cover!$M$36,FA!$BU$45:$BU$56)</f>
        <v>0.02</v>
      </c>
      <c r="R39" s="1285"/>
      <c r="S39" s="1285"/>
      <c r="T39" s="1125">
        <f>IF(Cover!$M$36=1,SUMIF($BJ$45:$BJ$56,12,$BN$45:$BN$56),SUMIF(FA!$BJ$45:$BJ$56,Cover!$M$36-1,FA!$BS$45:$BS$56))</f>
        <v>1.9417959867554953E-2</v>
      </c>
      <c r="U39" s="1125"/>
      <c r="V39" s="1125"/>
      <c r="W39" s="1125">
        <f>SUMIF(FA!$BJ$45:$BJ$56,Cover!$M$36,FA!$BS$45:$BS$56)</f>
        <v>1.9565257235021349E-2</v>
      </c>
      <c r="X39" s="1125"/>
      <c r="Y39" s="1125"/>
      <c r="Z39" s="1125">
        <f>SUMIF(FA!$BK$45:$BK$56,Cover!$M$35,FA!$BT$45:$BT$56)</f>
        <v>1.9565257235021349E-2</v>
      </c>
      <c r="AA39" s="1125"/>
      <c r="AB39" s="1125"/>
      <c r="AC39" s="1257" t="s">
        <v>749</v>
      </c>
      <c r="AD39" s="1257"/>
      <c r="AE39" s="1257"/>
      <c r="AF39" s="1257"/>
      <c r="AG39" s="1257"/>
      <c r="AH39" s="1257"/>
      <c r="AI39" s="1257"/>
      <c r="AJ39" s="1257"/>
      <c r="AK39" s="1257"/>
      <c r="AL39" s="1257"/>
      <c r="AM39" s="1257"/>
      <c r="AN39" s="1257"/>
      <c r="AO39" s="1257"/>
      <c r="AP39" s="1257"/>
      <c r="AQ39" s="1257"/>
      <c r="AR39" s="1257"/>
      <c r="AS39" s="1257"/>
      <c r="AT39" s="1257"/>
      <c r="AU39" s="1257"/>
      <c r="AV39" s="1257"/>
      <c r="AW39" s="1257"/>
      <c r="AX39" s="1257"/>
      <c r="AY39" s="1257"/>
      <c r="AZ39" s="1257"/>
      <c r="BA39" s="1257"/>
      <c r="BB39" s="1257"/>
      <c r="BC39" s="1257"/>
      <c r="BD39" s="1257"/>
      <c r="BE39" s="1257"/>
      <c r="BH39" s="160">
        <f>IF(Q39=0,4,IF(W39=0,0,IF(Q39="","",IF(W39&lt;=Q39,1,IF(W39&gt;Q39*1.1,3,2)))))</f>
        <v>1</v>
      </c>
    </row>
    <row r="40" spans="2:81" ht="45" customHeight="1">
      <c r="B40" s="1179" t="s">
        <v>398</v>
      </c>
      <c r="C40" s="1180"/>
      <c r="D40" s="1180"/>
      <c r="E40" s="1180"/>
      <c r="F40" s="1180"/>
      <c r="G40" s="1180"/>
      <c r="H40" s="1180"/>
      <c r="I40" s="1180"/>
      <c r="J40" s="1180"/>
      <c r="K40" s="1262">
        <f>SUMIF(FA!$BJ$64:$BJ$75,Cover!$M$36,FA!$BN$64:$BN$75)</f>
        <v>1.35</v>
      </c>
      <c r="L40" s="1262"/>
      <c r="M40" s="1262"/>
      <c r="N40" s="1262">
        <f>SUMIF(FA!$BK$64:$BK$75,Cover!$M$35,FA!$BO$64:$BO$75)</f>
        <v>1.3511319534282018</v>
      </c>
      <c r="O40" s="1262"/>
      <c r="P40" s="1262"/>
      <c r="Q40" s="1263">
        <f>SUMIF(FA!$BJ$64:$BJ$75,Cover!$M$36,FA!$BU$64:$BU$75)</f>
        <v>3</v>
      </c>
      <c r="R40" s="1263"/>
      <c r="S40" s="1263"/>
      <c r="T40" s="1262">
        <f>IF(Cover!$M$36=1,SUMIF($BJ$64:$BJ$75,12,$BN$64:$BN$75),SUMIF(FA!$BJ$64:$BJ$75,Cover!$M$36-1,FA!$BS$64:$BS$75))</f>
        <v>2.08</v>
      </c>
      <c r="U40" s="1262"/>
      <c r="V40" s="1262"/>
      <c r="W40" s="1262">
        <f>SUMIF(FA!$BJ$64:$BJ$75,Cover!$M$36,FA!$BS$64:$BS$75)</f>
        <v>2.4300000000000002</v>
      </c>
      <c r="X40" s="1262"/>
      <c r="Y40" s="1262"/>
      <c r="Z40" s="1262">
        <f>SUMIF(FA!$BK$64:$BK$75,Cover!$M$35,FA!$BT$64:$BT$75)</f>
        <v>2.4300000000000002</v>
      </c>
      <c r="AA40" s="1262"/>
      <c r="AB40" s="1262"/>
      <c r="AC40" s="1271" t="s">
        <v>750</v>
      </c>
      <c r="AD40" s="1280"/>
      <c r="AE40" s="1280"/>
      <c r="AF40" s="1280"/>
      <c r="AG40" s="1280"/>
      <c r="AH40" s="1280"/>
      <c r="AI40" s="1280"/>
      <c r="AJ40" s="1280"/>
      <c r="AK40" s="1280"/>
      <c r="AL40" s="1280"/>
      <c r="AM40" s="1280"/>
      <c r="AN40" s="1280"/>
      <c r="AO40" s="1280"/>
      <c r="AP40" s="1280"/>
      <c r="AQ40" s="1280"/>
      <c r="AR40" s="1280"/>
      <c r="AS40" s="1280"/>
      <c r="AT40" s="1280"/>
      <c r="AU40" s="1280"/>
      <c r="AV40" s="1280"/>
      <c r="AW40" s="1280"/>
      <c r="AX40" s="1280"/>
      <c r="AY40" s="1280"/>
      <c r="AZ40" s="1280"/>
      <c r="BA40" s="1280"/>
      <c r="BB40" s="1280"/>
      <c r="BC40" s="1280"/>
      <c r="BD40" s="1280"/>
      <c r="BE40" s="1281"/>
      <c r="BH40" s="160">
        <f>IF(Q40=0,4,IF(W40=0,0,IF(Q40="","",IF(W40&lt;=Q40,1,IF(W40&gt;Q40*1.1,3,2)))))</f>
        <v>1</v>
      </c>
      <c r="BI40" s="54" t="s">
        <v>292</v>
      </c>
      <c r="BJ40" s="1116" t="s">
        <v>135</v>
      </c>
      <c r="BK40" s="1116"/>
      <c r="BL40" s="1116"/>
      <c r="BM40" s="1116"/>
      <c r="BN40" s="1116"/>
      <c r="BO40" s="1116"/>
      <c r="BP40" s="1116"/>
      <c r="BQ40" s="1116"/>
      <c r="BR40" s="1116"/>
      <c r="BS40" s="1116"/>
      <c r="BT40" s="1116"/>
      <c r="BU40" s="1116"/>
      <c r="BY40" s="270"/>
      <c r="BZ40" s="270"/>
      <c r="CA40" s="270"/>
      <c r="CB40" s="270"/>
      <c r="CC40" s="270"/>
    </row>
    <row r="41" spans="2:81" ht="45" customHeight="1">
      <c r="B41" s="1259" t="s">
        <v>399</v>
      </c>
      <c r="C41" s="1260"/>
      <c r="D41" s="1260"/>
      <c r="E41" s="1260"/>
      <c r="F41" s="1260"/>
      <c r="G41" s="1260"/>
      <c r="H41" s="1260"/>
      <c r="I41" s="1260"/>
      <c r="J41" s="1261"/>
      <c r="K41" s="1258">
        <f>SUMIF(FA!$BJ$83:$BJ$94,Cover!$M$36,FA!$BN$83:$BN$94)</f>
        <v>19.955876288659795</v>
      </c>
      <c r="L41" s="1258"/>
      <c r="M41" s="1258"/>
      <c r="N41" s="1258">
        <f>SUMIF(FA!$BK$83:$BK$94,Cover!$M$35,FA!$BO$83:$BO$94)</f>
        <v>26.13034039597083</v>
      </c>
      <c r="O41" s="1258"/>
      <c r="P41" s="1258"/>
      <c r="Q41" s="1264">
        <f>SUMIF(FA!$BJ$83:$BJ$94,Cover!$M$36,FA!$BU$83:$BU$94)</f>
        <v>0</v>
      </c>
      <c r="R41" s="1264"/>
      <c r="S41" s="1264"/>
      <c r="T41" s="1258">
        <f>IF(Cover!$M$36=1,SUMIF($BJ$83:$BJ$94,12,$BN$83:$BN$94),SUMIF(FA!$BJ$83:$BJ$94,Cover!$M$36-1,FA!$BS$83:$BS$94))</f>
        <v>23.201082055906223</v>
      </c>
      <c r="U41" s="1258"/>
      <c r="V41" s="1258"/>
      <c r="W41" s="1258">
        <f>SUMIF(FA!$BJ$83:$BJ$94,Cover!$M$36,FA!$BS$83:$BS$94)</f>
        <v>27.072475570032573</v>
      </c>
      <c r="X41" s="1258"/>
      <c r="Y41" s="1258"/>
      <c r="Z41" s="1277">
        <f>SUMIF(FA!$BK$83:$BK$94,Cover!$M$35,FA!$BT$83:$BT$94)</f>
        <v>27.072475570032573</v>
      </c>
      <c r="AA41" s="1278"/>
      <c r="AB41" s="1279"/>
      <c r="AC41" s="1282" t="s">
        <v>751</v>
      </c>
      <c r="AD41" s="1283"/>
      <c r="AE41" s="1283"/>
      <c r="AF41" s="1283"/>
      <c r="AG41" s="1283"/>
      <c r="AH41" s="1283"/>
      <c r="AI41" s="1283"/>
      <c r="AJ41" s="1283"/>
      <c r="AK41" s="1283"/>
      <c r="AL41" s="1283"/>
      <c r="AM41" s="1283"/>
      <c r="AN41" s="1283"/>
      <c r="AO41" s="1283"/>
      <c r="AP41" s="1283"/>
      <c r="AQ41" s="1283"/>
      <c r="AR41" s="1283"/>
      <c r="AS41" s="1283"/>
      <c r="AT41" s="1283"/>
      <c r="AU41" s="1283"/>
      <c r="AV41" s="1283"/>
      <c r="AW41" s="1283"/>
      <c r="AX41" s="1283"/>
      <c r="AY41" s="1283"/>
      <c r="AZ41" s="1283"/>
      <c r="BA41" s="1283"/>
      <c r="BB41" s="1283"/>
      <c r="BC41" s="1283"/>
      <c r="BD41" s="1283"/>
      <c r="BE41" s="1284"/>
      <c r="BH41" s="160">
        <f>IF(Q41=0,4,IF(W41=0,0,IF(Q41="","",IF(W41&gt;=Q41,1,IF(W41&lt;Q41*0.9,3,2)))))</f>
        <v>4</v>
      </c>
      <c r="BI41" s="54" t="s">
        <v>296</v>
      </c>
      <c r="BJ41" s="1233" t="s">
        <v>394</v>
      </c>
      <c r="BK41" s="1233"/>
      <c r="BL41" s="1233"/>
      <c r="BM41" s="1233"/>
      <c r="BN41" s="1233"/>
      <c r="BO41" s="1233"/>
      <c r="BP41" s="1233"/>
      <c r="BQ41" s="1233"/>
      <c r="BR41" s="1233"/>
      <c r="BS41" s="1233"/>
      <c r="BT41" s="1233"/>
      <c r="BU41" s="1233"/>
      <c r="BW41" s="270"/>
      <c r="BX41" s="270"/>
    </row>
    <row r="42" spans="2:81" ht="45" customHeight="1" thickBot="1">
      <c r="B42" s="1268" t="s">
        <v>387</v>
      </c>
      <c r="C42" s="1269"/>
      <c r="D42" s="1269"/>
      <c r="E42" s="1269"/>
      <c r="F42" s="1269"/>
      <c r="G42" s="1269"/>
      <c r="H42" s="1269"/>
      <c r="I42" s="1269"/>
      <c r="J42" s="1270"/>
      <c r="K42" s="1265">
        <f>SUMIF(FA!$BJ$101:$BJ$112,Cover!$M$36,FA!$BN$101:$BN$112)</f>
        <v>0.98698481561822127</v>
      </c>
      <c r="L42" s="1266"/>
      <c r="M42" s="1267"/>
      <c r="N42" s="1265">
        <f>SUMIF(FA!$BK$101:$BK$112,Cover!$M$35,FA!$BO$101:$BO$112)</f>
        <v>0.9836126629422719</v>
      </c>
      <c r="O42" s="1266"/>
      <c r="P42" s="1267"/>
      <c r="Q42" s="1274">
        <f>SUMIF(FA!$BJ$101:$BJ$112,Cover!$M$36,FA!$BU$101:$BU$112)</f>
        <v>0.98</v>
      </c>
      <c r="R42" s="1275"/>
      <c r="S42" s="1276"/>
      <c r="T42" s="1265">
        <f>IF(Cover!$M$36=1,SUMIF($BJ$101:$BJ$112,12,$BN$101:$BN$112),SUMIF(FA!$BJ$101:$BJ$112,Cover!$M$36-1,FA!$BS$101:$BS$112))</f>
        <v>0.99776286353467558</v>
      </c>
      <c r="U42" s="1266"/>
      <c r="V42" s="1267"/>
      <c r="W42" s="1265">
        <f>SUMIF(FA!$BJ$101:$BJ$112,Cover!$M$36,FA!$BS$101:$BS$112)</f>
        <v>0.98429833169774283</v>
      </c>
      <c r="X42" s="1266"/>
      <c r="Y42" s="1267"/>
      <c r="Z42" s="1265">
        <f>SUMIF(FA!$BK$101:$BK$112,Cover!$M$35,FA!$BT$101:$BT$112)</f>
        <v>0.98429833169774283</v>
      </c>
      <c r="AA42" s="1266"/>
      <c r="AB42" s="1267"/>
      <c r="AC42" s="1271" t="s">
        <v>752</v>
      </c>
      <c r="AD42" s="1272"/>
      <c r="AE42" s="1272"/>
      <c r="AF42" s="1272"/>
      <c r="AG42" s="1272"/>
      <c r="AH42" s="1272"/>
      <c r="AI42" s="1272"/>
      <c r="AJ42" s="1272"/>
      <c r="AK42" s="1272"/>
      <c r="AL42" s="1272"/>
      <c r="AM42" s="1272"/>
      <c r="AN42" s="1272"/>
      <c r="AO42" s="1272"/>
      <c r="AP42" s="1272"/>
      <c r="AQ42" s="1272"/>
      <c r="AR42" s="1272"/>
      <c r="AS42" s="1272"/>
      <c r="AT42" s="1272"/>
      <c r="AU42" s="1272"/>
      <c r="AV42" s="1272"/>
      <c r="AW42" s="1272"/>
      <c r="AX42" s="1272"/>
      <c r="AY42" s="1272"/>
      <c r="AZ42" s="1272"/>
      <c r="BA42" s="1272"/>
      <c r="BB42" s="1272"/>
      <c r="BC42" s="1272"/>
      <c r="BD42" s="1272"/>
      <c r="BE42" s="1273"/>
      <c r="BH42" s="160">
        <f>IF(Q42=0,4,IF(W42=0,0,IF(Q42="","",IF(W42&gt;=Q42,1,IF(W42&lt;Q42*0.9,3,2)))))</f>
        <v>1</v>
      </c>
      <c r="BI42" s="54" t="s">
        <v>300</v>
      </c>
      <c r="BJ42" s="1233" t="s">
        <v>395</v>
      </c>
      <c r="BK42" s="1233"/>
      <c r="BL42" s="1233"/>
      <c r="BM42" s="1233"/>
      <c r="BN42" s="1233"/>
      <c r="BO42" s="1233"/>
      <c r="BP42" s="1233"/>
      <c r="BQ42" s="1233"/>
      <c r="BR42" s="1233"/>
      <c r="BS42" s="1233"/>
      <c r="BT42" s="1233"/>
      <c r="BU42" s="1233"/>
      <c r="BY42" s="270"/>
      <c r="BZ42" s="270"/>
      <c r="CA42" s="270"/>
      <c r="CB42" s="270"/>
      <c r="CC42" s="270"/>
    </row>
    <row r="43" spans="2:81" ht="15" customHeight="1" thickBot="1">
      <c r="B43" s="26"/>
      <c r="C43" s="23"/>
      <c r="V43" s="23"/>
      <c r="W43" s="23"/>
      <c r="X43" s="23"/>
      <c r="Y43" s="25"/>
      <c r="Z43" s="25"/>
      <c r="AA43" s="25"/>
      <c r="AB43" s="25"/>
      <c r="AC43" s="25"/>
      <c r="AD43" s="395"/>
      <c r="AE43" s="23"/>
      <c r="AF43" s="23"/>
      <c r="BI43" s="277"/>
      <c r="BJ43" s="277"/>
      <c r="BK43" s="277"/>
      <c r="BL43" s="1148" t="s">
        <v>302</v>
      </c>
      <c r="BM43" s="1149"/>
      <c r="BN43" s="1149"/>
      <c r="BO43" s="1149"/>
      <c r="BP43" s="1151"/>
      <c r="BQ43" s="1148" t="s">
        <v>719</v>
      </c>
      <c r="BR43" s="1149"/>
      <c r="BS43" s="1149"/>
      <c r="BT43" s="1149"/>
      <c r="BU43" s="1150"/>
      <c r="BW43" s="1148" t="s">
        <v>303</v>
      </c>
      <c r="BX43" s="1149"/>
      <c r="BY43" s="1149"/>
      <c r="BZ43" s="1149"/>
      <c r="CA43" s="1149"/>
      <c r="CB43" s="1149"/>
      <c r="CC43" s="1150"/>
    </row>
    <row r="44" spans="2:81" ht="15" customHeight="1">
      <c r="B44" s="531" t="s">
        <v>350</v>
      </c>
      <c r="C44" s="533"/>
      <c r="D44" s="533"/>
      <c r="E44" s="533"/>
      <c r="F44" s="533"/>
      <c r="G44" s="532"/>
      <c r="H44" s="532"/>
      <c r="I44" s="532"/>
      <c r="J44" s="532"/>
      <c r="K44" s="532"/>
      <c r="L44" s="539"/>
      <c r="M44" s="533"/>
      <c r="N44" s="533"/>
      <c r="O44" s="532"/>
      <c r="P44" s="532"/>
      <c r="Q44" s="532"/>
      <c r="R44" s="532"/>
      <c r="S44" s="532"/>
      <c r="T44" s="532"/>
      <c r="U44" s="532"/>
      <c r="V44" s="532"/>
      <c r="W44" s="532"/>
      <c r="X44" s="532"/>
      <c r="Y44" s="532"/>
      <c r="Z44" s="532"/>
      <c r="AA44" s="532"/>
      <c r="AB44" s="532"/>
      <c r="AC44" s="532"/>
      <c r="AD44" s="532"/>
      <c r="AE44" s="532"/>
      <c r="AF44" s="532"/>
      <c r="AG44" s="532"/>
      <c r="AH44" s="532"/>
      <c r="AI44" s="532"/>
      <c r="AJ44" s="532"/>
      <c r="AK44" s="532"/>
      <c r="AL44" s="532"/>
      <c r="AM44" s="532"/>
      <c r="AN44" s="532"/>
      <c r="AO44" s="532"/>
      <c r="AP44" s="532"/>
      <c r="AQ44" s="532"/>
      <c r="AR44" s="532"/>
      <c r="AS44" s="532"/>
      <c r="AT44" s="532"/>
      <c r="AU44" s="532"/>
      <c r="AV44" s="532"/>
      <c r="AW44" s="532"/>
      <c r="AX44" s="532"/>
      <c r="AY44" s="532"/>
      <c r="AZ44" s="532"/>
      <c r="BA44" s="532"/>
      <c r="BB44" s="532"/>
      <c r="BC44" s="532"/>
      <c r="BD44" s="532"/>
      <c r="BE44" s="532"/>
      <c r="BI44" s="636" t="s">
        <v>23</v>
      </c>
      <c r="BJ44" s="636" t="s">
        <v>37</v>
      </c>
      <c r="BK44" s="636" t="s">
        <v>304</v>
      </c>
      <c r="BL44" s="637" t="s">
        <v>305</v>
      </c>
      <c r="BM44" s="637" t="s">
        <v>310</v>
      </c>
      <c r="BN44" s="637" t="s">
        <v>311</v>
      </c>
      <c r="BO44" s="278" t="s">
        <v>312</v>
      </c>
      <c r="BP44" s="637" t="s">
        <v>313</v>
      </c>
      <c r="BQ44" s="637" t="s">
        <v>305</v>
      </c>
      <c r="BR44" s="637" t="s">
        <v>715</v>
      </c>
      <c r="BS44" s="637" t="s">
        <v>716</v>
      </c>
      <c r="BT44" s="278" t="s">
        <v>717</v>
      </c>
      <c r="BU44" s="637" t="s">
        <v>718</v>
      </c>
      <c r="BW44" s="279" t="s">
        <v>314</v>
      </c>
      <c r="BX44" s="279" t="s">
        <v>23</v>
      </c>
      <c r="BY44" s="279" t="s">
        <v>315</v>
      </c>
      <c r="BZ44" s="279" t="s">
        <v>122</v>
      </c>
      <c r="CA44" s="279" t="s">
        <v>316</v>
      </c>
      <c r="CB44" s="279" t="s">
        <v>317</v>
      </c>
      <c r="CC44" s="279" t="s">
        <v>318</v>
      </c>
    </row>
    <row r="45" spans="2:81" ht="15" customHeight="1">
      <c r="F45" s="337"/>
      <c r="G45" s="338"/>
      <c r="BI45" s="638" t="s">
        <v>319</v>
      </c>
      <c r="BJ45" s="638">
        <v>1</v>
      </c>
      <c r="BK45" s="638" t="s">
        <v>320</v>
      </c>
      <c r="BL45" s="690"/>
      <c r="BM45" s="690"/>
      <c r="BN45" s="655" t="str">
        <f>IF(BM45="","",BL45/BM45)</f>
        <v/>
      </c>
      <c r="BO45" s="833">
        <f>IF(SUM(BM45:BM47=0),0,SUM(BL45:BL47)/SUM(BM45:BM47))</f>
        <v>0</v>
      </c>
      <c r="BP45" s="821"/>
      <c r="BQ45" s="690">
        <v>2.1349999999999998</v>
      </c>
      <c r="BR45" s="690">
        <v>109.122</v>
      </c>
      <c r="BS45" s="669">
        <f>IF(BR45="","",BQ45/BR45)</f>
        <v>1.9565257235021349E-2</v>
      </c>
      <c r="BT45" s="833">
        <f>IF(SUM(BR45:BR47=0),0,SUM(BQ45:BQ47)/SUM(BR45:BR47))</f>
        <v>1.9565257235021349E-2</v>
      </c>
      <c r="BU45" s="821">
        <v>0.02</v>
      </c>
      <c r="BX45" s="666" t="str">
        <f t="shared" ref="BX45:BX56" si="9">TEXT(CONCATENATE(CC45,"/01/20",CB45),"MMM")</f>
        <v>Oct</v>
      </c>
      <c r="BY45" s="643">
        <f>IF(CB45=$CB$57,SUMIF($BI$45:$BI$56,$BX45,$BR$45:$BR$56),SUMIF($BI$45:$BI$56,$BX45,$BM$45:$BM$56))</f>
        <v>0</v>
      </c>
      <c r="BZ45" s="821" t="e">
        <f>IF(IF(CB45=CB57,SUMIF($BI$45:$BI$56,$BX45,$BU$45:$BU$56),SUMIF($BI$45:$BI$56,$BX45,$BP$45:$BP$56))=0,NA(),IF(CB45=CB57,SUMIF($BI$45:$BI$56,$BX45,$BU$45:$BU$56),SUMIF($BI$45:$BI$56,$BX45,$BP$45:$BP$56)))</f>
        <v>#N/A</v>
      </c>
      <c r="CA45" s="874" t="e">
        <f>IF(IF(CB45=CB57,SUMIF(BI45:BI56,$BX45,BS45:BS56),SUMIF(BI45:BI56,$BX45,BN45:BN56))=0,NA(),IF(CB45=CB57,SUMIF(BI45:BI56,$BX45,BS45:BS56),SUMIF(BI45:BI56,$BX45,BN45:BN56)))</f>
        <v>#N/A</v>
      </c>
      <c r="CB45" s="645">
        <f>CB26</f>
        <v>23</v>
      </c>
      <c r="CC45" s="645">
        <f t="shared" ref="CC45:CC55" si="10">IF(CC46-1&lt;1,CC46+11,CC46-1)</f>
        <v>10</v>
      </c>
    </row>
    <row r="46" spans="2:81" ht="15" customHeight="1">
      <c r="B46" s="609"/>
      <c r="F46" s="337"/>
      <c r="G46" s="338"/>
      <c r="AD46" s="336"/>
      <c r="BI46" s="638" t="s">
        <v>321</v>
      </c>
      <c r="BJ46" s="638">
        <v>2</v>
      </c>
      <c r="BK46" s="638" t="s">
        <v>320</v>
      </c>
      <c r="BL46" s="690"/>
      <c r="BM46" s="690"/>
      <c r="BN46" s="655" t="str">
        <f t="shared" ref="BN46:BN56" si="11">IF(BM46="","",BL46/BM46)</f>
        <v/>
      </c>
      <c r="BO46" s="290"/>
      <c r="BP46" s="821"/>
      <c r="BQ46" s="690"/>
      <c r="BR46" s="690"/>
      <c r="BS46" s="669" t="str">
        <f t="shared" ref="BS46:BS56" si="12">IF(BR46="","",BQ46/BR46)</f>
        <v/>
      </c>
      <c r="BT46" s="290"/>
      <c r="BU46" s="821">
        <v>0.02</v>
      </c>
      <c r="BX46" s="666" t="str">
        <f t="shared" si="9"/>
        <v>Nov</v>
      </c>
      <c r="BY46" s="643">
        <f t="shared" ref="BY46:BY56" si="13">IF(CB46=$CB$57,SUMIF($BI$45:$BI$56,$BX46,$BR$45:$BR$56),SUMIF($BI$45:$BI$56,$BX46,$BM$45:$BM$56))</f>
        <v>0</v>
      </c>
      <c r="BZ46" s="821" t="e">
        <f>IF(IF(CB46=CB57,SUMIF($BI$45:$BI$56,$BX46,$BU$45:$BU$56),SUMIF($BI$45:$BI$56,$BX46,$BP$45:$BP$56))=0,NA(),IF(CB46=CB57,SUMIF($BI$45:$BI$56,$BX46,$BU$45:$BU$56),SUMIF($BI$45:$BI$56,$BX46,$BP$45:$BP$56)))</f>
        <v>#N/A</v>
      </c>
      <c r="CA46" s="874" t="e">
        <f>IF(IF(CB46=CB57,SUMIF(BI45:BI56,$BX46,BS45:BS56),SUMIF(BI45:BI56,$BX46,BN45:BN56))=0,NA(),IF(CB46=CB57,SUMIF(BI45:BI56,$BX46,BS45:BS56),SUMIF(BI45:BI56,$BX46,BN45:BN56)))</f>
        <v>#N/A</v>
      </c>
      <c r="CB46" s="645">
        <f t="shared" ref="CB46:CB57" si="14">CB27</f>
        <v>23</v>
      </c>
      <c r="CC46" s="645">
        <f t="shared" si="10"/>
        <v>11</v>
      </c>
    </row>
    <row r="47" spans="2:81" ht="15" customHeight="1">
      <c r="BI47" s="638" t="s">
        <v>322</v>
      </c>
      <c r="BJ47" s="638">
        <v>3</v>
      </c>
      <c r="BK47" s="638" t="s">
        <v>320</v>
      </c>
      <c r="BL47" s="690"/>
      <c r="BM47" s="690"/>
      <c r="BN47" s="655" t="str">
        <f t="shared" si="11"/>
        <v/>
      </c>
      <c r="BO47" s="290"/>
      <c r="BP47" s="821"/>
      <c r="BQ47" s="690"/>
      <c r="BR47" s="690"/>
      <c r="BS47" s="669" t="str">
        <f t="shared" si="12"/>
        <v/>
      </c>
      <c r="BT47" s="290"/>
      <c r="BU47" s="821">
        <v>0.02</v>
      </c>
      <c r="BX47" s="666" t="str">
        <f t="shared" si="9"/>
        <v>Dec</v>
      </c>
      <c r="BY47" s="643">
        <f t="shared" si="13"/>
        <v>0</v>
      </c>
      <c r="BZ47" s="821" t="e">
        <f>IF(IF(CB47=CB57,SUMIF($BI$45:$BI$56,$BX47,$BU$45:$BU$56),SUMIF($BI$45:$BI$56,$BX47,$BP$45:$BP$56))=0,NA(),IF(CB47=CB57,SUMIF($BI$45:$BI$56,$BX47,$BU$45:$BU$56),SUMIF($BI$45:$BI$56,$BX47,$BP$45:$BP$56)))</f>
        <v>#N/A</v>
      </c>
      <c r="CA47" s="874" t="e">
        <f>IF(IF(CB47=CB57,SUMIF(BI45:BI56,$BX47,BS45:BS56),SUMIF(BI45:BI56,$BX47,BN45:BN56))=0,NA(),IF(CB47=CB57,SUMIF(BI45:BI56,$BX47,BS45:BS56),SUMIF(BI45:BI56,$BX47,BN45:BN56)))</f>
        <v>#N/A</v>
      </c>
      <c r="CB47" s="645">
        <f t="shared" si="14"/>
        <v>23</v>
      </c>
      <c r="CC47" s="645">
        <f t="shared" si="10"/>
        <v>12</v>
      </c>
    </row>
    <row r="48" spans="2:81" ht="15" customHeight="1">
      <c r="BI48" s="638" t="s">
        <v>323</v>
      </c>
      <c r="BJ48" s="638">
        <v>4</v>
      </c>
      <c r="BK48" s="638" t="s">
        <v>324</v>
      </c>
      <c r="BL48" s="690">
        <v>1.6639999999999999</v>
      </c>
      <c r="BM48" s="690">
        <v>88.14</v>
      </c>
      <c r="BN48" s="655">
        <f t="shared" si="11"/>
        <v>1.887905604719764E-2</v>
      </c>
      <c r="BO48" s="833">
        <f>IF(SUM(BM48:BM50=0),0,SUM(BL48:BL50)/SUM(BM48:BM50))</f>
        <v>1.9475197806618886E-2</v>
      </c>
      <c r="BP48" s="821">
        <v>0.02</v>
      </c>
      <c r="BQ48" s="690"/>
      <c r="BR48" s="690"/>
      <c r="BS48" s="669" t="str">
        <f t="shared" si="12"/>
        <v/>
      </c>
      <c r="BT48" s="833">
        <f>IF(SUM(BR48:BR50=0),0,SUM(BQ48:BQ50)/SUM(BR48:BR50))</f>
        <v>0</v>
      </c>
      <c r="BU48" s="821">
        <v>0.02</v>
      </c>
      <c r="BX48" s="666" t="str">
        <f t="shared" si="9"/>
        <v>Jan</v>
      </c>
      <c r="BY48" s="643">
        <f t="shared" si="13"/>
        <v>88.14</v>
      </c>
      <c r="BZ48" s="821">
        <f>IF(IF(CB48=CB57,SUMIF($BI$45:$BI$56,$BX48,$BU$45:$BU$56),SUMIF($BI$45:$BI$56,$BX48,$BP$45:$BP$56))=0,NA(),IF(CB48=CB57,SUMIF($BI$45:$BI$56,$BX48,$BU$45:$BU$56),SUMIF($BI$45:$BI$56,$BX48,$BP$45:$BP$56)))</f>
        <v>0.02</v>
      </c>
      <c r="CA48" s="874">
        <f>IF(IF(CB48=CB57,SUMIF(BI45:BI56,$BX48,BS45:BS56),SUMIF(BI45:BI56,$BX48,BN45:BN56))=0,NA(),IF(CB48=CB57,SUMIF(BI45:BI56,$BX48,BS45:BS56),SUMIF(BI45:BI56,$BX48,BN45:BN56)))</f>
        <v>1.887905604719764E-2</v>
      </c>
      <c r="CB48" s="645">
        <f t="shared" si="14"/>
        <v>23</v>
      </c>
      <c r="CC48" s="645">
        <f t="shared" si="10"/>
        <v>1</v>
      </c>
    </row>
    <row r="49" spans="2:81" ht="15" customHeight="1">
      <c r="BI49" s="638" t="s">
        <v>325</v>
      </c>
      <c r="BJ49" s="638">
        <v>5</v>
      </c>
      <c r="BK49" s="638" t="s">
        <v>324</v>
      </c>
      <c r="BL49" s="690">
        <v>1.835</v>
      </c>
      <c r="BM49" s="822">
        <v>93.203999999999994</v>
      </c>
      <c r="BN49" s="655">
        <f t="shared" si="11"/>
        <v>1.9687996223338056E-2</v>
      </c>
      <c r="BO49" s="290"/>
      <c r="BP49" s="821">
        <v>0.02</v>
      </c>
      <c r="BQ49" s="690"/>
      <c r="BR49" s="822"/>
      <c r="BS49" s="669" t="str">
        <f t="shared" si="12"/>
        <v/>
      </c>
      <c r="BT49" s="290"/>
      <c r="BU49" s="821">
        <v>0.02</v>
      </c>
      <c r="BX49" s="666" t="str">
        <f t="shared" si="9"/>
        <v>Feb</v>
      </c>
      <c r="BY49" s="643">
        <f t="shared" si="13"/>
        <v>93.203999999999994</v>
      </c>
      <c r="BZ49" s="821">
        <f>IF(IF(CB49=CB57,SUMIF($BI$45:$BI$56,$BX49,$BU$45:$BU$56),SUMIF($BI$45:$BI$56,$BX49,$BP$45:$BP$56))=0,NA(),IF(CB49=CB57,SUMIF($BI$45:$BI$56,$BX49,$BU$45:$BU$56),SUMIF($BI$45:$BI$56,$BX49,$BP$45:$BP$56)))</f>
        <v>0.02</v>
      </c>
      <c r="CA49" s="874">
        <f>IF(IF(CB49=CB57,SUMIF(BI45:BI56,$BX49,BS45:BS56),SUMIF(BI45:BI56,$BX49,BN45:BN56))=0,NA(),IF(CB49=CB57,SUMIF(BI45:BI56,$BX49,BS45:BS56),SUMIF(BI45:BI56,$BX49,BN45:BN56)))</f>
        <v>1.9687996223338056E-2</v>
      </c>
      <c r="CB49" s="645">
        <f t="shared" si="14"/>
        <v>23</v>
      </c>
      <c r="CC49" s="645">
        <f t="shared" si="10"/>
        <v>2</v>
      </c>
    </row>
    <row r="50" spans="2:81" ht="15" customHeight="1">
      <c r="BI50" s="638" t="s">
        <v>326</v>
      </c>
      <c r="BJ50" s="638">
        <v>6</v>
      </c>
      <c r="BK50" s="638" t="s">
        <v>324</v>
      </c>
      <c r="BL50" s="690">
        <v>1.7290000000000001</v>
      </c>
      <c r="BM50" s="822">
        <v>87.1</v>
      </c>
      <c r="BN50" s="655">
        <f t="shared" si="11"/>
        <v>1.9850746268656717E-2</v>
      </c>
      <c r="BO50" s="290"/>
      <c r="BP50" s="821">
        <v>0.02</v>
      </c>
      <c r="BQ50" s="690"/>
      <c r="BR50" s="822"/>
      <c r="BS50" s="669" t="str">
        <f t="shared" si="12"/>
        <v/>
      </c>
      <c r="BT50" s="290"/>
      <c r="BU50" s="821">
        <v>0.02</v>
      </c>
      <c r="BX50" s="666" t="str">
        <f t="shared" si="9"/>
        <v>Mar</v>
      </c>
      <c r="BY50" s="643">
        <f t="shared" si="13"/>
        <v>87.1</v>
      </c>
      <c r="BZ50" s="821">
        <f>IF(IF(CB50=CB57,SUMIF($BI$45:$BI$56,$BX50,$BU$45:$BU$56),SUMIF($BI$45:$BI$56,$BX50,$BP$45:$BP$56))=0,NA(),IF(CB50=CB57,SUMIF($BI$45:$BI$56,$BX50,$BU$45:$BU$56),SUMIF($BI$45:$BI$56,$BX50,$BP$45:$BP$56)))</f>
        <v>0.02</v>
      </c>
      <c r="CA50" s="874">
        <f>IF(IF(CB50=CB57,SUMIF(BI45:BI56,$BX50,BS45:BS56),SUMIF(BI45:BI56,$BX50,BN45:BN56))=0,NA(),IF(CB50=CB57,SUMIF(BI45:BI56,$BX50,BS45:BS56),SUMIF(BI45:BI56,$BX50,BN45:BN56)))</f>
        <v>1.9850746268656717E-2</v>
      </c>
      <c r="CB50" s="645">
        <f>CB31</f>
        <v>23</v>
      </c>
      <c r="CC50" s="645">
        <f t="shared" si="10"/>
        <v>3</v>
      </c>
    </row>
    <row r="51" spans="2:81" ht="15" customHeight="1">
      <c r="BI51" s="638" t="s">
        <v>327</v>
      </c>
      <c r="BJ51" s="638">
        <v>7</v>
      </c>
      <c r="BK51" s="638" t="s">
        <v>328</v>
      </c>
      <c r="BL51" s="690">
        <v>1.601</v>
      </c>
      <c r="BM51" s="822">
        <v>82.088999999999999</v>
      </c>
      <c r="BN51" s="655">
        <f t="shared" si="11"/>
        <v>1.9503222112585122E-2</v>
      </c>
      <c r="BO51" s="833">
        <f>IF(SUM(BM51:BM53=0),0,SUM(BL51:BL53)/SUM(BM51:BM53))</f>
        <v>1.9489619788120159E-2</v>
      </c>
      <c r="BP51" s="821">
        <v>0.02</v>
      </c>
      <c r="BQ51" s="690"/>
      <c r="BR51" s="822"/>
      <c r="BS51" s="669" t="str">
        <f t="shared" si="12"/>
        <v/>
      </c>
      <c r="BT51" s="833">
        <f>IF(SUM(BR51:BR53=0),0,SUM(BQ51:BQ53)/SUM(BR51:BR53))</f>
        <v>0</v>
      </c>
      <c r="BU51" s="821">
        <v>0.02</v>
      </c>
      <c r="BX51" s="666" t="str">
        <f t="shared" si="9"/>
        <v>Apr</v>
      </c>
      <c r="BY51" s="643">
        <f t="shared" si="13"/>
        <v>82.088999999999999</v>
      </c>
      <c r="BZ51" s="821">
        <f>IF(IF(CB51=CB57,SUMIF($BI$45:$BI$56,$BX51,$BU$45:$BU$56),SUMIF($BI$45:$BI$56,$BX51,$BP$45:$BP$56))=0,NA(),IF(CB51=CB57,SUMIF($BI$45:$BI$56,$BX51,$BU$45:$BU$56),SUMIF($BI$45:$BI$56,$BX51,$BP$45:$BP$56)))</f>
        <v>0.02</v>
      </c>
      <c r="CA51" s="874">
        <f>IF(IF(CB51=CB57,SUMIF(BI45:BI56,$BX51,BS45:BS56),SUMIF(BI45:BI56,$BX51,BN45:BN56))=0,NA(),IF(CB51=CB57,SUMIF(BI45:BI56,$BX51,BS45:BS56),SUMIF(BI45:BI56,$BX51,BN45:BN56)))</f>
        <v>1.9503222112585122E-2</v>
      </c>
      <c r="CB51" s="645">
        <f>CB32</f>
        <v>23</v>
      </c>
      <c r="CC51" s="645">
        <f t="shared" si="10"/>
        <v>4</v>
      </c>
    </row>
    <row r="52" spans="2:81" ht="15" customHeight="1">
      <c r="BI52" s="638" t="s">
        <v>329</v>
      </c>
      <c r="BJ52" s="638">
        <v>8</v>
      </c>
      <c r="BK52" s="638" t="s">
        <v>328</v>
      </c>
      <c r="BL52" s="690">
        <v>1.403</v>
      </c>
      <c r="BM52" s="822">
        <v>71.635000000000005</v>
      </c>
      <c r="BN52" s="655">
        <f t="shared" si="11"/>
        <v>1.9585398199204299E-2</v>
      </c>
      <c r="BO52" s="290"/>
      <c r="BP52" s="821">
        <v>0.02</v>
      </c>
      <c r="BQ52" s="690"/>
      <c r="BR52" s="822"/>
      <c r="BS52" s="669" t="str">
        <f t="shared" si="12"/>
        <v/>
      </c>
      <c r="BT52" s="290"/>
      <c r="BU52" s="821">
        <v>0.02</v>
      </c>
      <c r="BX52" s="666" t="str">
        <f t="shared" si="9"/>
        <v>May</v>
      </c>
      <c r="BY52" s="643">
        <f t="shared" si="13"/>
        <v>71.635000000000005</v>
      </c>
      <c r="BZ52" s="821">
        <f>IF(IF(CB52=CB57,SUMIF($BI$45:$BI$56,$BX52,$BU$45:$BU$56),SUMIF($BI$45:$BI$56,$BX52,$BP$45:$BP$56))=0,NA(),IF(CB52=CB57,SUMIF($BI$45:$BI$56,$BX52,$BU$45:$BU$56),SUMIF($BI$45:$BI$56,$BX52,$BP$45:$BP$56)))</f>
        <v>0.02</v>
      </c>
      <c r="CA52" s="874">
        <f>IF(IF(CB52=CB57,SUMIF(BI45:BI56,$BX52,BS45:BS56),SUMIF(BI45:BI56,$BX52,BN45:BN56))=0,NA(),IF(CB52=CB57,SUMIF(BI45:BI56,$BX52,BS45:BS56),SUMIF(BI45:BI56,$BX52,BN45:BN56)))</f>
        <v>1.9585398199204299E-2</v>
      </c>
      <c r="CB52" s="645">
        <f t="shared" si="14"/>
        <v>23</v>
      </c>
      <c r="CC52" s="645">
        <f t="shared" si="10"/>
        <v>5</v>
      </c>
    </row>
    <row r="53" spans="2:81" ht="15" customHeight="1">
      <c r="BI53" s="638" t="s">
        <v>331</v>
      </c>
      <c r="BJ53" s="638">
        <v>9</v>
      </c>
      <c r="BK53" s="638" t="s">
        <v>328</v>
      </c>
      <c r="BL53" s="690">
        <v>1.919</v>
      </c>
      <c r="BM53" s="822">
        <v>98.872</v>
      </c>
      <c r="BN53" s="655">
        <f t="shared" si="11"/>
        <v>1.9408932761550288E-2</v>
      </c>
      <c r="BO53" s="290"/>
      <c r="BP53" s="821">
        <v>0.02</v>
      </c>
      <c r="BQ53" s="690"/>
      <c r="BR53" s="822"/>
      <c r="BS53" s="669" t="str">
        <f t="shared" si="12"/>
        <v/>
      </c>
      <c r="BT53" s="290"/>
      <c r="BU53" s="821">
        <v>0.02</v>
      </c>
      <c r="BX53" s="666" t="str">
        <f t="shared" si="9"/>
        <v>Jun</v>
      </c>
      <c r="BY53" s="643">
        <f t="shared" si="13"/>
        <v>98.872</v>
      </c>
      <c r="BZ53" s="821">
        <f>IF(IF(CB53=CB57,SUMIF($BI$45:$BI$56,$BX53,$BU$45:$BU$56),SUMIF($BI$45:$BI$56,$BX53,$BP$45:$BP$56))=0,NA(),IF(CB53=CB57,SUMIF($BI$45:$BI$56,$BX53,$BU$45:$BU$56),SUMIF($BI$45:$BI$56,$BX53,$BP$45:$BP$56)))</f>
        <v>0.02</v>
      </c>
      <c r="CA53" s="874">
        <f>IF(IF(CB53=CB57,SUMIF(BI45:BI56,$BX53,BS45:BS56),SUMIF(BI45:BI56,$BX53,BN45:BN56))=0,NA(),IF(CB53=CB57,SUMIF(BI45:BI56,$BX53,BS45:BS56),SUMIF(BI45:BI56,$BX53,BN45:BN56)))</f>
        <v>1.9408932761550288E-2</v>
      </c>
      <c r="CB53" s="645">
        <f t="shared" si="14"/>
        <v>23</v>
      </c>
      <c r="CC53" s="645">
        <f t="shared" si="10"/>
        <v>6</v>
      </c>
    </row>
    <row r="54" spans="2:81" ht="15" customHeight="1">
      <c r="BI54" s="638" t="s">
        <v>337</v>
      </c>
      <c r="BJ54" s="638">
        <v>10</v>
      </c>
      <c r="BK54" s="638" t="s">
        <v>338</v>
      </c>
      <c r="BL54" s="690">
        <v>1.5760000000000001</v>
      </c>
      <c r="BM54" s="822">
        <v>80.849000000000004</v>
      </c>
      <c r="BN54" s="655">
        <f t="shared" si="11"/>
        <v>1.9493129166718203E-2</v>
      </c>
      <c r="BO54" s="833">
        <f>IF(SUM(BM54:BM56=0),0,SUM(BL54:BL56)/SUM(BM54:BM56))</f>
        <v>1.9465462074157728E-2</v>
      </c>
      <c r="BP54" s="821">
        <v>0.02</v>
      </c>
      <c r="BQ54" s="690"/>
      <c r="BR54" s="822"/>
      <c r="BS54" s="669" t="str">
        <f t="shared" si="12"/>
        <v/>
      </c>
      <c r="BT54" s="833">
        <f>IF(SUM(BR54:BR56=0),0,SUM(BQ54:BQ56)/SUM(BR54:BR56))</f>
        <v>0</v>
      </c>
      <c r="BU54" s="821">
        <v>0.02</v>
      </c>
      <c r="BX54" s="666" t="str">
        <f t="shared" si="9"/>
        <v>Jul</v>
      </c>
      <c r="BY54" s="643">
        <f t="shared" si="13"/>
        <v>80.849000000000004</v>
      </c>
      <c r="BZ54" s="821">
        <f>IF(IF(CB54=CB57,SUMIF($BI$45:$BI$56,$BX54,$BU$45:$BU$56),SUMIF($BI$45:$BI$56,$BX54,$BP$45:$BP$56))=0,NA(),IF(CB54=CB57,SUMIF($BI$45:$BI$56,$BX54,$BU$45:$BU$56),SUMIF($BI$45:$BI$56,$BX54,$BP$45:$BP$56)))</f>
        <v>0.02</v>
      </c>
      <c r="CA54" s="874">
        <f>IF(IF(CB54=CB57,SUMIF(BI45:BI56,$BX54,BS45:BS56),SUMIF(BI45:BI56,$BX54,BN45:BN56))=0,NA(),IF(CB54=CB57,SUMIF(BI45:BI56,$BX54,BS45:BS56),SUMIF(BI45:BI56,$BX54,BN45:BN56)))</f>
        <v>1.9493129166718203E-2</v>
      </c>
      <c r="CB54" s="645">
        <f t="shared" si="14"/>
        <v>23</v>
      </c>
      <c r="CC54" s="645">
        <f t="shared" si="10"/>
        <v>7</v>
      </c>
    </row>
    <row r="55" spans="2:81" ht="15" customHeight="1">
      <c r="BI55" s="638" t="s">
        <v>343</v>
      </c>
      <c r="BJ55" s="638">
        <v>11</v>
      </c>
      <c r="BK55" s="638" t="s">
        <v>338</v>
      </c>
      <c r="BL55" s="690">
        <v>1.6479999999999999</v>
      </c>
      <c r="BM55" s="822">
        <v>84.533000000000001</v>
      </c>
      <c r="BN55" s="655">
        <f t="shared" si="11"/>
        <v>1.9495345013190113E-2</v>
      </c>
      <c r="BO55" s="290"/>
      <c r="BP55" s="821">
        <v>0.02</v>
      </c>
      <c r="BQ55" s="690"/>
      <c r="BR55" s="822"/>
      <c r="BS55" s="669" t="str">
        <f t="shared" si="12"/>
        <v/>
      </c>
      <c r="BT55" s="290"/>
      <c r="BU55" s="821">
        <v>0.02</v>
      </c>
      <c r="BX55" s="666" t="str">
        <f t="shared" si="9"/>
        <v>Aug</v>
      </c>
      <c r="BY55" s="643">
        <f t="shared" si="13"/>
        <v>84.533000000000001</v>
      </c>
      <c r="BZ55" s="821">
        <f>IF(IF(CB55=CB57,SUMIF($BI$45:$BI$56,$BX55,$BU$45:$BU$56),SUMIF($BI$45:$BI$56,$BX55,$BP$45:$BP$56))=0,NA(),IF(CB55=CB57,SUMIF($BI$45:$BI$56,$BX55,$BU$45:$BU$56),SUMIF($BI$45:$BI$56,$BX55,$BP$45:$BP$56)))</f>
        <v>0.02</v>
      </c>
      <c r="CA55" s="874">
        <f>IF(IF(CB55=CB57,SUMIF(BI45:BI56,$BX55,BS45:BS56),SUMIF(BI45:BI56,$BX55,BN45:BN56))=0,NA(),IF(CB55=CB57,SUMIF(BI45:BI56,$BX55,BS45:BS56),SUMIF(BI45:BI56,$BX55,BN45:BN56)))</f>
        <v>1.9495345013190113E-2</v>
      </c>
      <c r="CB55" s="645">
        <f t="shared" si="14"/>
        <v>23</v>
      </c>
      <c r="CC55" s="645">
        <f t="shared" si="10"/>
        <v>8</v>
      </c>
    </row>
    <row r="56" spans="2:81" ht="15" customHeight="1">
      <c r="BI56" s="638" t="s">
        <v>344</v>
      </c>
      <c r="BJ56" s="638">
        <v>12</v>
      </c>
      <c r="BK56" s="638" t="s">
        <v>338</v>
      </c>
      <c r="BL56" s="690">
        <v>1.9470000000000001</v>
      </c>
      <c r="BM56" s="822">
        <v>100.268</v>
      </c>
      <c r="BN56" s="655">
        <f t="shared" si="11"/>
        <v>1.9417959867554953E-2</v>
      </c>
      <c r="BO56" s="290"/>
      <c r="BP56" s="821">
        <v>0.02</v>
      </c>
      <c r="BQ56" s="690"/>
      <c r="BR56" s="822"/>
      <c r="BS56" s="669" t="str">
        <f t="shared" si="12"/>
        <v/>
      </c>
      <c r="BT56" s="290"/>
      <c r="BU56" s="821">
        <v>0.02</v>
      </c>
      <c r="BX56" s="666" t="str">
        <f t="shared" si="9"/>
        <v>Sep</v>
      </c>
      <c r="BY56" s="643">
        <f t="shared" si="13"/>
        <v>100.268</v>
      </c>
      <c r="BZ56" s="821">
        <f>IF(IF(CB56=CB57,SUMIF($BI$45:$BI$56,$BX56,$BU$45:$BU$56),SUMIF($BI$45:$BI$56,$BX56,$BP$45:$BP$56))=0,NA(),IF(CB56=CB57,SUMIF($BI$45:$BI$56,$BX56,$BU$45:$BU$56),SUMIF($BI$45:$BI$56,$BX56,$BP$45:$BP$56)))</f>
        <v>0.02</v>
      </c>
      <c r="CA56" s="640">
        <f>IF(IF(CB56=CB57,SUMIF(BI45:BI56,$BX56,BS45:BS56),SUMIF(BI45:BI56,$BX56,BN45:BN56))=0,NA(),IF(CB56=CB57,SUMIF(BI45:BI56,$BX56,BS45:BS56),SUMIF(BI45:BI56,$BX56,BN45:BN56)))</f>
        <v>1.9417959867554953E-2</v>
      </c>
      <c r="CB56" s="645">
        <f t="shared" si="14"/>
        <v>23</v>
      </c>
      <c r="CC56" s="645">
        <f>IF(CC57-1&lt;1,CC57+11,CC57-1)</f>
        <v>9</v>
      </c>
    </row>
    <row r="57" spans="2:81" ht="15" customHeight="1">
      <c r="BJ57" s="277"/>
      <c r="BK57" s="277"/>
      <c r="BL57" s="277"/>
      <c r="BM57" s="277"/>
      <c r="BN57" s="277"/>
      <c r="BO57" s="277"/>
      <c r="BP57" s="277"/>
      <c r="BQ57" s="277"/>
      <c r="BR57" s="277"/>
      <c r="BS57" s="277"/>
      <c r="BT57" s="277"/>
      <c r="BW57" s="667" t="str">
        <f>Cover!$M$34</f>
        <v>OCT FY-24</v>
      </c>
      <c r="BX57" s="666" t="str">
        <f>TEXT(CONCATENATE(CC57,"/01/20",CB57),"MMM")</f>
        <v>Oct</v>
      </c>
      <c r="BY57" s="643">
        <f>SUMIF($BI45:$BI56,$BX57,$BR45:$BR56)</f>
        <v>109.122</v>
      </c>
      <c r="BZ57" s="821">
        <f>IF(IF(CB57=CB57,SUMIF($BI$45:$BI$56,$BX57,$BU$45:$BU$56),SUMIF($BI$45:$BI$56,$BX57,$BP$45:$BP$56))=0,NA(),IF(CB57=CB57,SUMIF($BI$45:$BI$56,$BX57,$BU$45:$BU$56),SUMIF($BI$45:$BI$56,$BX57,$BP$45:$BP$56)))</f>
        <v>0.02</v>
      </c>
      <c r="CA57" s="640">
        <f>IF(SUMIF($BI45:$BI56,$BX57,$BS45:$BS56)=0,NA(),SUMIF($BI45:$BI56,$BX57,$BS45:$BS56))</f>
        <v>1.9565257235021349E-2</v>
      </c>
      <c r="CB57" s="645">
        <f t="shared" si="14"/>
        <v>24</v>
      </c>
      <c r="CC57" s="645">
        <f>MONTH(DATEVALUE(LEFT(BW57,3)&amp;" 1"))</f>
        <v>10</v>
      </c>
    </row>
    <row r="58" spans="2:81" ht="15" customHeight="1">
      <c r="BI58" s="6"/>
      <c r="BJ58" s="6"/>
      <c r="BK58" s="6"/>
      <c r="BL58" s="6"/>
      <c r="BM58" s="6"/>
      <c r="BN58" s="6"/>
      <c r="BO58" s="6"/>
      <c r="BP58" s="6"/>
      <c r="BQ58" s="6"/>
      <c r="BR58" s="6"/>
      <c r="BS58" s="6"/>
      <c r="BT58" s="6"/>
      <c r="BU58" s="6"/>
    </row>
    <row r="59" spans="2:81" ht="15" customHeight="1">
      <c r="BI59" s="54" t="s">
        <v>292</v>
      </c>
      <c r="BJ59" s="1116" t="s">
        <v>400</v>
      </c>
      <c r="BK59" s="1116"/>
      <c r="BL59" s="1116"/>
      <c r="BM59" s="1116"/>
      <c r="BN59" s="1116"/>
      <c r="BO59" s="1116"/>
      <c r="BP59" s="1116"/>
      <c r="BQ59" s="1116"/>
      <c r="BR59" s="1116"/>
      <c r="BS59" s="1116"/>
      <c r="BT59" s="1116"/>
      <c r="BU59" s="1116"/>
    </row>
    <row r="60" spans="2:81" ht="15" customHeight="1">
      <c r="BI60" s="54" t="s">
        <v>296</v>
      </c>
      <c r="BJ60" s="283" t="s">
        <v>401</v>
      </c>
      <c r="BK60" s="287"/>
      <c r="BL60" s="287"/>
      <c r="BM60" s="287"/>
      <c r="BN60" s="287"/>
      <c r="BO60" s="287"/>
      <c r="BP60" s="287"/>
      <c r="BQ60" s="287"/>
      <c r="BR60" s="287"/>
      <c r="BS60" s="287"/>
      <c r="BT60" s="287"/>
      <c r="BU60" s="287"/>
    </row>
    <row r="61" spans="2:81" ht="15" customHeight="1" thickBot="1">
      <c r="BI61" s="54" t="s">
        <v>300</v>
      </c>
      <c r="BJ61" s="283" t="s">
        <v>402</v>
      </c>
      <c r="BK61" s="287"/>
      <c r="BL61" s="287"/>
      <c r="BM61" s="287"/>
      <c r="BN61" s="287"/>
      <c r="BO61" s="287"/>
      <c r="BP61" s="287"/>
      <c r="BQ61" s="287"/>
      <c r="BR61" s="287"/>
      <c r="BS61" s="287"/>
      <c r="BT61" s="287"/>
      <c r="BU61" s="287"/>
    </row>
    <row r="62" spans="2:81" ht="15" customHeight="1" thickBot="1">
      <c r="BI62" s="277"/>
      <c r="BJ62" s="277"/>
      <c r="BK62" s="277"/>
      <c r="BL62" s="1148" t="s">
        <v>302</v>
      </c>
      <c r="BM62" s="1149"/>
      <c r="BN62" s="1149"/>
      <c r="BO62" s="1149"/>
      <c r="BP62" s="1151"/>
      <c r="BQ62" s="1148" t="s">
        <v>719</v>
      </c>
      <c r="BR62" s="1149"/>
      <c r="BS62" s="1149"/>
      <c r="BT62" s="1149"/>
      <c r="BU62" s="1150"/>
      <c r="BW62" s="1148" t="s">
        <v>303</v>
      </c>
      <c r="BX62" s="1149"/>
      <c r="BY62" s="1149"/>
      <c r="BZ62" s="1149"/>
      <c r="CA62" s="1149"/>
      <c r="CB62" s="1149"/>
      <c r="CC62" s="1150"/>
    </row>
    <row r="63" spans="2:81" ht="15" customHeight="1">
      <c r="B63" s="267" t="s">
        <v>242</v>
      </c>
      <c r="C63" s="267"/>
      <c r="D63" s="267"/>
      <c r="E63" s="334"/>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E63" s="267" t="s">
        <v>242</v>
      </c>
      <c r="AF63" s="267"/>
      <c r="AG63" s="267"/>
      <c r="AH63" s="334"/>
      <c r="AI63" s="326"/>
      <c r="AJ63" s="326"/>
      <c r="AK63" s="326"/>
      <c r="AL63" s="326"/>
      <c r="AM63" s="326"/>
      <c r="AN63" s="326"/>
      <c r="AO63" s="326"/>
      <c r="AP63" s="326"/>
      <c r="AQ63" s="326"/>
      <c r="AR63" s="326"/>
      <c r="AS63" s="326"/>
      <c r="AT63" s="326"/>
      <c r="AU63" s="326"/>
      <c r="AV63" s="326"/>
      <c r="AW63" s="326"/>
      <c r="AX63" s="326"/>
      <c r="AY63" s="326"/>
      <c r="AZ63" s="326"/>
      <c r="BA63" s="326"/>
      <c r="BB63" s="326"/>
      <c r="BC63" s="326"/>
      <c r="BD63" s="326"/>
      <c r="BE63" s="326"/>
      <c r="BI63" s="636" t="s">
        <v>23</v>
      </c>
      <c r="BJ63" s="636" t="s">
        <v>37</v>
      </c>
      <c r="BK63" s="636" t="s">
        <v>304</v>
      </c>
      <c r="BL63" s="637" t="s">
        <v>305</v>
      </c>
      <c r="BM63" s="637" t="s">
        <v>310</v>
      </c>
      <c r="BN63" s="637" t="s">
        <v>311</v>
      </c>
      <c r="BO63" s="278" t="s">
        <v>312</v>
      </c>
      <c r="BP63" s="637" t="s">
        <v>313</v>
      </c>
      <c r="BQ63" s="637" t="s">
        <v>305</v>
      </c>
      <c r="BR63" s="637" t="s">
        <v>715</v>
      </c>
      <c r="BS63" s="637" t="s">
        <v>716</v>
      </c>
      <c r="BT63" s="278" t="s">
        <v>717</v>
      </c>
      <c r="BU63" s="637" t="s">
        <v>718</v>
      </c>
      <c r="BW63" s="279" t="s">
        <v>314</v>
      </c>
      <c r="BX63" s="279" t="s">
        <v>23</v>
      </c>
      <c r="BY63" s="279" t="s">
        <v>315</v>
      </c>
      <c r="BZ63" s="279" t="s">
        <v>122</v>
      </c>
      <c r="CA63" s="279" t="s">
        <v>316</v>
      </c>
      <c r="CB63" s="279" t="s">
        <v>317</v>
      </c>
      <c r="CC63" s="279" t="s">
        <v>318</v>
      </c>
    </row>
    <row r="64" spans="2:81" ht="15" customHeight="1">
      <c r="B64" s="1137" t="s">
        <v>753</v>
      </c>
      <c r="C64" s="1138"/>
      <c r="D64" s="1138"/>
      <c r="E64" s="1138"/>
      <c r="F64" s="1138"/>
      <c r="G64" s="1138"/>
      <c r="H64" s="1138"/>
      <c r="I64" s="1138"/>
      <c r="J64" s="1138"/>
      <c r="K64" s="1138"/>
      <c r="L64" s="1138"/>
      <c r="M64" s="1138"/>
      <c r="N64" s="1138"/>
      <c r="O64" s="1138"/>
      <c r="P64" s="1138"/>
      <c r="Q64" s="1138"/>
      <c r="R64" s="1138"/>
      <c r="S64" s="1138"/>
      <c r="T64" s="1138"/>
      <c r="U64" s="1138"/>
      <c r="V64" s="1138"/>
      <c r="W64" s="1138"/>
      <c r="X64" s="1138"/>
      <c r="Y64" s="1138"/>
      <c r="Z64" s="1138"/>
      <c r="AA64" s="1138"/>
      <c r="AB64" s="1139"/>
      <c r="AC64"/>
      <c r="AD64"/>
      <c r="AE64" s="1137" t="s">
        <v>749</v>
      </c>
      <c r="AF64" s="1138"/>
      <c r="AG64" s="1138"/>
      <c r="AH64" s="1138"/>
      <c r="AI64" s="1138"/>
      <c r="AJ64" s="1138"/>
      <c r="AK64" s="1138"/>
      <c r="AL64" s="1138"/>
      <c r="AM64" s="1138"/>
      <c r="AN64" s="1138"/>
      <c r="AO64" s="1138"/>
      <c r="AP64" s="1138"/>
      <c r="AQ64" s="1138"/>
      <c r="AR64" s="1138"/>
      <c r="AS64" s="1138"/>
      <c r="AT64" s="1138"/>
      <c r="AU64" s="1138"/>
      <c r="AV64" s="1138"/>
      <c r="AW64" s="1138"/>
      <c r="AX64" s="1138"/>
      <c r="AY64" s="1138"/>
      <c r="AZ64" s="1138"/>
      <c r="BA64" s="1138"/>
      <c r="BB64" s="1138"/>
      <c r="BC64" s="1138"/>
      <c r="BD64" s="1138"/>
      <c r="BE64" s="1139"/>
      <c r="BI64" s="638" t="s">
        <v>319</v>
      </c>
      <c r="BJ64" s="638">
        <v>1</v>
      </c>
      <c r="BK64" s="638" t="s">
        <v>320</v>
      </c>
      <c r="BL64" s="826">
        <f>IF(BM64="","",BN64*BM64)</f>
        <v>0.58455000000000001</v>
      </c>
      <c r="BM64" s="690">
        <v>0.433</v>
      </c>
      <c r="BN64" s="828">
        <v>1.35</v>
      </c>
      <c r="BO64" s="289">
        <f>IF(SUM(BM64:BM66=0),0,SUM(BL64:BL66)/SUM(BM64:BM66))</f>
        <v>1.3511319534282018</v>
      </c>
      <c r="BP64" s="683">
        <v>3</v>
      </c>
      <c r="BQ64" s="827">
        <f>IF(BR64="","",BS64*BR64)</f>
        <v>1.5600600000000002</v>
      </c>
      <c r="BR64" s="690">
        <v>0.64200000000000002</v>
      </c>
      <c r="BS64" s="828">
        <v>2.4300000000000002</v>
      </c>
      <c r="BT64" s="289">
        <f>IF(SUM(BR64:BR66=0),0,SUM(BQ64:BQ66)/SUM(BR64:BR66))</f>
        <v>2.4300000000000002</v>
      </c>
      <c r="BU64" s="683">
        <v>3</v>
      </c>
      <c r="BX64" s="666" t="str">
        <f t="shared" ref="BX64:BX75" si="15">TEXT(CONCATENATE(CC64,"/01/20",CB64),"MMM")</f>
        <v>Oct</v>
      </c>
      <c r="BY64" s="643">
        <f>IF(CB64=$CB76,SUMIF($BI64:$BI75,$BX64,$BR64:$BR75),SUMIF($BI64:$BI75,$BX64,$BM64:$BM75))</f>
        <v>0.433</v>
      </c>
      <c r="BZ64" s="668">
        <f>IF(IF(CB64=CB76,SUMIF(BI64:BI75,$BX64,BU64:BU75),SUMIF(BI64:BI75,$BX64,BP64:BP75))=0,NA(),IF(CB64=CB76,SUMIF(BI64:BI75,$BX64,BU64:BU75),SUMIF(BI64:BI75,$BX64,BP64:BP75)))</f>
        <v>3</v>
      </c>
      <c r="CA64" s="654">
        <f>IF(IF(CB64=CB76,SUMIF(BI64:BI75,$BX64,BS64:BS75),SUMIF(BI64:BI75,$BX64,BN64:BN75))=0,NA(),IF(CB64=CB76,SUMIF(BI64:BI75,$BX64,BS64:BS75),SUMIF(BI64:BI75,$BX64,BN64:BN75)))</f>
        <v>1.35</v>
      </c>
      <c r="CB64" s="645">
        <f>CB45</f>
        <v>23</v>
      </c>
      <c r="CC64" s="645">
        <f t="shared" ref="CC64:CC74" si="16">IF(CC65-1&lt;1,CC65+11,CC65-1)</f>
        <v>10</v>
      </c>
    </row>
    <row r="65" spans="2:81" ht="15" customHeight="1">
      <c r="B65" s="1140"/>
      <c r="C65" s="1141"/>
      <c r="D65" s="1141"/>
      <c r="E65" s="1141"/>
      <c r="F65" s="1141"/>
      <c r="G65" s="1141"/>
      <c r="H65" s="1141"/>
      <c r="I65" s="1141"/>
      <c r="J65" s="1141"/>
      <c r="K65" s="1141"/>
      <c r="L65" s="1141"/>
      <c r="M65" s="1141"/>
      <c r="N65" s="1141"/>
      <c r="O65" s="1141"/>
      <c r="P65" s="1141"/>
      <c r="Q65" s="1141"/>
      <c r="R65" s="1141"/>
      <c r="S65" s="1141"/>
      <c r="T65" s="1141"/>
      <c r="U65" s="1141"/>
      <c r="V65" s="1141"/>
      <c r="W65" s="1141"/>
      <c r="X65" s="1141"/>
      <c r="Y65" s="1141"/>
      <c r="Z65" s="1141"/>
      <c r="AA65" s="1141"/>
      <c r="AB65" s="1142"/>
      <c r="AC65"/>
      <c r="AD65"/>
      <c r="AE65" s="1140"/>
      <c r="AF65" s="1141"/>
      <c r="AG65" s="1141"/>
      <c r="AH65" s="1141"/>
      <c r="AI65" s="1141"/>
      <c r="AJ65" s="1141"/>
      <c r="AK65" s="1141"/>
      <c r="AL65" s="1141"/>
      <c r="AM65" s="1141"/>
      <c r="AN65" s="1141"/>
      <c r="AO65" s="1141"/>
      <c r="AP65" s="1141"/>
      <c r="AQ65" s="1141"/>
      <c r="AR65" s="1141"/>
      <c r="AS65" s="1141"/>
      <c r="AT65" s="1141"/>
      <c r="AU65" s="1141"/>
      <c r="AV65" s="1141"/>
      <c r="AW65" s="1141"/>
      <c r="AX65" s="1141"/>
      <c r="AY65" s="1141"/>
      <c r="AZ65" s="1141"/>
      <c r="BA65" s="1141"/>
      <c r="BB65" s="1141"/>
      <c r="BC65" s="1141"/>
      <c r="BD65" s="1141"/>
      <c r="BE65" s="1142"/>
      <c r="BI65" s="638" t="s">
        <v>321</v>
      </c>
      <c r="BJ65" s="638">
        <v>2</v>
      </c>
      <c r="BK65" s="638" t="s">
        <v>320</v>
      </c>
      <c r="BL65" s="826">
        <f t="shared" ref="BL65:BL75" si="17">BN65*BM65</f>
        <v>0.65744000000000002</v>
      </c>
      <c r="BM65" s="690">
        <v>0.58699999999999997</v>
      </c>
      <c r="BN65" s="828">
        <v>1.1200000000000001</v>
      </c>
      <c r="BO65" s="290"/>
      <c r="BP65" s="683">
        <v>3</v>
      </c>
      <c r="BQ65" s="827" t="str">
        <f t="shared" ref="BQ65:BQ75" si="18">IF(BR65="","",BS65*BR65)</f>
        <v/>
      </c>
      <c r="BR65" s="690"/>
      <c r="BS65" s="828"/>
      <c r="BT65" s="290"/>
      <c r="BU65" s="683">
        <v>3</v>
      </c>
      <c r="BX65" s="666" t="str">
        <f t="shared" si="15"/>
        <v>Nov</v>
      </c>
      <c r="BY65" s="643">
        <f>IF(CB65=$CB76,SUMIF($BI64:$BI75,$BX65,$BR64:$BR75),SUMIF($BI64:$BI75,$BX65,$BM64:$BM75))</f>
        <v>0.58699999999999997</v>
      </c>
      <c r="BZ65" s="668">
        <f>IF(IF(CB65=CB76,SUMIF(BI64:BI75,$BX65,BU64:BU75),SUMIF(BI64:BI75,$BX65,BP64:BP75))=0,NA(),IF(CB65=CB76,SUMIF(BI64:BI75,$BX65,BU64:BU75),SUMIF(BI64:BI75,$BX65,BP64:BP75)))</f>
        <v>3</v>
      </c>
      <c r="CA65" s="654">
        <f>IF(IF(CB65=CB76,SUMIF(BI64:BI75,$BX65,BS64:BS75),SUMIF(BI64:BI75,$BX65,BN64:BN75))=0,NA(),IF(CB65=CB76,SUMIF(BI64:BI75,$BX65,BS64:BS75),SUMIF(BI64:BI75,$BX65,BN64:BN75)))</f>
        <v>1.1200000000000001</v>
      </c>
      <c r="CB65" s="645">
        <f t="shared" ref="CB65:CB76" si="19">CB46</f>
        <v>23</v>
      </c>
      <c r="CC65" s="645">
        <f t="shared" si="16"/>
        <v>11</v>
      </c>
    </row>
    <row r="66" spans="2:81" ht="15" customHeight="1">
      <c r="B66" s="1140"/>
      <c r="C66" s="1141"/>
      <c r="D66" s="1141"/>
      <c r="E66" s="1141"/>
      <c r="F66" s="1141"/>
      <c r="G66" s="1141"/>
      <c r="H66" s="1141"/>
      <c r="I66" s="1141"/>
      <c r="J66" s="1141"/>
      <c r="K66" s="1141"/>
      <c r="L66" s="1141"/>
      <c r="M66" s="1141"/>
      <c r="N66" s="1141"/>
      <c r="O66" s="1141"/>
      <c r="P66" s="1141"/>
      <c r="Q66" s="1141"/>
      <c r="R66" s="1141"/>
      <c r="S66" s="1141"/>
      <c r="T66" s="1141"/>
      <c r="U66" s="1141"/>
      <c r="V66" s="1141"/>
      <c r="W66" s="1141"/>
      <c r="X66" s="1141"/>
      <c r="Y66" s="1141"/>
      <c r="Z66" s="1141"/>
      <c r="AA66" s="1141"/>
      <c r="AB66" s="1142"/>
      <c r="AC66"/>
      <c r="AD66"/>
      <c r="AE66" s="1140"/>
      <c r="AF66" s="1141"/>
      <c r="AG66" s="1141"/>
      <c r="AH66" s="1141"/>
      <c r="AI66" s="1141"/>
      <c r="AJ66" s="1141"/>
      <c r="AK66" s="1141"/>
      <c r="AL66" s="1141"/>
      <c r="AM66" s="1141"/>
      <c r="AN66" s="1141"/>
      <c r="AO66" s="1141"/>
      <c r="AP66" s="1141"/>
      <c r="AQ66" s="1141"/>
      <c r="AR66" s="1141"/>
      <c r="AS66" s="1141"/>
      <c r="AT66" s="1141"/>
      <c r="AU66" s="1141"/>
      <c r="AV66" s="1141"/>
      <c r="AW66" s="1141"/>
      <c r="AX66" s="1141"/>
      <c r="AY66" s="1141"/>
      <c r="AZ66" s="1141"/>
      <c r="BA66" s="1141"/>
      <c r="BB66" s="1141"/>
      <c r="BC66" s="1141"/>
      <c r="BD66" s="1141"/>
      <c r="BE66" s="1142"/>
      <c r="BI66" s="638" t="s">
        <v>322</v>
      </c>
      <c r="BJ66" s="638">
        <v>3</v>
      </c>
      <c r="BK66" s="638" t="s">
        <v>320</v>
      </c>
      <c r="BL66" s="826">
        <f>BN66*BM66</f>
        <v>0.84686000000000006</v>
      </c>
      <c r="BM66" s="690">
        <v>0.52600000000000002</v>
      </c>
      <c r="BN66" s="828">
        <v>1.61</v>
      </c>
      <c r="BO66" s="290"/>
      <c r="BP66" s="683">
        <v>3</v>
      </c>
      <c r="BQ66" s="827" t="str">
        <f t="shared" si="18"/>
        <v/>
      </c>
      <c r="BR66" s="690"/>
      <c r="BS66" s="828"/>
      <c r="BT66" s="290"/>
      <c r="BU66" s="683">
        <v>3</v>
      </c>
      <c r="BX66" s="666" t="str">
        <f t="shared" si="15"/>
        <v>Dec</v>
      </c>
      <c r="BY66" s="643">
        <f>IF(CB66=$CB76,SUMIF($BI64:$BI75,$BX66,$BR64:$BR75),SUMIF($BI64:$BI75,$BX66,$BM64:$BM75))</f>
        <v>0.52600000000000002</v>
      </c>
      <c r="BZ66" s="668">
        <f>IF(IF(CB66=CB76,SUMIF(BI64:BI75,$BX66,BU64:BU75),SUMIF(BI64:BI75,$BX66,BP64:BP75))=0,NA(),IF(CB66=CB76,SUMIF(BI64:BI75,$BX66,BU64:BU75),SUMIF(BI64:BI75,$BX66,BP64:BP75)))</f>
        <v>3</v>
      </c>
      <c r="CA66" s="654">
        <f>IF(IF(CB66=CB76,SUMIF(BI64:BI75,$BX66,BS64:BS75),SUMIF(BI64:BI75,$BX66,BN64:BN75))=0,NA(),IF(CB66=CB76,SUMIF(BI64:BI75,$BX66,BS64:BS75),SUMIF(BI64:BI75,$BX66,BN64:BN75)))</f>
        <v>1.61</v>
      </c>
      <c r="CB66" s="645">
        <f t="shared" si="19"/>
        <v>23</v>
      </c>
      <c r="CC66" s="645">
        <f t="shared" si="16"/>
        <v>12</v>
      </c>
    </row>
    <row r="67" spans="2:81" ht="15" customHeight="1">
      <c r="B67" s="1143"/>
      <c r="C67" s="1144"/>
      <c r="D67" s="1144"/>
      <c r="E67" s="1144"/>
      <c r="F67" s="1144"/>
      <c r="G67" s="1144"/>
      <c r="H67" s="1144"/>
      <c r="I67" s="1144"/>
      <c r="J67" s="1144"/>
      <c r="K67" s="1144"/>
      <c r="L67" s="1144"/>
      <c r="M67" s="1144"/>
      <c r="N67" s="1144"/>
      <c r="O67" s="1144"/>
      <c r="P67" s="1144"/>
      <c r="Q67" s="1144"/>
      <c r="R67" s="1144"/>
      <c r="S67" s="1144"/>
      <c r="T67" s="1144"/>
      <c r="U67" s="1144"/>
      <c r="V67" s="1144"/>
      <c r="W67" s="1144"/>
      <c r="X67" s="1144"/>
      <c r="Y67" s="1144"/>
      <c r="Z67" s="1144"/>
      <c r="AA67" s="1144"/>
      <c r="AB67" s="1145"/>
      <c r="AC67"/>
      <c r="AD67"/>
      <c r="AE67" s="1143"/>
      <c r="AF67" s="1144"/>
      <c r="AG67" s="1144"/>
      <c r="AH67" s="1144"/>
      <c r="AI67" s="1144"/>
      <c r="AJ67" s="1144"/>
      <c r="AK67" s="1144"/>
      <c r="AL67" s="1144"/>
      <c r="AM67" s="1144"/>
      <c r="AN67" s="1144"/>
      <c r="AO67" s="1144"/>
      <c r="AP67" s="1144"/>
      <c r="AQ67" s="1144"/>
      <c r="AR67" s="1144"/>
      <c r="AS67" s="1144"/>
      <c r="AT67" s="1144"/>
      <c r="AU67" s="1144"/>
      <c r="AV67" s="1144"/>
      <c r="AW67" s="1144"/>
      <c r="AX67" s="1144"/>
      <c r="AY67" s="1144"/>
      <c r="AZ67" s="1144"/>
      <c r="BA67" s="1144"/>
      <c r="BB67" s="1144"/>
      <c r="BC67" s="1144"/>
      <c r="BD67" s="1144"/>
      <c r="BE67" s="1145"/>
      <c r="BI67" s="638" t="s">
        <v>323</v>
      </c>
      <c r="BJ67" s="638">
        <v>4</v>
      </c>
      <c r="BK67" s="638" t="s">
        <v>324</v>
      </c>
      <c r="BL67" s="826">
        <f t="shared" si="17"/>
        <v>0.98524999999999996</v>
      </c>
      <c r="BM67" s="690">
        <v>0.56299999999999994</v>
      </c>
      <c r="BN67" s="828">
        <v>1.75</v>
      </c>
      <c r="BO67" s="289">
        <f>IF(SUM(BM67:BM69=0),0,SUM(BL67:BL69)/SUM(BM67:BM69))</f>
        <v>1.6924024024024023</v>
      </c>
      <c r="BP67" s="683">
        <v>3</v>
      </c>
      <c r="BQ67" s="827" t="str">
        <f t="shared" si="18"/>
        <v/>
      </c>
      <c r="BR67" s="690"/>
      <c r="BS67" s="828"/>
      <c r="BT67" s="289">
        <f>IF(SUM(BR67:BR69=0),0,SUM(BQ67:BQ69)/SUM(BR67:BR69))</f>
        <v>0</v>
      </c>
      <c r="BU67" s="683">
        <v>3</v>
      </c>
      <c r="BX67" s="666" t="str">
        <f t="shared" si="15"/>
        <v>Jan</v>
      </c>
      <c r="BY67" s="643">
        <f>IF(CB67=$CB76,SUMIF($BI64:$BI75,$BX67,$BR64:$BR75),SUMIF($BI64:$BI75,$BX67,$BM64:$BM75))</f>
        <v>0.56299999999999994</v>
      </c>
      <c r="BZ67" s="668">
        <f>IF(IF(CB67=CB76,SUMIF(BI64:BI75,$BX67,BU64:BU75),SUMIF(BI64:BI75,$BX67,BP64:BP75))=0,NA(),IF(CB67=CB76,SUMIF(BI64:BI75,$BX67,BU64:BU75),SUMIF(BI64:BI75,$BX67,BP64:BP75)))</f>
        <v>3</v>
      </c>
      <c r="CA67" s="654">
        <f>IF(IF(CB67=CB76,SUMIF(BI64:BI75,$BX67,BS64:BS75),SUMIF(BI64:BI75,$BX67,BN64:BN75))=0,NA(),IF(CB67=CB76,SUMIF(BI64:BI75,$BX67,BS64:BS75),SUMIF(BI64:BI75,$BX67,BN64:BN75)))</f>
        <v>1.75</v>
      </c>
      <c r="CB67" s="645">
        <f t="shared" si="19"/>
        <v>23</v>
      </c>
      <c r="CC67" s="645">
        <f t="shared" si="16"/>
        <v>1</v>
      </c>
    </row>
    <row r="68" spans="2:81" ht="15" customHeight="1">
      <c r="BI68" s="638" t="s">
        <v>325</v>
      </c>
      <c r="BJ68" s="638">
        <v>5</v>
      </c>
      <c r="BK68" s="638" t="s">
        <v>324</v>
      </c>
      <c r="BL68" s="826">
        <f t="shared" si="17"/>
        <v>0.89407999999999999</v>
      </c>
      <c r="BM68" s="690">
        <v>0.50800000000000001</v>
      </c>
      <c r="BN68" s="828">
        <v>1.76</v>
      </c>
      <c r="BO68" s="290"/>
      <c r="BP68" s="683">
        <v>3</v>
      </c>
      <c r="BQ68" s="827" t="str">
        <f t="shared" si="18"/>
        <v/>
      </c>
      <c r="BR68" s="690"/>
      <c r="BS68" s="828"/>
      <c r="BT68" s="290"/>
      <c r="BU68" s="683">
        <v>3</v>
      </c>
      <c r="BX68" s="666" t="str">
        <f t="shared" si="15"/>
        <v>Feb</v>
      </c>
      <c r="BY68" s="643">
        <f>IF(CB68=$CB76,SUMIF($BI64:$BI75,$BX68,$BR64:$BR75),SUMIF($BI64:$BI75,$BX68,$BM64:$BM75))</f>
        <v>0.50800000000000001</v>
      </c>
      <c r="BZ68" s="668">
        <f>IF(IF(CB68=CB76,SUMIF(BI64:BI75,$BX68,BU64:BU75),SUMIF(BI64:BI75,$BX68,BP64:BP75))=0,NA(),IF(CB68=CB76,SUMIF(BI64:BI75,$BX68,BU64:BU75),SUMIF(BI64:BI75,$BX68,BP64:BP75)))</f>
        <v>3</v>
      </c>
      <c r="CA68" s="654">
        <f>IF(IF(CB68=CB76,SUMIF(BI64:BI75,$BX68,BS64:BS75),SUMIF(BI64:BI75,$BX68,BN64:BN75))=0,NA(),IF(CB68=CB76,SUMIF(BI64:BI75,$BX68,BS64:BS75),SUMIF(BI64:BI75,$BX68,BN64:BN75)))</f>
        <v>1.76</v>
      </c>
      <c r="CB68" s="645">
        <f t="shared" si="19"/>
        <v>23</v>
      </c>
      <c r="CC68" s="645">
        <f t="shared" si="16"/>
        <v>2</v>
      </c>
    </row>
    <row r="69" spans="2:81" ht="15" customHeight="1">
      <c r="BI69" s="638" t="s">
        <v>326</v>
      </c>
      <c r="BJ69" s="638">
        <v>6</v>
      </c>
      <c r="BK69" s="638" t="s">
        <v>324</v>
      </c>
      <c r="BL69" s="826">
        <f t="shared" si="17"/>
        <v>0.93852000000000002</v>
      </c>
      <c r="BM69" s="824">
        <v>0.59399999999999997</v>
      </c>
      <c r="BN69" s="828">
        <v>1.58</v>
      </c>
      <c r="BO69" s="290"/>
      <c r="BP69" s="683">
        <v>3</v>
      </c>
      <c r="BQ69" s="827" t="str">
        <f t="shared" si="18"/>
        <v/>
      </c>
      <c r="BR69" s="824"/>
      <c r="BS69" s="828"/>
      <c r="BT69" s="290"/>
      <c r="BU69" s="683">
        <v>3</v>
      </c>
      <c r="BV69" s="879"/>
      <c r="BX69" s="666" t="str">
        <f t="shared" si="15"/>
        <v>Mar</v>
      </c>
      <c r="BY69" s="643">
        <f>IF(CB69=$CB76,SUMIF($BI64:$BI75,$BX69,$BR64:$BR75),SUMIF($BI64:$BI75,$BX69,$BM64:$BM75))</f>
        <v>0.59399999999999997</v>
      </c>
      <c r="BZ69" s="668">
        <f>IF(IF(CB69=CB76,SUMIF(BI64:BI75,$BX69,BU64:BU75),SUMIF(BI64:BI75,$BX69,BP64:BP75))=0,NA(),IF(CB69=CB76,SUMIF(BI64:BI75,$BX69,BU64:BU75),SUMIF(BI64:BI75,$BX69,BP64:BP75)))</f>
        <v>3</v>
      </c>
      <c r="CA69" s="654">
        <f>IF(IF(CB69=CB76,SUMIF(BI64:BI75,$BX69,BS64:BS75),SUMIF(BI64:BI75,$BX69,BN64:BN75))=0,NA(),IF(CB69=CB76,SUMIF(BI64:BI75,$BX69,BS64:BS75),SUMIF(BI64:BI75,$BX69,BN64:BN75)))</f>
        <v>1.58</v>
      </c>
      <c r="CB69" s="645">
        <f t="shared" si="19"/>
        <v>23</v>
      </c>
      <c r="CC69" s="645">
        <f t="shared" si="16"/>
        <v>3</v>
      </c>
    </row>
    <row r="70" spans="2:81" ht="15" customHeight="1">
      <c r="BI70" s="638" t="s">
        <v>327</v>
      </c>
      <c r="BJ70" s="638">
        <v>7</v>
      </c>
      <c r="BK70" s="638" t="s">
        <v>328</v>
      </c>
      <c r="BL70" s="826">
        <f t="shared" si="17"/>
        <v>0.69464000000000004</v>
      </c>
      <c r="BM70" s="690">
        <v>0.45700000000000002</v>
      </c>
      <c r="BN70" s="829">
        <v>1.52</v>
      </c>
      <c r="BO70" s="289">
        <f>IF(SUM(BM70:BM72=0),0,SUM(BL70:BL72)/SUM(BM70:BM72))</f>
        <v>1.6970580808080808</v>
      </c>
      <c r="BP70" s="683">
        <v>3</v>
      </c>
      <c r="BQ70" s="827" t="str">
        <f t="shared" si="18"/>
        <v/>
      </c>
      <c r="BR70" s="690"/>
      <c r="BS70" s="829"/>
      <c r="BT70" s="289">
        <f>IF(SUM(BR70:BR72=0),0,SUM(BQ70:BQ72)/SUM(BR70:BR72))</f>
        <v>0</v>
      </c>
      <c r="BU70" s="683">
        <v>3</v>
      </c>
      <c r="BX70" s="666" t="str">
        <f t="shared" si="15"/>
        <v>Apr</v>
      </c>
      <c r="BY70" s="643">
        <f>IF(CB70=$CB76,SUMIF($BI64:$BI75,$BX70,$BR64:$BR75),SUMIF($BI64:$BI75,$BX70,$BM64:$BM75))</f>
        <v>0.45700000000000002</v>
      </c>
      <c r="BZ70" s="668">
        <f>IF(IF(CB70=CB76,SUMIF(BI64:BI75,$BX70,BU64:BU75),SUMIF(BI64:BI75,$BX70,BP64:BP75))=0,NA(),IF(CB70=CB76,SUMIF(BI64:BI75,$BX70,BU64:BU75),SUMIF(BI64:BI75,$BX70,BP64:BP75)))</f>
        <v>3</v>
      </c>
      <c r="CA70" s="654">
        <f>IF(IF(CB70=CB76,SUMIF(BI64:BI75,$BX70,BS64:BS75),SUMIF(BI64:BI75,$BX70,BN64:BN75))=0,NA(),IF(CB70=CB76,SUMIF(BI64:BI75,$BX70,BS64:BS75),SUMIF(BI64:BI75,$BX70,BN64:BN75)))</f>
        <v>1.52</v>
      </c>
      <c r="CB70" s="645">
        <f>CB51</f>
        <v>23</v>
      </c>
      <c r="CC70" s="645">
        <f t="shared" si="16"/>
        <v>4</v>
      </c>
    </row>
    <row r="71" spans="2:81" ht="15" customHeight="1">
      <c r="BI71" s="638" t="s">
        <v>329</v>
      </c>
      <c r="BJ71" s="638">
        <v>8</v>
      </c>
      <c r="BK71" s="638" t="s">
        <v>328</v>
      </c>
      <c r="BL71" s="826">
        <f t="shared" si="17"/>
        <v>0.97560000000000013</v>
      </c>
      <c r="BM71" s="690">
        <v>0.54200000000000004</v>
      </c>
      <c r="BN71" s="829">
        <v>1.8</v>
      </c>
      <c r="BO71" s="290"/>
      <c r="BP71" s="683">
        <v>3</v>
      </c>
      <c r="BQ71" s="827" t="str">
        <f t="shared" si="18"/>
        <v/>
      </c>
      <c r="BR71" s="690"/>
      <c r="BS71" s="829"/>
      <c r="BT71" s="290"/>
      <c r="BU71" s="683">
        <v>3</v>
      </c>
      <c r="BX71" s="666" t="str">
        <f t="shared" si="15"/>
        <v>May</v>
      </c>
      <c r="BY71" s="643">
        <f>IF(CB71=$CB76,SUMIF($BI64:$BI75,$BX71,$BR64:$BR75),SUMIF($BI64:$BI75,$BX71,$BM64:$BM75))</f>
        <v>0.54200000000000004</v>
      </c>
      <c r="BZ71" s="668">
        <f>IF(IF(CB71=CB76,SUMIF(BI64:BI75,$BX71,BU64:BU75),SUMIF(BI64:BI75,$BX71,BP64:BP75))=0,NA(),IF(CB71=CB76,SUMIF(BI64:BI75,$BX71,BU64:BU75),SUMIF(BI64:BI75,$BX71,BP64:BP75)))</f>
        <v>3</v>
      </c>
      <c r="CA71" s="654">
        <f>IF(IF(CB71=CB76,SUMIF(BI64:BI75,$BX71,BS64:BS75),SUMIF(BI64:BI75,$BX71,BN64:BN75))=0,NA(),IF(CB71=CB76,SUMIF(BI64:BI75,$BX71,BS64:BS75),SUMIF(BI64:BI75,$BX71,BN64:BN75)))</f>
        <v>1.8</v>
      </c>
      <c r="CB71" s="645">
        <f t="shared" si="19"/>
        <v>23</v>
      </c>
      <c r="CC71" s="645">
        <f t="shared" si="16"/>
        <v>5</v>
      </c>
    </row>
    <row r="72" spans="2:81" ht="15" customHeight="1">
      <c r="BI72" s="638" t="s">
        <v>331</v>
      </c>
      <c r="BJ72" s="638">
        <v>9</v>
      </c>
      <c r="BK72" s="638" t="s">
        <v>328</v>
      </c>
      <c r="BL72" s="826">
        <f t="shared" si="17"/>
        <v>1.0179</v>
      </c>
      <c r="BM72" s="690">
        <v>0.58499999999999996</v>
      </c>
      <c r="BN72" s="829">
        <v>1.74</v>
      </c>
      <c r="BO72" s="290"/>
      <c r="BP72" s="683">
        <v>3</v>
      </c>
      <c r="BQ72" s="827" t="str">
        <f t="shared" si="18"/>
        <v/>
      </c>
      <c r="BR72" s="690"/>
      <c r="BS72" s="829"/>
      <c r="BT72" s="290"/>
      <c r="BU72" s="683">
        <v>3</v>
      </c>
      <c r="BX72" s="666" t="str">
        <f t="shared" si="15"/>
        <v>Jun</v>
      </c>
      <c r="BY72" s="643">
        <f>IF(CB72=$CB76,SUMIF($BI64:$BI75,$BX72,$BR64:$BR75),SUMIF($BI64:$BI75,$BX72,$BM64:$BM75))</f>
        <v>0.58499999999999996</v>
      </c>
      <c r="BZ72" s="668">
        <f>IF(IF(CB72=CB76,SUMIF(BI64:BI75,$BX72,BU64:BU75),SUMIF(BI64:BI75,$BX72,BP64:BP75))=0,NA(),IF(CB72=CB76,SUMIF(BI64:BI75,$BX72,BU64:BU75),SUMIF(BI64:BI75,$BX72,BP64:BP75)))</f>
        <v>3</v>
      </c>
      <c r="CA72" s="654">
        <f>IF(IF(CB72=CB76,SUMIF(BI64:BI75,$BX72,BS64:BS75),SUMIF(BI64:BI75,$BX72,BN64:BN75))=0,NA(),IF(CB72=CB76,SUMIF(BI64:BI75,$BX72,BS64:BS75),SUMIF(BI64:BI75,$BX72,BN64:BN75)))</f>
        <v>1.74</v>
      </c>
      <c r="CB72" s="645">
        <f t="shared" si="19"/>
        <v>23</v>
      </c>
      <c r="CC72" s="645">
        <f t="shared" si="16"/>
        <v>6</v>
      </c>
    </row>
    <row r="73" spans="2:81" ht="15" customHeight="1">
      <c r="BI73" s="638" t="s">
        <v>337</v>
      </c>
      <c r="BJ73" s="638">
        <v>10</v>
      </c>
      <c r="BK73" s="638" t="s">
        <v>338</v>
      </c>
      <c r="BL73" s="826">
        <f t="shared" si="17"/>
        <v>0.91691999999999996</v>
      </c>
      <c r="BM73" s="690">
        <v>0.56599999999999995</v>
      </c>
      <c r="BN73" s="829">
        <v>1.62</v>
      </c>
      <c r="BO73" s="289">
        <f>IF(SUM(BM73:BM75=0),0,SUM(BL73:BL75)/SUM(BM73:BM75))</f>
        <v>1.678766081871345</v>
      </c>
      <c r="BP73" s="683">
        <v>3</v>
      </c>
      <c r="BQ73" s="827" t="str">
        <f t="shared" si="18"/>
        <v/>
      </c>
      <c r="BR73" s="690"/>
      <c r="BS73" s="829"/>
      <c r="BT73" s="289">
        <f>IF(SUM(BR73:BR75=0),0,SUM(BQ73:BQ75)/SUM(BR73:BR75))</f>
        <v>0</v>
      </c>
      <c r="BU73" s="683">
        <v>3</v>
      </c>
      <c r="BX73" s="666" t="str">
        <f t="shared" si="15"/>
        <v>Jul</v>
      </c>
      <c r="BY73" s="643">
        <f>IF(CB73=$CB76,SUMIF($BI64:$BI75,$BX73,$BR64:$BR75),SUMIF($BI64:$BI75,$BX73,$BM64:$BM75))</f>
        <v>0.56599999999999995</v>
      </c>
      <c r="BZ73" s="668">
        <f>IF(IF(CB73=CB76,SUMIF(BI64:BI75,$BX73,BU64:BU75),SUMIF(BI64:BI75,$BX73,BP64:BP75))=0,NA(),IF(CB73=CB76,SUMIF(BI64:BI75,$BX73,BU64:BU75),SUMIF(BI64:BI75,$BX73,BP64:BP75)))</f>
        <v>3</v>
      </c>
      <c r="CA73" s="654">
        <f>IF(IF(CB73=CB76,SUMIF(BI64:BI75,$BX73,BS64:BS75),SUMIF(BI64:BI75,$BX73,BN64:BN75))=0,NA(),IF(CB73=CB76,SUMIF(BI64:BI75,$BX73,BS64:BS75),SUMIF(BI64:BI75,$BX73,BN64:BN75)))</f>
        <v>1.62</v>
      </c>
      <c r="CB73" s="645">
        <f t="shared" si="19"/>
        <v>23</v>
      </c>
      <c r="CC73" s="645">
        <f t="shared" si="16"/>
        <v>7</v>
      </c>
    </row>
    <row r="74" spans="2:81" ht="15" customHeight="1">
      <c r="BI74" s="638" t="s">
        <v>343</v>
      </c>
      <c r="BJ74" s="638">
        <v>11</v>
      </c>
      <c r="BK74" s="638" t="s">
        <v>338</v>
      </c>
      <c r="BL74" s="826">
        <f t="shared" si="17"/>
        <v>0.93664999999999998</v>
      </c>
      <c r="BM74" s="690">
        <v>0.65500000000000003</v>
      </c>
      <c r="BN74" s="829">
        <v>1.43</v>
      </c>
      <c r="BO74" s="290"/>
      <c r="BP74" s="683">
        <v>3</v>
      </c>
      <c r="BQ74" s="827" t="str">
        <f t="shared" si="18"/>
        <v/>
      </c>
      <c r="BR74" s="690"/>
      <c r="BS74" s="829"/>
      <c r="BT74" s="290"/>
      <c r="BU74" s="683">
        <v>3</v>
      </c>
      <c r="BX74" s="666" t="str">
        <f t="shared" si="15"/>
        <v>Aug</v>
      </c>
      <c r="BY74" s="643">
        <f>IF(CB74=$CB76,SUMIF($BI64:$BI75,$BX74,$BR64:$BR75),SUMIF($BI64:$BI75,$BX74,$BM64:$BM75))</f>
        <v>0.65500000000000003</v>
      </c>
      <c r="BZ74" s="668">
        <f>IF(IF(CB74=CB76,SUMIF(BI64:BI75,$BX74,BU64:BU75),SUMIF(BI64:BI75,$BX74,BP64:BP75))=0,NA(),IF(CB74=CB76,SUMIF(BI64:BI75,$BX74,BU64:BU75),SUMIF(BI64:BI75,$BX74,BP64:BP75)))</f>
        <v>3</v>
      </c>
      <c r="CA74" s="654">
        <f>IF(IF(CB74=CB76,SUMIF(BI64:BI75,$BX74,BS64:BS75),SUMIF(BI64:BI75,$BX74,BN64:BN75))=0,NA(),IF(CB74=CB76,SUMIF(BI64:BI75,$BX74,BS64:BS75),SUMIF(BI64:BI75,$BX74,BN64:BN75)))</f>
        <v>1.43</v>
      </c>
      <c r="CB74" s="645">
        <f t="shared" si="19"/>
        <v>23</v>
      </c>
      <c r="CC74" s="645">
        <f t="shared" si="16"/>
        <v>8</v>
      </c>
    </row>
    <row r="75" spans="2:81" ht="15" customHeight="1">
      <c r="BI75" s="638" t="s">
        <v>344</v>
      </c>
      <c r="BJ75" s="638">
        <v>12</v>
      </c>
      <c r="BK75" s="638" t="s">
        <v>338</v>
      </c>
      <c r="BL75" s="826">
        <f t="shared" si="17"/>
        <v>1.01712</v>
      </c>
      <c r="BM75" s="690">
        <v>0.48899999999999999</v>
      </c>
      <c r="BN75" s="829">
        <v>2.08</v>
      </c>
      <c r="BO75" s="290"/>
      <c r="BP75" s="683">
        <v>3</v>
      </c>
      <c r="BQ75" s="827" t="str">
        <f t="shared" si="18"/>
        <v/>
      </c>
      <c r="BR75" s="690"/>
      <c r="BS75" s="829"/>
      <c r="BT75" s="290"/>
      <c r="BU75" s="683">
        <v>3</v>
      </c>
      <c r="BV75" s="6"/>
      <c r="BX75" s="666" t="str">
        <f t="shared" si="15"/>
        <v>Sep</v>
      </c>
      <c r="BY75" s="643">
        <f>IF(CB75=$CB76,SUMIF($BI64:$BI75,$BX75,$BR64:$BR75),SUMIF($BI64:$BI75,$BX75,$BM64:$BM75))</f>
        <v>0.48899999999999999</v>
      </c>
      <c r="BZ75" s="668">
        <f>IF(IF(CB75=CB76,SUMIF(BI64:BI75,$BX75,BU64:BU75),SUMIF(BI64:BI75,$BX75,BP64:BP75))=0,NA(),IF(CB75=CB76,SUMIF(BI64:BI75,$BX75,BU64:BU75),SUMIF(BI64:BI75,$BX75,BP64:BP75)))</f>
        <v>3</v>
      </c>
      <c r="CA75" s="654">
        <f>IF(IF(CB75=CB76,SUMIF(BI64:BI75,$BX75,BS64:BS75),SUMIF(BI64:BI75,$BX75,BN64:BN75))=0,NA(),IF(CB75=CB76,SUMIF(BI64:BI75,$BX75,BS64:BS75),SUMIF(BI64:BI75,$BX75,BN64:BN75)))</f>
        <v>2.08</v>
      </c>
      <c r="CB75" s="645">
        <f t="shared" si="19"/>
        <v>23</v>
      </c>
      <c r="CC75" s="645">
        <f>IF(CC76-1&lt;1,CC76+11,CC76-1)</f>
        <v>9</v>
      </c>
    </row>
    <row r="76" spans="2:81" ht="15" customHeight="1">
      <c r="BJ76" s="6"/>
      <c r="BK76" s="6"/>
      <c r="BL76" s="6"/>
      <c r="BM76" s="6"/>
      <c r="BN76" s="6"/>
      <c r="BO76" s="6"/>
      <c r="BP76" s="6"/>
      <c r="BQ76" s="6"/>
      <c r="BR76" s="6"/>
      <c r="BS76" s="6"/>
      <c r="BT76" s="6"/>
      <c r="BU76" s="6"/>
      <c r="BV76" s="6"/>
      <c r="BW76" s="667" t="str">
        <f>Cover!$M$34</f>
        <v>OCT FY-24</v>
      </c>
      <c r="BX76" s="666" t="str">
        <f>TEXT(CONCATENATE(CC76,"/01/20",CB76),"MMM")</f>
        <v>Oct</v>
      </c>
      <c r="BY76" s="643">
        <f>SUMIF($BI64:$BI75,$BX76,$BR64:$BR75)</f>
        <v>0.64200000000000002</v>
      </c>
      <c r="BZ76" s="668">
        <f>IF(IF(CB76=CB76,SUMIF(BI64:BI75,$BX76,BU64:BU75),SUMIF(BI64:BI75,$BX76,BP64:BP75))=0,NA(),IF(CB76=CB76,SUMIF(BI64:BI75,$BX76,BU64:BU75),SUMIF(BI64:BI75,$BX76,BP64:BP75)))</f>
        <v>3</v>
      </c>
      <c r="CA76" s="654">
        <f>IF(SUMIF($BI64:$BI75,$BX76,$BS64:$BS75)=0,NA(),SUMIF($BI64:$BI75,$BX76,$BS64:$BS75))</f>
        <v>2.4300000000000002</v>
      </c>
      <c r="CB76" s="645">
        <f t="shared" si="19"/>
        <v>24</v>
      </c>
      <c r="CC76" s="645">
        <f>MONTH(DATEVALUE(LEFT(BW76,3)&amp;" 1"))</f>
        <v>10</v>
      </c>
    </row>
    <row r="77" spans="2:81" ht="15" customHeight="1">
      <c r="BJ77" s="6"/>
      <c r="BK77" s="6"/>
      <c r="BL77" s="6"/>
      <c r="BM77" s="6"/>
      <c r="BN77" s="6"/>
      <c r="BO77" s="6"/>
      <c r="BP77" s="6"/>
      <c r="BQ77" s="6"/>
      <c r="BR77" s="6"/>
      <c r="BS77" s="6"/>
      <c r="BT77" s="6"/>
      <c r="BU77" s="6"/>
      <c r="BV77" s="6"/>
    </row>
    <row r="78" spans="2:81" ht="15" customHeight="1">
      <c r="BI78" s="54" t="s">
        <v>292</v>
      </c>
      <c r="BJ78" s="287" t="s">
        <v>403</v>
      </c>
      <c r="BK78" s="287"/>
      <c r="BL78" s="287"/>
      <c r="BM78" s="287"/>
      <c r="BN78" s="287"/>
      <c r="BO78" s="287"/>
      <c r="BP78" s="287"/>
      <c r="BQ78" s="287"/>
      <c r="BR78" s="287"/>
      <c r="BS78" s="287"/>
      <c r="BT78" s="287"/>
      <c r="BU78" s="287"/>
    </row>
    <row r="79" spans="2:81" ht="15" customHeight="1">
      <c r="BI79" s="54" t="s">
        <v>296</v>
      </c>
      <c r="BJ79" s="287" t="s">
        <v>404</v>
      </c>
      <c r="BK79" s="287"/>
      <c r="BL79" s="287"/>
      <c r="BM79" s="287"/>
      <c r="BN79" s="287"/>
      <c r="BO79" s="287"/>
      <c r="BP79" s="287"/>
      <c r="BQ79" s="287"/>
      <c r="BR79" s="287"/>
      <c r="BS79" s="287"/>
      <c r="BT79" s="287"/>
      <c r="BU79" s="287"/>
    </row>
    <row r="80" spans="2:81" ht="15" customHeight="1" thickBot="1">
      <c r="BI80" s="54" t="s">
        <v>300</v>
      </c>
      <c r="BJ80" s="287" t="s">
        <v>405</v>
      </c>
      <c r="BK80" s="287"/>
      <c r="BL80" s="287"/>
      <c r="BM80" s="287"/>
      <c r="BN80" s="287"/>
      <c r="BO80" s="287"/>
      <c r="BP80" s="287"/>
      <c r="BQ80" s="287"/>
      <c r="BR80" s="287"/>
      <c r="BS80" s="287"/>
      <c r="BT80" s="287"/>
      <c r="BU80" s="287"/>
    </row>
    <row r="81" spans="2:81" ht="15" customHeight="1" thickBot="1">
      <c r="BI81" s="277"/>
      <c r="BJ81" s="277"/>
      <c r="BK81" s="277"/>
      <c r="BL81" s="1148" t="s">
        <v>302</v>
      </c>
      <c r="BM81" s="1149"/>
      <c r="BN81" s="1149"/>
      <c r="BO81" s="1149"/>
      <c r="BP81" s="1151"/>
      <c r="BQ81" s="1148" t="s">
        <v>719</v>
      </c>
      <c r="BR81" s="1149"/>
      <c r="BS81" s="1149"/>
      <c r="BT81" s="1149"/>
      <c r="BU81" s="1150"/>
      <c r="BW81" s="1148" t="s">
        <v>303</v>
      </c>
      <c r="BX81" s="1149"/>
      <c r="BY81" s="1149"/>
      <c r="BZ81" s="1149"/>
      <c r="CA81" s="1149"/>
      <c r="CB81" s="1149"/>
      <c r="CC81" s="1150"/>
    </row>
    <row r="82" spans="2:81" ht="15" customHeight="1">
      <c r="BI82" s="636" t="s">
        <v>23</v>
      </c>
      <c r="BJ82" s="636" t="s">
        <v>37</v>
      </c>
      <c r="BK82" s="636" t="s">
        <v>304</v>
      </c>
      <c r="BL82" s="637" t="s">
        <v>305</v>
      </c>
      <c r="BM82" s="637" t="s">
        <v>310</v>
      </c>
      <c r="BN82" s="637" t="s">
        <v>311</v>
      </c>
      <c r="BO82" s="278" t="s">
        <v>312</v>
      </c>
      <c r="BP82" s="637" t="s">
        <v>313</v>
      </c>
      <c r="BQ82" s="637" t="s">
        <v>305</v>
      </c>
      <c r="BR82" s="637" t="s">
        <v>715</v>
      </c>
      <c r="BS82" s="637" t="s">
        <v>716</v>
      </c>
      <c r="BT82" s="278" t="s">
        <v>717</v>
      </c>
      <c r="BU82" s="637" t="s">
        <v>718</v>
      </c>
      <c r="BW82" s="279" t="s">
        <v>314</v>
      </c>
      <c r="BX82" s="279" t="s">
        <v>23</v>
      </c>
      <c r="BY82" s="279" t="s">
        <v>315</v>
      </c>
      <c r="BZ82" s="279" t="s">
        <v>122</v>
      </c>
      <c r="CA82" s="279" t="s">
        <v>316</v>
      </c>
      <c r="CB82" s="279" t="s">
        <v>317</v>
      </c>
      <c r="CC82" s="279" t="s">
        <v>318</v>
      </c>
    </row>
    <row r="83" spans="2:81" ht="15" customHeight="1">
      <c r="BI83" s="638" t="s">
        <v>319</v>
      </c>
      <c r="BJ83" s="638">
        <v>1</v>
      </c>
      <c r="BK83" s="638" t="s">
        <v>320</v>
      </c>
      <c r="BL83" s="690">
        <v>96.786000000000001</v>
      </c>
      <c r="BM83" s="690">
        <v>4.8499999999999996</v>
      </c>
      <c r="BN83" s="654">
        <f>IF(BM83="","",BL83/BM83)</f>
        <v>19.955876288659795</v>
      </c>
      <c r="BO83" s="289">
        <f>IF(SUM(BM83:BM85=0),0,SUM(BL83:BL85)/SUM(BM83:BM85))</f>
        <v>26.13034039597083</v>
      </c>
      <c r="BP83" s="641"/>
      <c r="BQ83" s="690">
        <v>99.734999999999999</v>
      </c>
      <c r="BR83" s="690">
        <v>3.6840000000000002</v>
      </c>
      <c r="BS83" s="654">
        <f>IF(BR83="","",BQ83/BR83)</f>
        <v>27.072475570032573</v>
      </c>
      <c r="BT83" s="289">
        <f>IF(SUM(BR83:BR85=0),0,SUM(BQ83:BQ85)/SUM(BR83:BR85))</f>
        <v>27.072475570032573</v>
      </c>
      <c r="BU83" s="641"/>
      <c r="BX83" s="666" t="str">
        <f>TEXT(CONCATENATE(CC83,"/01/20",CB83),"MMM")</f>
        <v>Oct</v>
      </c>
      <c r="BY83" s="643">
        <f>IF(CB83=$CB95,SUMIF($BI83:$BI94,$BX83,$BR83:$BR94),SUMIF($BI83:$BI94,$BX83,$BM83:$BM94))</f>
        <v>4.8499999999999996</v>
      </c>
      <c r="BZ83" s="641" t="e">
        <f>IF(IF(CB83=CB95,SUMIF(BI83:BI94,$BX83,BU83:BU94),SUMIF(BI83:BI94,$BX83,BP83:BP94))=0,NA(),IF(CB83=CB95,SUMIF(BI83:BI94,$BX83,BU83:BU94),SUMIF(BI83:BI94,$BX83,BP83:BP94)))</f>
        <v>#N/A</v>
      </c>
      <c r="CA83" s="664">
        <f>IF(IF(CB83=CB95,SUMIF(BI83:BI94,$BX83,BS83:BS94),SUMIF(BI83:BI94,$BX83,BN83:BN94))=0,NA(),IF(CB83=CB95,SUMIF(BI83:BI94,$BX83,BS83:BS94),SUMIF(BI83:BI94,$BX83,BN83:BN94)))</f>
        <v>19.955876288659795</v>
      </c>
      <c r="CB83" s="645">
        <f>CB64</f>
        <v>23</v>
      </c>
      <c r="CC83" s="645">
        <f t="shared" ref="CC83:CC93" si="20">IF(CC84-1&lt;1,CC84+11,CC84-1)</f>
        <v>10</v>
      </c>
    </row>
    <row r="84" spans="2:81" ht="15" customHeight="1">
      <c r="BI84" s="638" t="s">
        <v>321</v>
      </c>
      <c r="BJ84" s="638">
        <v>2</v>
      </c>
      <c r="BK84" s="638" t="s">
        <v>320</v>
      </c>
      <c r="BL84" s="690">
        <v>97.74</v>
      </c>
      <c r="BM84" s="690">
        <v>3.5009999999999999</v>
      </c>
      <c r="BN84" s="654">
        <f t="shared" ref="BN84:BN94" si="21">IF(BM84="","",BL84/BM84)</f>
        <v>27.917737789203084</v>
      </c>
      <c r="BO84" s="290"/>
      <c r="BP84" s="641"/>
      <c r="BQ84" s="690"/>
      <c r="BR84" s="690"/>
      <c r="BS84" s="654" t="str">
        <f t="shared" ref="BS84:BS94" si="22">IF(BR84="","",BQ84/BR84)</f>
        <v/>
      </c>
      <c r="BT84" s="290"/>
      <c r="BU84" s="641"/>
      <c r="BX84" s="666" t="str">
        <f t="shared" ref="BX84:BX94" si="23">TEXT(CONCATENATE(CC84,"/01/20",CB84),"MMM")</f>
        <v>Nov</v>
      </c>
      <c r="BY84" s="643">
        <f>IF(CB84=$CB95,SUMIF($BI83:$BI94,$BX84,$BR83:$BR94),SUMIF($BI83:$BI94,$BX84,$BM83:$BM94))</f>
        <v>3.5009999999999999</v>
      </c>
      <c r="BZ84" s="641" t="e">
        <f>IF(IF(CB84=CB95,SUMIF(BI83:BI94,$BX84,BU83:BU94),SUMIF(BI83:BI94,$BX84,BP83:BP94))=0,NA(),IF(CB84=CB95,SUMIF(BI83:BI94,$BX84,BU83:BU94),SUMIF(BI83:BI94,$BX84,BP83:BP94)))</f>
        <v>#N/A</v>
      </c>
      <c r="CA84" s="664">
        <f>IF(IF(CB84=CB95,SUMIF(BI83:BI94,$BX84,BS83:BS94),SUMIF(BI83:BI94,$BX84,BN83:BN94))=0,NA(),IF(CB84=CB95,SUMIF(BI83:BI94,$BX84,BS83:BS94),SUMIF(BI83:BI94,$BX84,BN83:BN94)))</f>
        <v>27.917737789203084</v>
      </c>
      <c r="CB84" s="645">
        <f t="shared" ref="CB84:CB95" si="24">CB65</f>
        <v>23</v>
      </c>
      <c r="CC84" s="645">
        <f t="shared" si="20"/>
        <v>11</v>
      </c>
    </row>
    <row r="85" spans="2:81" ht="15" customHeight="1">
      <c r="BI85" s="638" t="s">
        <v>322</v>
      </c>
      <c r="BJ85" s="638">
        <v>3</v>
      </c>
      <c r="BK85" s="638" t="s">
        <v>320</v>
      </c>
      <c r="BL85" s="690">
        <v>106.39100000000001</v>
      </c>
      <c r="BM85" s="690">
        <v>3.165</v>
      </c>
      <c r="BN85" s="654">
        <f t="shared" si="21"/>
        <v>33.614849921011057</v>
      </c>
      <c r="BO85" s="290"/>
      <c r="BP85" s="641"/>
      <c r="BQ85" s="690"/>
      <c r="BR85" s="690"/>
      <c r="BS85" s="654" t="str">
        <f t="shared" si="22"/>
        <v/>
      </c>
      <c r="BT85" s="290"/>
      <c r="BU85" s="641"/>
      <c r="BX85" s="666" t="str">
        <f t="shared" si="23"/>
        <v>Dec</v>
      </c>
      <c r="BY85" s="643">
        <f>IF(CB85=$CB95,SUMIF($BI83:$BI94,$BX85,$BR83:$BR94),SUMIF($BI83:$BI94,$BX85,$BM83:$BM94))</f>
        <v>3.165</v>
      </c>
      <c r="BZ85" s="641" t="e">
        <f>IF(IF(CB85=CB95,SUMIF(BI83:BI94,$BX85,BU83:BU94),SUMIF(BI83:BI94,$BX85,BP83:BP94))=0,NA(),IF(CB85=CB95,SUMIF(BI83:BI94,$BX85,BU83:BU94),SUMIF(BI83:BI94,$BX85,BP83:BP94)))</f>
        <v>#N/A</v>
      </c>
      <c r="CA85" s="664">
        <f>IF(IF(CB85=CB95,SUMIF(BI83:BI94,$BX85,BS83:BS94),SUMIF(BI83:BI94,$BX85,BN83:BN94))=0,NA(),IF(CB85=CB95,SUMIF(BI83:BI94,$BX85,BS83:BS94),SUMIF(BI83:BI94,$BX85,BN83:BN94)))</f>
        <v>33.614849921011057</v>
      </c>
      <c r="CB85" s="645">
        <f t="shared" si="24"/>
        <v>23</v>
      </c>
      <c r="CC85" s="645">
        <f t="shared" si="20"/>
        <v>12</v>
      </c>
    </row>
    <row r="86" spans="2:81" ht="15" customHeight="1">
      <c r="B86" s="267" t="s">
        <v>242</v>
      </c>
      <c r="C86" s="267"/>
      <c r="D86" s="267"/>
      <c r="E86" s="334"/>
      <c r="F86" s="326"/>
      <c r="G86" s="326"/>
      <c r="H86" s="326"/>
      <c r="I86" s="326"/>
      <c r="J86" s="326"/>
      <c r="K86" s="326"/>
      <c r="L86" s="326"/>
      <c r="M86" s="326"/>
      <c r="N86" s="326"/>
      <c r="O86" s="326"/>
      <c r="P86" s="326"/>
      <c r="Q86" s="326"/>
      <c r="R86" s="326"/>
      <c r="S86" s="326"/>
      <c r="T86" s="326"/>
      <c r="U86" s="326"/>
      <c r="V86" s="326"/>
      <c r="W86" s="326"/>
      <c r="X86" s="326"/>
      <c r="Y86" s="326"/>
      <c r="Z86" s="326"/>
      <c r="AA86" s="326"/>
      <c r="AB86" s="326"/>
      <c r="BI86" s="638" t="s">
        <v>323</v>
      </c>
      <c r="BJ86" s="638">
        <v>4</v>
      </c>
      <c r="BK86" s="638" t="s">
        <v>324</v>
      </c>
      <c r="BL86" s="690">
        <v>94.766000000000005</v>
      </c>
      <c r="BM86" s="690">
        <v>3.5049999999999999</v>
      </c>
      <c r="BN86" s="654">
        <f t="shared" si="21"/>
        <v>27.037375178316694</v>
      </c>
      <c r="BO86" s="289">
        <f>IF(SUM(BM86:BM88=0),0,SUM(BL86:BL88)/SUM(BM86:BM88))</f>
        <v>30.224535315985133</v>
      </c>
      <c r="BP86" s="641"/>
      <c r="BQ86" s="690"/>
      <c r="BR86" s="690"/>
      <c r="BS86" s="654" t="str">
        <f t="shared" si="22"/>
        <v/>
      </c>
      <c r="BT86" s="289">
        <f>IF(SUM(BR86:BR88=0),0,SUM(BQ86:BQ88)/SUM(BR86:BR88))</f>
        <v>0</v>
      </c>
      <c r="BU86" s="641"/>
      <c r="BX86" s="666" t="str">
        <f t="shared" si="23"/>
        <v>Jan</v>
      </c>
      <c r="BY86" s="643">
        <f>IF(CB86=$CB95,SUMIF($BI83:$BI94,$BX86,$BR83:$BR94),SUMIF($BI83:$BI94,$BX86,$BM83:$BM94))</f>
        <v>3.5049999999999999</v>
      </c>
      <c r="BZ86" s="641" t="e">
        <f>IF(IF(CB86=CB95,SUMIF(BI83:BI94,$BX86,BU83:BU94),SUMIF(BI83:BI94,$BX86,BP83:BP94))=0,NA(),IF(CB86=CB95,SUMIF(BI83:BI94,$BX86,BU83:BU94),SUMIF(BI83:BI94,$BX86,BP83:BP94)))</f>
        <v>#N/A</v>
      </c>
      <c r="CA86" s="664">
        <f>IF(IF(CB86=CB95,SUMIF(BI83:BI94,$BX86,BS83:BS94),SUMIF(BI83:BI94,$BX86,BN83:BN94))=0,NA(),IF(CB86=CB95,SUMIF(BI83:BI94,$BX86,BS83:BS94),SUMIF(BI83:BI94,$BX86,BN83:BN94)))</f>
        <v>27.037375178316694</v>
      </c>
      <c r="CB86" s="645">
        <f t="shared" si="24"/>
        <v>23</v>
      </c>
      <c r="CC86" s="645">
        <f t="shared" si="20"/>
        <v>1</v>
      </c>
    </row>
    <row r="87" spans="2:81" ht="15" customHeight="1">
      <c r="B87" s="1137" t="s">
        <v>754</v>
      </c>
      <c r="C87" s="1138"/>
      <c r="D87" s="1138"/>
      <c r="E87" s="1138"/>
      <c r="F87" s="1138"/>
      <c r="G87" s="1138"/>
      <c r="H87" s="1138"/>
      <c r="I87" s="1138"/>
      <c r="J87" s="1138"/>
      <c r="K87" s="1138"/>
      <c r="L87" s="1138"/>
      <c r="M87" s="1138"/>
      <c r="N87" s="1138"/>
      <c r="O87" s="1138"/>
      <c r="P87" s="1138"/>
      <c r="Q87" s="1138"/>
      <c r="R87" s="1138"/>
      <c r="S87" s="1138"/>
      <c r="T87" s="1138"/>
      <c r="U87" s="1138"/>
      <c r="V87" s="1138"/>
      <c r="W87" s="1138"/>
      <c r="X87" s="1138"/>
      <c r="Y87" s="1138"/>
      <c r="Z87" s="1138"/>
      <c r="AA87" s="1138"/>
      <c r="AB87" s="1139"/>
      <c r="AC87"/>
      <c r="AD87"/>
      <c r="AE87" s="1137" t="s">
        <v>751</v>
      </c>
      <c r="AF87" s="1138"/>
      <c r="AG87" s="1138"/>
      <c r="AH87" s="1138"/>
      <c r="AI87" s="1138"/>
      <c r="AJ87" s="1138"/>
      <c r="AK87" s="1138"/>
      <c r="AL87" s="1138"/>
      <c r="AM87" s="1138"/>
      <c r="AN87" s="1138"/>
      <c r="AO87" s="1138"/>
      <c r="AP87" s="1138"/>
      <c r="AQ87" s="1138"/>
      <c r="AR87" s="1138"/>
      <c r="AS87" s="1138"/>
      <c r="AT87" s="1138"/>
      <c r="AU87" s="1138"/>
      <c r="AV87" s="1138"/>
      <c r="AW87" s="1138"/>
      <c r="AX87" s="1138"/>
      <c r="AY87" s="1138"/>
      <c r="AZ87" s="1138"/>
      <c r="BA87" s="1138"/>
      <c r="BB87" s="1138"/>
      <c r="BC87" s="1138"/>
      <c r="BD87" s="1138"/>
      <c r="BE87" s="1139"/>
      <c r="BI87" s="638" t="s">
        <v>325</v>
      </c>
      <c r="BJ87" s="638">
        <v>5</v>
      </c>
      <c r="BK87" s="638" t="s">
        <v>324</v>
      </c>
      <c r="BL87" s="690">
        <v>102.779</v>
      </c>
      <c r="BM87" s="690">
        <v>3.7650000000000001</v>
      </c>
      <c r="BN87" s="654">
        <f t="shared" si="21"/>
        <v>27.298539176626825</v>
      </c>
      <c r="BO87" s="290"/>
      <c r="BP87" s="641"/>
      <c r="BQ87" s="690"/>
      <c r="BR87" s="822"/>
      <c r="BS87" s="654" t="str">
        <f t="shared" si="22"/>
        <v/>
      </c>
      <c r="BT87" s="290"/>
      <c r="BU87" s="641"/>
      <c r="BX87" s="666" t="str">
        <f t="shared" si="23"/>
        <v>Feb</v>
      </c>
      <c r="BY87" s="643">
        <f>IF(CB87=$CB95,SUMIF($BI83:$BI94,$BX87,$BR83:$BR94),SUMIF($BI83:$BI94,$BX87,$BM83:$BM94))</f>
        <v>3.7650000000000001</v>
      </c>
      <c r="BZ87" s="641" t="e">
        <f>IF(IF(CB87=CB95,SUMIF(BI83:BI94,$BX87,BU83:BU94),SUMIF(BI83:BI94,$BX87,BP83:BP94))=0,NA(),IF(CB87=CB95,SUMIF(BI83:BI94,$BX87,BU83:BU94),SUMIF(BI83:BI94,$BX87,BP83:BP94)))</f>
        <v>#N/A</v>
      </c>
      <c r="CA87" s="664">
        <f>IF(IF(CB87=CB95,SUMIF(BI83:BI94,$BX87,BS83:BS94),SUMIF(BI83:BI94,$BX87,BN83:BN94))=0,NA(),IF(CB87=CB95,SUMIF(BI83:BI94,$BX87,BS83:BS94),SUMIF(BI83:BI94,$BX87,BN83:BN94)))</f>
        <v>27.298539176626825</v>
      </c>
      <c r="CB87" s="645">
        <f t="shared" si="24"/>
        <v>23</v>
      </c>
      <c r="CC87" s="645">
        <f t="shared" si="20"/>
        <v>2</v>
      </c>
    </row>
    <row r="88" spans="2:81" ht="15" customHeight="1">
      <c r="B88" s="1140"/>
      <c r="C88" s="1141"/>
      <c r="D88" s="1141"/>
      <c r="E88" s="1141"/>
      <c r="F88" s="1141"/>
      <c r="G88" s="1141"/>
      <c r="H88" s="1141"/>
      <c r="I88" s="1141"/>
      <c r="J88" s="1141"/>
      <c r="K88" s="1141"/>
      <c r="L88" s="1141"/>
      <c r="M88" s="1141"/>
      <c r="N88" s="1141"/>
      <c r="O88" s="1141"/>
      <c r="P88" s="1141"/>
      <c r="Q88" s="1141"/>
      <c r="R88" s="1141"/>
      <c r="S88" s="1141"/>
      <c r="T88" s="1141"/>
      <c r="U88" s="1141"/>
      <c r="V88" s="1141"/>
      <c r="W88" s="1141"/>
      <c r="X88" s="1141"/>
      <c r="Y88" s="1141"/>
      <c r="Z88" s="1141"/>
      <c r="AA88" s="1141"/>
      <c r="AB88" s="1142"/>
      <c r="AC88"/>
      <c r="AD88"/>
      <c r="AE88" s="1140"/>
      <c r="AF88" s="1141"/>
      <c r="AG88" s="1141"/>
      <c r="AH88" s="1141"/>
      <c r="AI88" s="1141"/>
      <c r="AJ88" s="1141"/>
      <c r="AK88" s="1141"/>
      <c r="AL88" s="1141"/>
      <c r="AM88" s="1141"/>
      <c r="AN88" s="1141"/>
      <c r="AO88" s="1141"/>
      <c r="AP88" s="1141"/>
      <c r="AQ88" s="1141"/>
      <c r="AR88" s="1141"/>
      <c r="AS88" s="1141"/>
      <c r="AT88" s="1141"/>
      <c r="AU88" s="1141"/>
      <c r="AV88" s="1141"/>
      <c r="AW88" s="1141"/>
      <c r="AX88" s="1141"/>
      <c r="AY88" s="1141"/>
      <c r="AZ88" s="1141"/>
      <c r="BA88" s="1141"/>
      <c r="BB88" s="1141"/>
      <c r="BC88" s="1141"/>
      <c r="BD88" s="1141"/>
      <c r="BE88" s="1142"/>
      <c r="BI88" s="638" t="s">
        <v>326</v>
      </c>
      <c r="BJ88" s="638">
        <v>6</v>
      </c>
      <c r="BK88" s="638" t="s">
        <v>324</v>
      </c>
      <c r="BL88" s="831">
        <v>127.67100000000001</v>
      </c>
      <c r="BM88" s="822">
        <v>3.49</v>
      </c>
      <c r="BN88" s="654">
        <f t="shared" si="21"/>
        <v>36.58194842406877</v>
      </c>
      <c r="BO88" s="290"/>
      <c r="BP88" s="641"/>
      <c r="BQ88" s="690"/>
      <c r="BR88" s="822"/>
      <c r="BS88" s="654" t="str">
        <f t="shared" si="22"/>
        <v/>
      </c>
      <c r="BT88" s="290"/>
      <c r="BU88" s="641"/>
      <c r="BX88" s="666" t="str">
        <f t="shared" si="23"/>
        <v>Mar</v>
      </c>
      <c r="BY88" s="643">
        <f>IF(CB88=$CB95,SUMIF($BI83:$BI94,$BX88,$BR83:$BR94),SUMIF($BI83:$BI94,$BX88,$BM83:$BM94))</f>
        <v>3.49</v>
      </c>
      <c r="BZ88" s="641" t="e">
        <f>IF(IF(CB88=CB95,SUMIF(BI83:BI94,$BX88,BU83:BU94),SUMIF(BI83:BI94,$BX88,BP83:BP94))=0,NA(),IF(CB88=CB95,SUMIF(BI83:BI94,$BX88,BU83:BU94),SUMIF(BI83:BI94,$BX88,BP83:BP94)))</f>
        <v>#N/A</v>
      </c>
      <c r="CA88" s="664">
        <f>IF(IF(CB88=CB95,SUMIF(BI83:BI94,$BX88,BS83:BS94),SUMIF(BI83:BI94,$BX88,BN83:BN94))=0,NA(),IF(CB88=CB95,SUMIF(BI83:BI94,$BX88,BS83:BS94),SUMIF(BI83:BI94,$BX88,BN83:BN94)))</f>
        <v>36.58194842406877</v>
      </c>
      <c r="CB88" s="645">
        <f t="shared" si="24"/>
        <v>23</v>
      </c>
      <c r="CC88" s="645">
        <f t="shared" si="20"/>
        <v>3</v>
      </c>
    </row>
    <row r="89" spans="2:81" ht="15" customHeight="1">
      <c r="B89" s="1140"/>
      <c r="C89" s="1141"/>
      <c r="D89" s="1141"/>
      <c r="E89" s="1141"/>
      <c r="F89" s="1141"/>
      <c r="G89" s="1141"/>
      <c r="H89" s="1141"/>
      <c r="I89" s="1141"/>
      <c r="J89" s="1141"/>
      <c r="K89" s="1141"/>
      <c r="L89" s="1141"/>
      <c r="M89" s="1141"/>
      <c r="N89" s="1141"/>
      <c r="O89" s="1141"/>
      <c r="P89" s="1141"/>
      <c r="Q89" s="1141"/>
      <c r="R89" s="1141"/>
      <c r="S89" s="1141"/>
      <c r="T89" s="1141"/>
      <c r="U89" s="1141"/>
      <c r="V89" s="1141"/>
      <c r="W89" s="1141"/>
      <c r="X89" s="1141"/>
      <c r="Y89" s="1141"/>
      <c r="Z89" s="1141"/>
      <c r="AA89" s="1141"/>
      <c r="AB89" s="1142"/>
      <c r="AC89"/>
      <c r="AD89"/>
      <c r="AE89" s="1140"/>
      <c r="AF89" s="1141"/>
      <c r="AG89" s="1141"/>
      <c r="AH89" s="1141"/>
      <c r="AI89" s="1141"/>
      <c r="AJ89" s="1141"/>
      <c r="AK89" s="1141"/>
      <c r="AL89" s="1141"/>
      <c r="AM89" s="1141"/>
      <c r="AN89" s="1141"/>
      <c r="AO89" s="1141"/>
      <c r="AP89" s="1141"/>
      <c r="AQ89" s="1141"/>
      <c r="AR89" s="1141"/>
      <c r="AS89" s="1141"/>
      <c r="AT89" s="1141"/>
      <c r="AU89" s="1141"/>
      <c r="AV89" s="1141"/>
      <c r="AW89" s="1141"/>
      <c r="AX89" s="1141"/>
      <c r="AY89" s="1141"/>
      <c r="AZ89" s="1141"/>
      <c r="BA89" s="1141"/>
      <c r="BB89" s="1141"/>
      <c r="BC89" s="1141"/>
      <c r="BD89" s="1141"/>
      <c r="BE89" s="1142"/>
      <c r="BI89" s="638" t="s">
        <v>327</v>
      </c>
      <c r="BJ89" s="638">
        <v>7</v>
      </c>
      <c r="BK89" s="638" t="s">
        <v>328</v>
      </c>
      <c r="BL89" s="690">
        <v>102.931</v>
      </c>
      <c r="BM89" s="822">
        <v>4.4400000000000004</v>
      </c>
      <c r="BN89" s="654">
        <f t="shared" si="21"/>
        <v>23.182657657657654</v>
      </c>
      <c r="BO89" s="289">
        <f>IF(SUM(BM89:BM91=0),0,SUM(BL89:BL91)/SUM(BM89:BM91))</f>
        <v>12.751978492180696</v>
      </c>
      <c r="BP89" s="641"/>
      <c r="BQ89" s="690"/>
      <c r="BR89" s="822"/>
      <c r="BS89" s="654" t="str">
        <f t="shared" si="22"/>
        <v/>
      </c>
      <c r="BT89" s="289">
        <f>IF(SUM(BR89:BR91=0),0,SUM(BQ89:BQ91)/SUM(BR89:BR91))</f>
        <v>0</v>
      </c>
      <c r="BU89" s="641"/>
      <c r="BX89" s="666" t="str">
        <f t="shared" si="23"/>
        <v>Apr</v>
      </c>
      <c r="BY89" s="643">
        <f>IF(CB89=$CB95,SUMIF($BI83:$BI94,$BX89,$BR83:$BR94),SUMIF($BI83:$BI94,$BX89,$BM83:$BM94))</f>
        <v>4.4400000000000004</v>
      </c>
      <c r="BZ89" s="641" t="e">
        <f>IF(IF(CB89=CB95,SUMIF(BI83:BI94,$BX89,BU83:BU94),SUMIF(BI83:BI94,$BX89,BP83:BP94))=0,NA(),IF(CB89=CB95,SUMIF(BI83:BI94,$BX89,BU83:BU94),SUMIF(BI83:BI94,$BX89,BP83:BP94)))</f>
        <v>#N/A</v>
      </c>
      <c r="CA89" s="664">
        <f>IF(IF(CB89=CB95,SUMIF(BI83:BI94,$BX89,BS83:BS94),SUMIF(BI83:BI94,$BX89,BN83:BN94))=0,NA(),IF(CB89=CB95,SUMIF(BI83:BI94,$BX89,BS83:BS94),SUMIF(BI83:BI94,$BX89,BN83:BN94)))</f>
        <v>23.182657657657654</v>
      </c>
      <c r="CB89" s="645">
        <f>CB70</f>
        <v>23</v>
      </c>
      <c r="CC89" s="645">
        <f t="shared" si="20"/>
        <v>4</v>
      </c>
    </row>
    <row r="90" spans="2:81" ht="15" customHeight="1">
      <c r="B90" s="1143"/>
      <c r="C90" s="1144"/>
      <c r="D90" s="1144"/>
      <c r="E90" s="1144"/>
      <c r="F90" s="1144"/>
      <c r="G90" s="1144"/>
      <c r="H90" s="1144"/>
      <c r="I90" s="1144"/>
      <c r="J90" s="1144"/>
      <c r="K90" s="1144"/>
      <c r="L90" s="1144"/>
      <c r="M90" s="1144"/>
      <c r="N90" s="1144"/>
      <c r="O90" s="1144"/>
      <c r="P90" s="1144"/>
      <c r="Q90" s="1144"/>
      <c r="R90" s="1144"/>
      <c r="S90" s="1144"/>
      <c r="T90" s="1144"/>
      <c r="U90" s="1144"/>
      <c r="V90" s="1144"/>
      <c r="W90" s="1144"/>
      <c r="X90" s="1144"/>
      <c r="Y90" s="1144"/>
      <c r="Z90" s="1144"/>
      <c r="AA90" s="1144"/>
      <c r="AB90" s="1145"/>
      <c r="AC90"/>
      <c r="AD90"/>
      <c r="AE90" s="1143"/>
      <c r="AF90" s="1144"/>
      <c r="AG90" s="1144"/>
      <c r="AH90" s="1144"/>
      <c r="AI90" s="1144"/>
      <c r="AJ90" s="1144"/>
      <c r="AK90" s="1144"/>
      <c r="AL90" s="1144"/>
      <c r="AM90" s="1144"/>
      <c r="AN90" s="1144"/>
      <c r="AO90" s="1144"/>
      <c r="AP90" s="1144"/>
      <c r="AQ90" s="1144"/>
      <c r="AR90" s="1144"/>
      <c r="AS90" s="1144"/>
      <c r="AT90" s="1144"/>
      <c r="AU90" s="1144"/>
      <c r="AV90" s="1144"/>
      <c r="AW90" s="1144"/>
      <c r="AX90" s="1144"/>
      <c r="AY90" s="1144"/>
      <c r="AZ90" s="1144"/>
      <c r="BA90" s="1144"/>
      <c r="BB90" s="1144"/>
      <c r="BC90" s="1144"/>
      <c r="BD90" s="1144"/>
      <c r="BE90" s="1145"/>
      <c r="BI90" s="638" t="s">
        <v>329</v>
      </c>
      <c r="BJ90" s="638">
        <v>8</v>
      </c>
      <c r="BK90" s="638" t="s">
        <v>328</v>
      </c>
      <c r="BL90" s="690">
        <v>106.101</v>
      </c>
      <c r="BM90" s="822">
        <v>9.0860000000000003</v>
      </c>
      <c r="BN90" s="654">
        <f t="shared" si="21"/>
        <v>11.677415804534448</v>
      </c>
      <c r="BO90" s="290"/>
      <c r="BP90" s="641"/>
      <c r="BQ90" s="690"/>
      <c r="BR90" s="822"/>
      <c r="BS90" s="654" t="str">
        <f t="shared" si="22"/>
        <v/>
      </c>
      <c r="BT90" s="290"/>
      <c r="BU90" s="641"/>
      <c r="BX90" s="666" t="str">
        <f t="shared" si="23"/>
        <v>May</v>
      </c>
      <c r="BY90" s="643">
        <f>IF(CB90=$CB95,SUMIF($BI83:$BI94,$BX90,$BR83:$BR94),SUMIF($BI83:$BI94,$BX90,$BM83:$BM94))</f>
        <v>9.0860000000000003</v>
      </c>
      <c r="BZ90" s="641" t="e">
        <f>IF(IF(CB90=CB95,SUMIF(BI83:BI94,$BX90,BU83:BU94),SUMIF(BI83:BI94,$BX90,BP83:BP94))=0,NA(),IF(CB90=CB95,SUMIF(BI83:BI94,$BX90,BU83:BU94),SUMIF(BI83:BI94,$BX90,BP83:BP94)))</f>
        <v>#N/A</v>
      </c>
      <c r="CA90" s="664">
        <f>IF(IF(CB90=CB95,SUMIF(BI83:BI94,$BX90,BS83:BS94),SUMIF(BI83:BI94,$BX90,BN83:BN94))=0,NA(),IF(CB90=CB95,SUMIF(BI83:BI94,$BX90,BS83:BS94),SUMIF(BI83:BI94,$BX90,BN83:BN94)))</f>
        <v>11.677415804534448</v>
      </c>
      <c r="CB90" s="645">
        <f t="shared" si="24"/>
        <v>23</v>
      </c>
      <c r="CC90" s="645">
        <f t="shared" si="20"/>
        <v>5</v>
      </c>
    </row>
    <row r="91" spans="2:81" ht="15" customHeight="1">
      <c r="BI91" s="638" t="s">
        <v>331</v>
      </c>
      <c r="BJ91" s="638">
        <v>9</v>
      </c>
      <c r="BK91" s="638" t="s">
        <v>328</v>
      </c>
      <c r="BL91" s="690">
        <v>127.735</v>
      </c>
      <c r="BM91" s="822">
        <v>12.882999999999999</v>
      </c>
      <c r="BN91" s="654">
        <f t="shared" si="21"/>
        <v>9.9150042691919591</v>
      </c>
      <c r="BO91" s="290"/>
      <c r="BP91" s="641"/>
      <c r="BQ91" s="690"/>
      <c r="BR91" s="822"/>
      <c r="BS91" s="654" t="str">
        <f t="shared" si="22"/>
        <v/>
      </c>
      <c r="BT91" s="290"/>
      <c r="BU91" s="641"/>
      <c r="BX91" s="666" t="str">
        <f t="shared" si="23"/>
        <v>Jun</v>
      </c>
      <c r="BY91" s="643">
        <f>IF(CB91=$CB95,SUMIF($BI83:$BI94,$BX91,$BR83:$BR94),SUMIF($BI83:$BI94,$BX91,$BM83:$BM94))</f>
        <v>12.882999999999999</v>
      </c>
      <c r="BZ91" s="641" t="e">
        <f>IF(IF(CB91=CB95,SUMIF(BI83:BI94,$BX91,BU83:BU94),SUMIF(BI83:BI94,$BX91,BP83:BP94))=0,NA(),IF(CB91=CB95,SUMIF(BI83:BI94,$BX91,BU83:BU94),SUMIF(BI83:BI94,$BX91,BP83:BP94)))</f>
        <v>#N/A</v>
      </c>
      <c r="CA91" s="664">
        <f>IF(IF(CB91=CB95,SUMIF(BI83:BI94,$BX91,BS83:BS94),SUMIF(BI83:BI94,$BX91,BN83:BN94))=0,NA(),IF(CB91=CB95,SUMIF(BI83:BI94,$BX91,BS83:BS94),SUMIF(BI83:BI94,$BX91,BN83:BN94)))</f>
        <v>9.9150042691919591</v>
      </c>
      <c r="CB91" s="645">
        <f t="shared" si="24"/>
        <v>23</v>
      </c>
      <c r="CC91" s="645">
        <f t="shared" si="20"/>
        <v>6</v>
      </c>
    </row>
    <row r="92" spans="2:81" ht="15" customHeight="1">
      <c r="BI92" s="638" t="s">
        <v>337</v>
      </c>
      <c r="BJ92" s="638">
        <v>10</v>
      </c>
      <c r="BK92" s="638" t="s">
        <v>338</v>
      </c>
      <c r="BL92" s="690">
        <v>98.784999999999997</v>
      </c>
      <c r="BM92" s="822">
        <v>3.8180000000000001</v>
      </c>
      <c r="BN92" s="654">
        <f t="shared" si="21"/>
        <v>25.873493975903614</v>
      </c>
      <c r="BO92" s="289">
        <f>IF(SUM(BM92:BM94=0),0,SUM(BL92:BL94)/SUM(BM92:BM94))</f>
        <v>25.220704640695331</v>
      </c>
      <c r="BP92" s="641"/>
      <c r="BQ92" s="690"/>
      <c r="BR92" s="822"/>
      <c r="BS92" s="654" t="str">
        <f t="shared" si="22"/>
        <v/>
      </c>
      <c r="BT92" s="289">
        <f>IF(SUM(BR92:BR94=0),0,SUM(BQ92:BQ94)/SUM(BR92:BR94))</f>
        <v>0</v>
      </c>
      <c r="BU92" s="641"/>
      <c r="BX92" s="666" t="str">
        <f t="shared" si="23"/>
        <v>Jul</v>
      </c>
      <c r="BY92" s="643">
        <f>IF(CB92=$CB95,SUMIF($BI83:$BI94,$BX92,$BR83:$BR94),SUMIF($BI83:$BI94,$BX92,$BM83:$BM94))</f>
        <v>3.8180000000000001</v>
      </c>
      <c r="BZ92" s="641" t="e">
        <f>IF(IF(CB92=CB95,SUMIF(BI83:BI94,$BX92,BU83:BU94),SUMIF(BI83:BI94,$BX92,BP83:BP94))=0,NA(),IF(CB92=CB95,SUMIF(BI83:BI94,$BX92,BU83:BU94),SUMIF(BI83:BI94,$BX92,BP83:BP94)))</f>
        <v>#N/A</v>
      </c>
      <c r="CA92" s="664">
        <f>IF(IF(CB92=CB95,SUMIF(BI83:BI94,$BX92,BS83:BS94),SUMIF(BI83:BI94,$BX92,BN83:BN94))=0,NA(),IF(CB92=CB95,SUMIF(BI83:BI94,$BX92,BS83:BS94),SUMIF(BI83:BI94,$BX92,BN83:BN94)))</f>
        <v>25.873493975903614</v>
      </c>
      <c r="CB92" s="645">
        <f t="shared" si="24"/>
        <v>23</v>
      </c>
      <c r="CC92" s="645">
        <f t="shared" si="20"/>
        <v>7</v>
      </c>
    </row>
    <row r="93" spans="2:81" ht="15" customHeight="1">
      <c r="BI93" s="638" t="s">
        <v>343</v>
      </c>
      <c r="BJ93" s="638">
        <v>11</v>
      </c>
      <c r="BK93" s="638" t="s">
        <v>338</v>
      </c>
      <c r="BL93" s="690">
        <v>97.558999999999997</v>
      </c>
      <c r="BM93" s="822">
        <v>3.5230000000000001</v>
      </c>
      <c r="BN93" s="654">
        <f t="shared" si="21"/>
        <v>27.692023843315354</v>
      </c>
      <c r="BO93" s="290"/>
      <c r="BP93" s="641"/>
      <c r="BQ93" s="690"/>
      <c r="BR93" s="822"/>
      <c r="BS93" s="654" t="str">
        <f t="shared" si="22"/>
        <v/>
      </c>
      <c r="BT93" s="290"/>
      <c r="BU93" s="641"/>
      <c r="BX93" s="666" t="str">
        <f t="shared" si="23"/>
        <v>Aug</v>
      </c>
      <c r="BY93" s="643">
        <f>IF(CB93=$CB95,SUMIF($BI83:$BI94,$BX93,$BR83:$BR94),SUMIF($BI83:$BI94,$BX93,$BM83:$BM94))</f>
        <v>3.5230000000000001</v>
      </c>
      <c r="BZ93" s="641" t="e">
        <f>IF(IF(CB93=CB95,SUMIF(BI83:BI94,$BX93,BU83:BU94),SUMIF(BI83:BI94,$BX93,BP83:BP94))=0,NA(),IF(CB93=CB95,SUMIF(BI83:BI94,$BX93,BU83:BU94),SUMIF(BI83:BI94,$BX93,BP83:BP94)))</f>
        <v>#N/A</v>
      </c>
      <c r="CA93" s="664">
        <f>IF(IF(CB93=CB95,SUMIF(BI83:BI94,$BX93,BS83:BS94),SUMIF(BI83:BI94,$BX93,BN83:BN94))=0,NA(),IF(CB93=CB95,SUMIF(BI83:BI94,$BX93,BS83:BS94),SUMIF(BI83:BI94,$BX93,BN83:BN94)))</f>
        <v>27.692023843315354</v>
      </c>
      <c r="CB93" s="645">
        <f>CB74</f>
        <v>23</v>
      </c>
      <c r="CC93" s="645">
        <f t="shared" si="20"/>
        <v>8</v>
      </c>
    </row>
    <row r="94" spans="2:81" ht="15" customHeight="1">
      <c r="BI94" s="638" t="s">
        <v>344</v>
      </c>
      <c r="BJ94" s="638">
        <v>12</v>
      </c>
      <c r="BK94" s="638" t="s">
        <v>338</v>
      </c>
      <c r="BL94" s="690">
        <v>128.65</v>
      </c>
      <c r="BM94" s="822">
        <v>5.5449999999999999</v>
      </c>
      <c r="BN94" s="654">
        <f t="shared" si="21"/>
        <v>23.201082055906223</v>
      </c>
      <c r="BO94" s="290"/>
      <c r="BP94" s="641"/>
      <c r="BQ94" s="690"/>
      <c r="BR94" s="822"/>
      <c r="BS94" s="654" t="str">
        <f t="shared" si="22"/>
        <v/>
      </c>
      <c r="BT94" s="290"/>
      <c r="BU94" s="641"/>
      <c r="BX94" s="666" t="str">
        <f t="shared" si="23"/>
        <v>Sep</v>
      </c>
      <c r="BY94" s="643">
        <f>IF(CB94=$CB95,SUMIF($BI83:$BI94,$BX94,$BR83:$BR94),SUMIF($BI83:$BI94,$BX94,$BM83:$BM94))</f>
        <v>5.5449999999999999</v>
      </c>
      <c r="BZ94" s="641" t="e">
        <f>IF(IF(CB94=CB95,SUMIF(BI83:BI94,$BX94,BU83:BU94),SUMIF(BI83:BI94,$BX94,BP83:BP94))=0,NA(),IF(CB94=CB95,SUMIF(BI83:BI94,$BX94,BU83:BU94),SUMIF(BI83:BI94,$BX94,BP83:BP94)))</f>
        <v>#N/A</v>
      </c>
      <c r="CA94" s="664">
        <f>IF(IF(CB94=CB95,SUMIF(BI83:BI94,$BX94,BS83:BS94),SUMIF(BI83:BI94,$BX94,BN83:BN94))=0,NA(),IF(CB94=CB95,SUMIF(BI83:BI94,$BX94,BS83:BS94),SUMIF(BI83:BI94,$BX94,BN83:BN94)))</f>
        <v>23.201082055906223</v>
      </c>
      <c r="CB94" s="645">
        <f t="shared" si="24"/>
        <v>23</v>
      </c>
      <c r="CC94" s="645">
        <f>IF(CC95-1&lt;1,CC95+11,CC95-1)</f>
        <v>9</v>
      </c>
    </row>
    <row r="95" spans="2:81" ht="15" customHeight="1">
      <c r="BJ95" s="277"/>
      <c r="BK95" s="277"/>
      <c r="BL95" s="277"/>
      <c r="BM95" s="277"/>
      <c r="BN95" s="277"/>
      <c r="BO95" s="277"/>
      <c r="BP95" s="277"/>
      <c r="BQ95" s="277"/>
      <c r="BR95" s="277"/>
      <c r="BS95" s="277"/>
      <c r="BT95" s="277"/>
      <c r="BW95" s="667" t="str">
        <f>Cover!$M$34</f>
        <v>OCT FY-24</v>
      </c>
      <c r="BX95" s="666" t="str">
        <f>TEXT(CONCATENATE(CC95,"/01/20",CB95),"MMM")</f>
        <v>Oct</v>
      </c>
      <c r="BY95" s="643">
        <f>SUMIF($BI83:$BI94,$BX95,$BR83:$BR94)</f>
        <v>3.6840000000000002</v>
      </c>
      <c r="BZ95" s="641" t="e">
        <f>IF(IF(CB95=CB95,SUMIF(BI83:BI94,$BX95,BU83:BU94),SUMIF(BI83:BI94,$BX95,BP83:BP94))=0,NA(),IF(CB95=CB95,SUMIF(BI83:BI94,$BX95,BU83:BU94),SUMIF(BI83:BI94,$BX95,BP83:BP94)))</f>
        <v>#N/A</v>
      </c>
      <c r="CA95" s="664">
        <f>IF(SUMIF($BI83:$BI94,$BX95,$BS83:$BS94)=0,NA(),SUMIF($BI83:$BI94,$BX95,$BS83:$BS94))</f>
        <v>27.072475570032573</v>
      </c>
      <c r="CB95" s="645">
        <f t="shared" si="24"/>
        <v>24</v>
      </c>
      <c r="CC95" s="645">
        <f>MONTH(DATEVALUE(LEFT(BW95,3)&amp;" 1"))</f>
        <v>10</v>
      </c>
    </row>
    <row r="96" spans="2:81" ht="15" customHeight="1">
      <c r="BI96" s="54" t="s">
        <v>292</v>
      </c>
      <c r="BJ96" s="1116" t="s">
        <v>387</v>
      </c>
      <c r="BK96" s="1116"/>
      <c r="BL96" s="1116"/>
      <c r="BM96" s="1116"/>
      <c r="BN96" s="1116"/>
      <c r="BO96" s="1116"/>
      <c r="BP96" s="1116"/>
      <c r="BQ96" s="1116"/>
      <c r="BR96" s="1116"/>
      <c r="BS96" s="1116"/>
      <c r="BT96" s="1116"/>
      <c r="BU96" s="1116"/>
    </row>
    <row r="97" spans="2:81" ht="15" customHeight="1">
      <c r="BI97" s="54" t="s">
        <v>296</v>
      </c>
      <c r="BJ97" s="1233" t="s">
        <v>389</v>
      </c>
      <c r="BK97" s="1233"/>
      <c r="BL97" s="1233"/>
      <c r="BM97" s="1233"/>
      <c r="BN97" s="1233"/>
      <c r="BO97" s="1233"/>
      <c r="BP97" s="1233"/>
      <c r="BQ97" s="1233"/>
      <c r="BR97" s="1233"/>
      <c r="BS97" s="1233"/>
      <c r="BT97" s="1233"/>
      <c r="BU97" s="1233"/>
    </row>
    <row r="98" spans="2:81" ht="15" customHeight="1" thickBot="1">
      <c r="BI98" s="54" t="s">
        <v>300</v>
      </c>
      <c r="BJ98" s="1222" t="s">
        <v>390</v>
      </c>
      <c r="BK98" s="1222"/>
      <c r="BL98" s="1222"/>
      <c r="BM98" s="1222"/>
      <c r="BN98" s="1222"/>
      <c r="BO98" s="1222"/>
      <c r="BP98" s="1222"/>
      <c r="BQ98" s="1222"/>
      <c r="BR98" s="1222"/>
      <c r="BS98" s="1222"/>
      <c r="BT98" s="1222"/>
      <c r="BU98" s="1222"/>
    </row>
    <row r="99" spans="2:81" ht="15" customHeight="1" thickBot="1">
      <c r="BI99" s="277"/>
      <c r="BJ99" s="277"/>
      <c r="BK99" s="277"/>
      <c r="BL99" s="1148" t="s">
        <v>302</v>
      </c>
      <c r="BM99" s="1149"/>
      <c r="BN99" s="1149"/>
      <c r="BO99" s="1149"/>
      <c r="BP99" s="1151"/>
      <c r="BQ99" s="1148" t="s">
        <v>719</v>
      </c>
      <c r="BR99" s="1149"/>
      <c r="BS99" s="1149"/>
      <c r="BT99" s="1149"/>
      <c r="BU99" s="1150"/>
      <c r="BW99" s="1148" t="s">
        <v>303</v>
      </c>
      <c r="BX99" s="1149"/>
      <c r="BY99" s="1149"/>
      <c r="BZ99" s="1149"/>
      <c r="CA99" s="1149"/>
      <c r="CB99" s="1149"/>
      <c r="CC99" s="1150"/>
    </row>
    <row r="100" spans="2:81" ht="15" customHeight="1">
      <c r="BI100" s="636" t="s">
        <v>23</v>
      </c>
      <c r="BJ100" s="636" t="s">
        <v>37</v>
      </c>
      <c r="BK100" s="636" t="s">
        <v>304</v>
      </c>
      <c r="BL100" s="637" t="s">
        <v>305</v>
      </c>
      <c r="BM100" s="637" t="s">
        <v>310</v>
      </c>
      <c r="BN100" s="637" t="s">
        <v>311</v>
      </c>
      <c r="BO100" s="278" t="s">
        <v>312</v>
      </c>
      <c r="BP100" s="637" t="s">
        <v>313</v>
      </c>
      <c r="BQ100" s="637" t="s">
        <v>305</v>
      </c>
      <c r="BR100" s="637" t="s">
        <v>715</v>
      </c>
      <c r="BS100" s="637" t="s">
        <v>716</v>
      </c>
      <c r="BT100" s="278" t="s">
        <v>717</v>
      </c>
      <c r="BU100" s="637" t="s">
        <v>718</v>
      </c>
      <c r="BW100" s="279" t="s">
        <v>314</v>
      </c>
      <c r="BX100" s="279" t="s">
        <v>23</v>
      </c>
      <c r="BY100" s="279" t="s">
        <v>315</v>
      </c>
      <c r="BZ100" s="279" t="s">
        <v>122</v>
      </c>
      <c r="CA100" s="279" t="s">
        <v>316</v>
      </c>
      <c r="CB100" s="279" t="s">
        <v>317</v>
      </c>
      <c r="CC100" s="279" t="s">
        <v>318</v>
      </c>
    </row>
    <row r="101" spans="2:81" ht="15" customHeight="1">
      <c r="BI101" s="638" t="s">
        <v>319</v>
      </c>
      <c r="BJ101" s="638">
        <v>1</v>
      </c>
      <c r="BK101" s="638" t="s">
        <v>320</v>
      </c>
      <c r="BL101" s="690">
        <v>0.91</v>
      </c>
      <c r="BM101" s="690">
        <v>0.92200000000000004</v>
      </c>
      <c r="BN101" s="653">
        <f>IF(BM101="","",BL101/BM101)</f>
        <v>0.98698481561822127</v>
      </c>
      <c r="BO101" s="833">
        <f>IF(SUM(BM101:BM103=0),0,SUM(BL101:BL103)/SUM(BM101:BM103))</f>
        <v>0.9836126629422719</v>
      </c>
      <c r="BP101" s="821">
        <v>0.98</v>
      </c>
      <c r="BQ101" s="690">
        <v>1.0029999999999999</v>
      </c>
      <c r="BR101" s="690">
        <v>1.0189999999999999</v>
      </c>
      <c r="BS101" s="842">
        <f>IF(BR101="","",BQ101/BR101)</f>
        <v>0.98429833169774283</v>
      </c>
      <c r="BT101" s="833">
        <f>IF(SUM(BR101:BR103=0),0,SUM(BQ101:BQ103)/SUM(BR101:BR103))</f>
        <v>0.98429833169774283</v>
      </c>
      <c r="BU101" s="821">
        <v>0.98</v>
      </c>
      <c r="BX101" s="666" t="str">
        <f>TEXT(CONCATENATE(CC101,"/01/20",CB101),"MMM")</f>
        <v>Oct</v>
      </c>
      <c r="BY101" s="643">
        <f>IF(CB101=$CB113,SUMIF($BI101:$BI112,$BX101,$BR101:$BR112),SUMIF($BI101:$BI112,$BX101,$BM101:$BM112))</f>
        <v>0.92200000000000004</v>
      </c>
      <c r="BZ101" s="821">
        <f t="shared" ref="BZ101:BZ113" si="25">IF(IF($CB101=$CB$113,SUMIF($BI$101:$BI$112,$BX101,$BU$101:$BU$112),SUMIF($BI$101:$BI$112,$BX101,$BP$101:$BP$112))=0,NA(),IF($CB101=$CB$113,SUMIF($BI$101:$BI$112,$BX101,$BU$101:$BU$112),SUMIF($BI$101:$BI$112,$BX101,$BP$101:$BP$112)))</f>
        <v>0.98</v>
      </c>
      <c r="CA101" s="644">
        <f>IF(IF(CB101=CB113,SUMIF(BI101:BI112,$BX101,BS101:BS112),SUMIF(BI101:BI112,$BX101,BN101:BN112))=0,NA(),IF(CB101=CB113,SUMIF(BI101:BI112,$BX101,BS101:BS112),SUMIF(BI101:BI112,$BX101,BN101:BN112)))</f>
        <v>0.98698481561822127</v>
      </c>
      <c r="CB101" s="645">
        <f t="shared" ref="CB101:CB113" si="26">CB83</f>
        <v>23</v>
      </c>
      <c r="CC101" s="645">
        <f t="shared" ref="CC101:CC111" si="27">IF(CC102-1&lt;1,CC102+11,CC102-1)</f>
        <v>10</v>
      </c>
    </row>
    <row r="102" spans="2:81" ht="15" customHeight="1">
      <c r="BI102" s="638" t="s">
        <v>321</v>
      </c>
      <c r="BJ102" s="638">
        <v>2</v>
      </c>
      <c r="BK102" s="638" t="s">
        <v>320</v>
      </c>
      <c r="BL102" s="690">
        <v>0.9</v>
      </c>
      <c r="BM102" s="690">
        <v>0.91600000000000004</v>
      </c>
      <c r="BN102" s="653">
        <f t="shared" ref="BN102:BN112" si="28">IF(BM102="","",BL102/BM102)</f>
        <v>0.98253275109170302</v>
      </c>
      <c r="BO102" s="290"/>
      <c r="BP102" s="821">
        <v>0.98</v>
      </c>
      <c r="BQ102" s="690"/>
      <c r="BR102" s="690"/>
      <c r="BS102" s="842" t="str">
        <f t="shared" ref="BS102:BS112" si="29">IF(BR102="","",BQ102/BR102)</f>
        <v/>
      </c>
      <c r="BT102" s="290"/>
      <c r="BU102" s="821">
        <v>0.98</v>
      </c>
      <c r="BX102" s="666" t="str">
        <f t="shared" ref="BX102:BX112" si="30">TEXT(CONCATENATE(CC102,"/01/20",CB102),"MMM")</f>
        <v>Nov</v>
      </c>
      <c r="BY102" s="643">
        <f>IF(CB102=$CB113,SUMIF($BI101:$BI112,$BX102,$BR101:$BR112),SUMIF($BI101:$BI112,$BX102,$BM101:$BM112))</f>
        <v>0.91600000000000004</v>
      </c>
      <c r="BZ102" s="821">
        <f t="shared" si="25"/>
        <v>0.98</v>
      </c>
      <c r="CA102" s="644">
        <f>IF(IF(CB102=CB113,SUMIF(BI101:BI112,$BX102,BS101:BS112),SUMIF(BI101:BI112,$BX102,BN101:BN112))=0,NA(),IF(CB102=CB113,SUMIF(BI101:BI112,$BX102,BS101:BS112),SUMIF(BI101:BI112,$BX102,BN101:BN112)))</f>
        <v>0.98253275109170302</v>
      </c>
      <c r="CB102" s="645">
        <f t="shared" si="26"/>
        <v>23</v>
      </c>
      <c r="CC102" s="645">
        <f t="shared" si="27"/>
        <v>11</v>
      </c>
    </row>
    <row r="103" spans="2:81" ht="15" customHeight="1">
      <c r="BI103" s="638" t="s">
        <v>322</v>
      </c>
      <c r="BJ103" s="638">
        <v>3</v>
      </c>
      <c r="BK103" s="638" t="s">
        <v>320</v>
      </c>
      <c r="BL103" s="690">
        <v>0.83099999999999996</v>
      </c>
      <c r="BM103" s="690">
        <v>0.84699999999999998</v>
      </c>
      <c r="BN103" s="653">
        <f t="shared" si="28"/>
        <v>0.98110979929161746</v>
      </c>
      <c r="BO103" s="290"/>
      <c r="BP103" s="821">
        <v>0.98</v>
      </c>
      <c r="BQ103" s="690"/>
      <c r="BR103" s="690"/>
      <c r="BS103" s="842" t="str">
        <f t="shared" si="29"/>
        <v/>
      </c>
      <c r="BT103" s="290"/>
      <c r="BU103" s="821">
        <v>0.98</v>
      </c>
      <c r="BX103" s="666" t="str">
        <f t="shared" si="30"/>
        <v>Dec</v>
      </c>
      <c r="BY103" s="643">
        <f>IF(CB103=$CB113,SUMIF($BI101:$BI112,$BX103,$BR101:$BR112),SUMIF($BI101:$BI112,$BX103,$BM101:$BM112))</f>
        <v>0.84699999999999998</v>
      </c>
      <c r="BZ103" s="821">
        <f t="shared" si="25"/>
        <v>0.98</v>
      </c>
      <c r="CA103" s="644">
        <f>IF(IF(CB103=CB113,SUMIF(BI101:BI112,$BX103,BS101:BS112),SUMIF(BI101:BI112,$BX103,BN101:BN112))=0,NA(),IF(CB103=CB113,SUMIF(BI101:BI112,$BX103,BS101:BS112),SUMIF(BI101:BI112,$BX103,BN101:BN112)))</f>
        <v>0.98110979929161746</v>
      </c>
      <c r="CB103" s="645">
        <f t="shared" si="26"/>
        <v>23</v>
      </c>
      <c r="CC103" s="645">
        <f t="shared" si="27"/>
        <v>12</v>
      </c>
    </row>
    <row r="104" spans="2:81" ht="15" customHeight="1">
      <c r="BI104" s="638" t="s">
        <v>323</v>
      </c>
      <c r="BJ104" s="638">
        <v>4</v>
      </c>
      <c r="BK104" s="638" t="s">
        <v>324</v>
      </c>
      <c r="BL104" s="690">
        <v>0.86199999999999999</v>
      </c>
      <c r="BM104" s="690">
        <v>0.879</v>
      </c>
      <c r="BN104" s="653">
        <f t="shared" si="28"/>
        <v>0.98065984072810009</v>
      </c>
      <c r="BO104" s="833">
        <f>IF(SUM(BM104:BM106=0),0,SUM(BL104:BL106)/SUM(BM104:BM106))</f>
        <v>0.98316366483946749</v>
      </c>
      <c r="BP104" s="821">
        <v>0.98</v>
      </c>
      <c r="BQ104" s="690"/>
      <c r="BR104" s="690"/>
      <c r="BS104" s="842" t="str">
        <f t="shared" si="29"/>
        <v/>
      </c>
      <c r="BT104" s="833">
        <f>IF(SUM(BR104:BR106=0),0,SUM(BQ104:BQ106)/SUM(BR104:BR106))</f>
        <v>0</v>
      </c>
      <c r="BU104" s="821">
        <v>0.98</v>
      </c>
      <c r="BX104" s="666" t="str">
        <f t="shared" si="30"/>
        <v>Jan</v>
      </c>
      <c r="BY104" s="643">
        <f>IF(CB104=$CB113,SUMIF($BI101:$BI112,$BX104,$BR101:$BR112),SUMIF($BI101:$BI112,$BX104,$BM101:$BM112))</f>
        <v>0.879</v>
      </c>
      <c r="BZ104" s="821">
        <f t="shared" si="25"/>
        <v>0.98</v>
      </c>
      <c r="CA104" s="644">
        <f>IF(IF(CB104=CB113,SUMIF(BI101:BI112,$BX104,BS101:BS112),SUMIF(BI101:BI112,$BX104,BN101:BN112))=0,NA(),IF(CB104=CB113,SUMIF(BI101:BI112,$BX104,BS101:BS112),SUMIF(BI101:BI112,$BX104,BN101:BN112)))</f>
        <v>0.98065984072810009</v>
      </c>
      <c r="CB104" s="645">
        <f t="shared" si="26"/>
        <v>23</v>
      </c>
      <c r="CC104" s="645">
        <f t="shared" si="27"/>
        <v>1</v>
      </c>
    </row>
    <row r="105" spans="2:81" ht="15" customHeight="1">
      <c r="BI105" s="638" t="s">
        <v>325</v>
      </c>
      <c r="BJ105" s="638">
        <v>5</v>
      </c>
      <c r="BK105" s="638" t="s">
        <v>324</v>
      </c>
      <c r="BL105" s="690">
        <v>0.77800000000000002</v>
      </c>
      <c r="BM105" s="822">
        <v>0.79300000000000004</v>
      </c>
      <c r="BN105" s="653">
        <f t="shared" si="28"/>
        <v>0.98108448928121061</v>
      </c>
      <c r="BO105" s="290"/>
      <c r="BP105" s="821">
        <v>0.98</v>
      </c>
      <c r="BQ105" s="690"/>
      <c r="BR105" s="822"/>
      <c r="BS105" s="842" t="str">
        <f t="shared" si="29"/>
        <v/>
      </c>
      <c r="BT105" s="290"/>
      <c r="BU105" s="821">
        <v>0.98</v>
      </c>
      <c r="BX105" s="666" t="str">
        <f t="shared" si="30"/>
        <v>Feb</v>
      </c>
      <c r="BY105" s="643">
        <f>IF(CB105=$CB113,SUMIF($BI101:$BI112,$BX105,$BR101:$BR112),SUMIF($BI101:$BI112,$BX105,$BM101:$BM112))</f>
        <v>0.79300000000000004</v>
      </c>
      <c r="BZ105" s="821">
        <f t="shared" si="25"/>
        <v>0.98</v>
      </c>
      <c r="CA105" s="644">
        <f>IF(IF(CB105=CB113,SUMIF(BI101:BI112,$BX105,BS101:BS112),SUMIF(BI101:BI112,$BX105,BN101:BN112))=0,NA(),IF(CB105=CB113,SUMIF(BI101:BI112,$BX105,BS101:BS112),SUMIF(BI101:BI112,$BX105,BN101:BN112)))</f>
        <v>0.98108448928121061</v>
      </c>
      <c r="CB105" s="645">
        <f t="shared" si="26"/>
        <v>23</v>
      </c>
      <c r="CC105" s="645">
        <f t="shared" si="27"/>
        <v>2</v>
      </c>
    </row>
    <row r="106" spans="2:81" ht="15" customHeight="1">
      <c r="BI106" s="638" t="s">
        <v>326</v>
      </c>
      <c r="BJ106" s="638">
        <v>6</v>
      </c>
      <c r="BK106" s="638" t="s">
        <v>324</v>
      </c>
      <c r="BL106" s="690">
        <v>0.871</v>
      </c>
      <c r="BM106" s="822">
        <v>0.88200000000000001</v>
      </c>
      <c r="BN106" s="653">
        <f t="shared" si="28"/>
        <v>0.98752834467120176</v>
      </c>
      <c r="BO106" s="290"/>
      <c r="BP106" s="821">
        <v>0.98</v>
      </c>
      <c r="BQ106" s="690"/>
      <c r="BR106" s="822"/>
      <c r="BS106" s="842" t="str">
        <f t="shared" si="29"/>
        <v/>
      </c>
      <c r="BT106" s="290"/>
      <c r="BU106" s="821">
        <v>0.98</v>
      </c>
      <c r="BX106" s="666" t="str">
        <f t="shared" si="30"/>
        <v>Mar</v>
      </c>
      <c r="BY106" s="643">
        <f>IF(CB106=$CB113,SUMIF($BI101:$BI112,$BX106,$BR101:$BR112),SUMIF($BI101:$BI112,$BX106,$BM101:$BM112))</f>
        <v>0.88200000000000001</v>
      </c>
      <c r="BZ106" s="821">
        <f t="shared" si="25"/>
        <v>0.98</v>
      </c>
      <c r="CA106" s="644">
        <f>IF(IF(CB106=CB113,SUMIF(BI101:BI112,$BX106,BS101:BS112),SUMIF(BI101:BI112,$BX106,BN101:BN112))=0,NA(),IF(CB106=CB113,SUMIF(BI101:BI112,$BX106,BS101:BS112),SUMIF(BI101:BI112,$BX106,BN101:BN112)))</f>
        <v>0.98752834467120176</v>
      </c>
      <c r="CB106" s="645">
        <f t="shared" si="26"/>
        <v>23</v>
      </c>
      <c r="CC106" s="645">
        <f t="shared" si="27"/>
        <v>3</v>
      </c>
    </row>
    <row r="107" spans="2:81" ht="15" customHeight="1">
      <c r="BI107" s="638" t="s">
        <v>327</v>
      </c>
      <c r="BJ107" s="638">
        <v>7</v>
      </c>
      <c r="BK107" s="638" t="s">
        <v>328</v>
      </c>
      <c r="BL107" s="690">
        <v>0.80500000000000005</v>
      </c>
      <c r="BM107" s="822">
        <v>0.81399999999999995</v>
      </c>
      <c r="BN107" s="653">
        <f t="shared" si="28"/>
        <v>0.98894348894348905</v>
      </c>
      <c r="BO107" s="833">
        <f>IF(SUM(BM107:BM109=0),0,SUM(BL107:BL109)/SUM(BM107:BM109))</f>
        <v>0.98478783026421124</v>
      </c>
      <c r="BP107" s="821">
        <v>0.98</v>
      </c>
      <c r="BQ107" s="690"/>
      <c r="BR107" s="822"/>
      <c r="BS107" s="842" t="str">
        <f t="shared" si="29"/>
        <v/>
      </c>
      <c r="BT107" s="833">
        <f>IF(SUM(BR107:BR109=0),0,SUM(BQ107:BQ109)/SUM(BR107:BR109))</f>
        <v>0</v>
      </c>
      <c r="BU107" s="821">
        <v>0.98</v>
      </c>
      <c r="BX107" s="666" t="str">
        <f t="shared" si="30"/>
        <v>Apr</v>
      </c>
      <c r="BY107" s="643">
        <f>IF(CB107=$CB113,SUMIF($BI101:$BI112,$BX107,$BR101:$BR112),SUMIF($BI101:$BI112,$BX107,$BM101:$BM112))</f>
        <v>0.81399999999999995</v>
      </c>
      <c r="BZ107" s="821">
        <f t="shared" si="25"/>
        <v>0.98</v>
      </c>
      <c r="CA107" s="644">
        <f>IF(IF(CB107=CB113,SUMIF(BI101:BI112,$BX107,BS101:BS112),SUMIF(BI101:BI112,$BX107,BN101:BN112))=0,NA(),IF(CB107=CB113,SUMIF(BI101:BI112,$BX107,BS101:BS112),SUMIF(BI101:BI112,$BX107,BN101:BN112)))</f>
        <v>0.98894348894348905</v>
      </c>
      <c r="CB107" s="645">
        <f t="shared" si="26"/>
        <v>23</v>
      </c>
      <c r="CC107" s="645">
        <f t="shared" si="27"/>
        <v>4</v>
      </c>
    </row>
    <row r="108" spans="2:81" ht="15" customHeight="1">
      <c r="BI108" s="638" t="s">
        <v>329</v>
      </c>
      <c r="BJ108" s="638">
        <v>8</v>
      </c>
      <c r="BK108" s="638" t="s">
        <v>328</v>
      </c>
      <c r="BL108" s="690">
        <v>0.74399999999999999</v>
      </c>
      <c r="BM108" s="822">
        <v>0.755</v>
      </c>
      <c r="BN108" s="653">
        <f t="shared" si="28"/>
        <v>0.98543046357615893</v>
      </c>
      <c r="BO108" s="290"/>
      <c r="BP108" s="821">
        <v>0.98</v>
      </c>
      <c r="BQ108" s="690"/>
      <c r="BR108" s="822"/>
      <c r="BS108" s="842" t="str">
        <f t="shared" si="29"/>
        <v/>
      </c>
      <c r="BT108" s="290"/>
      <c r="BU108" s="821">
        <v>0.98</v>
      </c>
      <c r="BX108" s="666" t="str">
        <f t="shared" si="30"/>
        <v>May</v>
      </c>
      <c r="BY108" s="643">
        <f>IF(CB108=$CB113,SUMIF($BI101:$BI112,$BX108,$BR101:$BR112),SUMIF($BI101:$BI112,$BX108,$BM101:$BM112))</f>
        <v>0.755</v>
      </c>
      <c r="BZ108" s="821">
        <f t="shared" si="25"/>
        <v>0.98</v>
      </c>
      <c r="CA108" s="644">
        <f>IF(IF(CB108=CB113,SUMIF(BI101:BI112,$BX108,BS101:BS112),SUMIF(BI101:BI112,$BX108,BN101:BN112))=0,NA(),IF(CB108=CB113,SUMIF(BI101:BI112,$BX108,BS101:BS112),SUMIF(BI101:BI112,$BX108,BN101:BN112)))</f>
        <v>0.98543046357615893</v>
      </c>
      <c r="CB108" s="645">
        <f t="shared" si="26"/>
        <v>23</v>
      </c>
      <c r="CC108" s="645">
        <f t="shared" si="27"/>
        <v>5</v>
      </c>
    </row>
    <row r="109" spans="2:81" ht="15" customHeight="1">
      <c r="B109" s="267" t="s">
        <v>242</v>
      </c>
      <c r="C109" s="267"/>
      <c r="D109" s="267"/>
      <c r="E109" s="334"/>
      <c r="F109" s="326"/>
      <c r="G109" s="326"/>
      <c r="H109" s="326"/>
      <c r="I109" s="326"/>
      <c r="J109" s="326"/>
      <c r="K109" s="326"/>
      <c r="L109" s="326"/>
      <c r="M109" s="326"/>
      <c r="N109" s="326"/>
      <c r="O109" s="326"/>
      <c r="P109" s="326"/>
      <c r="Q109" s="326"/>
      <c r="R109" s="326"/>
      <c r="S109" s="326"/>
      <c r="T109" s="326"/>
      <c r="U109" s="326"/>
      <c r="V109" s="326"/>
      <c r="W109" s="326"/>
      <c r="X109" s="326"/>
      <c r="Y109" s="326"/>
      <c r="Z109" s="326"/>
      <c r="AA109" s="326"/>
      <c r="AB109" s="326"/>
      <c r="BI109" s="638" t="s">
        <v>331</v>
      </c>
      <c r="BJ109" s="638">
        <v>9</v>
      </c>
      <c r="BK109" s="638" t="s">
        <v>328</v>
      </c>
      <c r="BL109" s="690">
        <v>0.91100000000000003</v>
      </c>
      <c r="BM109" s="822">
        <v>0.92900000000000005</v>
      </c>
      <c r="BN109" s="653">
        <f t="shared" si="28"/>
        <v>0.9806243272335845</v>
      </c>
      <c r="BO109" s="290"/>
      <c r="BP109" s="821">
        <v>0.98</v>
      </c>
      <c r="BQ109" s="690"/>
      <c r="BR109" s="822"/>
      <c r="BS109" s="842" t="str">
        <f t="shared" si="29"/>
        <v/>
      </c>
      <c r="BT109" s="290"/>
      <c r="BU109" s="821">
        <v>0.98</v>
      </c>
      <c r="BX109" s="666" t="str">
        <f t="shared" si="30"/>
        <v>Jun</v>
      </c>
      <c r="BY109" s="643">
        <f>IF(CB109=$CB113,SUMIF($BI101:$BI112,$BX109,$BR101:$BR112),SUMIF($BI101:$BI112,$BX109,$BM101:$BM112))</f>
        <v>0.92900000000000005</v>
      </c>
      <c r="BZ109" s="821">
        <f t="shared" si="25"/>
        <v>0.98</v>
      </c>
      <c r="CA109" s="644">
        <f>IF(IF(CB109=CB113,SUMIF(BI101:BI112,$BX109,BS101:BS112),SUMIF(BI101:BI112,$BX109,BN101:BN112))=0,NA(),IF(CB109=CB113,SUMIF(BI101:BI112,$BX109,BS101:BS112),SUMIF(BI101:BI112,$BX109,BN101:BN112)))</f>
        <v>0.9806243272335845</v>
      </c>
      <c r="CB109" s="645">
        <f t="shared" si="26"/>
        <v>23</v>
      </c>
      <c r="CC109" s="645">
        <f t="shared" si="27"/>
        <v>6</v>
      </c>
    </row>
    <row r="110" spans="2:81" ht="15" customHeight="1">
      <c r="B110" s="1137" t="s">
        <v>755</v>
      </c>
      <c r="C110" s="1138"/>
      <c r="D110" s="1138"/>
      <c r="E110" s="1138"/>
      <c r="F110" s="1138"/>
      <c r="G110" s="1138"/>
      <c r="H110" s="1138"/>
      <c r="I110" s="1138"/>
      <c r="J110" s="1138"/>
      <c r="K110" s="1138"/>
      <c r="L110" s="1138"/>
      <c r="M110" s="1138"/>
      <c r="N110" s="1138"/>
      <c r="O110" s="1138"/>
      <c r="P110" s="1138"/>
      <c r="Q110" s="1138"/>
      <c r="R110" s="1138"/>
      <c r="S110" s="1138"/>
      <c r="T110" s="1138"/>
      <c r="U110" s="1138"/>
      <c r="V110" s="1138"/>
      <c r="W110" s="1138"/>
      <c r="X110" s="1138"/>
      <c r="Y110" s="1138"/>
      <c r="Z110" s="1138"/>
      <c r="AA110" s="1138"/>
      <c r="AB110" s="1139"/>
      <c r="BI110" s="638" t="s">
        <v>337</v>
      </c>
      <c r="BJ110" s="638">
        <v>10</v>
      </c>
      <c r="BK110" s="638" t="s">
        <v>338</v>
      </c>
      <c r="BL110" s="690">
        <v>0.77500000000000002</v>
      </c>
      <c r="BM110" s="822">
        <v>0.78900000000000003</v>
      </c>
      <c r="BN110" s="653">
        <f t="shared" si="28"/>
        <v>0.98225602027883396</v>
      </c>
      <c r="BO110" s="833">
        <f>IF(SUM(BM110:BM112=0),0,SUM(BL110:BL112)/SUM(BM110:BM112))</f>
        <v>0.99236027342179323</v>
      </c>
      <c r="BP110" s="821">
        <v>0.98</v>
      </c>
      <c r="BQ110" s="690"/>
      <c r="BR110" s="822"/>
      <c r="BS110" s="842" t="str">
        <f t="shared" si="29"/>
        <v/>
      </c>
      <c r="BT110" s="833">
        <f>IF(SUM(BR110:BR112=0),0,SUM(BQ110:BQ112)/SUM(BR110:BR112))</f>
        <v>0</v>
      </c>
      <c r="BU110" s="821">
        <v>0.98</v>
      </c>
      <c r="BX110" s="666" t="str">
        <f t="shared" si="30"/>
        <v>Jul</v>
      </c>
      <c r="BY110" s="643">
        <f>IF(CB110=$CB113,SUMIF($BI101:$BI112,$BX110,$BR101:$BR112),SUMIF($BI101:$BI112,$BX110,$BM101:$BM112))</f>
        <v>0.78900000000000003</v>
      </c>
      <c r="BZ110" s="821">
        <f t="shared" si="25"/>
        <v>0.98</v>
      </c>
      <c r="CA110" s="644">
        <f>IF(IF(CB110=CB113,SUMIF(BI101:BI112,$BX110,BS101:BS112),SUMIF(BI101:BI112,$BX110,BN101:BN112))=0,NA(),IF(CB110=CB113,SUMIF(BI101:BI112,$BX110,BS101:BS112),SUMIF(BI101:BI112,$BX110,BN101:BN112)))</f>
        <v>0.98225602027883396</v>
      </c>
      <c r="CB110" s="645">
        <f t="shared" si="26"/>
        <v>23</v>
      </c>
      <c r="CC110" s="645">
        <f t="shared" si="27"/>
        <v>7</v>
      </c>
    </row>
    <row r="111" spans="2:81" ht="15" customHeight="1">
      <c r="B111" s="1140"/>
      <c r="C111" s="1141"/>
      <c r="D111" s="1141"/>
      <c r="E111" s="1141"/>
      <c r="F111" s="1141"/>
      <c r="G111" s="1141"/>
      <c r="H111" s="1141"/>
      <c r="I111" s="1141"/>
      <c r="J111" s="1141"/>
      <c r="K111" s="1141"/>
      <c r="L111" s="1141"/>
      <c r="M111" s="1141"/>
      <c r="N111" s="1141"/>
      <c r="O111" s="1141"/>
      <c r="P111" s="1141"/>
      <c r="Q111" s="1141"/>
      <c r="R111" s="1141"/>
      <c r="S111" s="1141"/>
      <c r="T111" s="1141"/>
      <c r="U111" s="1141"/>
      <c r="V111" s="1141"/>
      <c r="W111" s="1141"/>
      <c r="X111" s="1141"/>
      <c r="Y111" s="1141"/>
      <c r="Z111" s="1141"/>
      <c r="AA111" s="1141"/>
      <c r="AB111" s="1142"/>
      <c r="BI111" s="638" t="s">
        <v>343</v>
      </c>
      <c r="BJ111" s="638">
        <v>11</v>
      </c>
      <c r="BK111" s="638" t="s">
        <v>338</v>
      </c>
      <c r="BL111" s="690">
        <v>0.80100000000000005</v>
      </c>
      <c r="BM111" s="822">
        <v>0.80400000000000005</v>
      </c>
      <c r="BN111" s="653">
        <f t="shared" si="28"/>
        <v>0.99626865671641796</v>
      </c>
      <c r="BO111" s="290"/>
      <c r="BP111" s="821">
        <v>0.98</v>
      </c>
      <c r="BQ111" s="690"/>
      <c r="BR111" s="822"/>
      <c r="BS111" s="842" t="str">
        <f t="shared" si="29"/>
        <v/>
      </c>
      <c r="BT111" s="290"/>
      <c r="BU111" s="821">
        <v>0.98</v>
      </c>
      <c r="BX111" s="666" t="str">
        <f t="shared" si="30"/>
        <v>Aug</v>
      </c>
      <c r="BY111" s="643">
        <f>IF(CB111=$CB113,SUMIF($BI101:$BI112,$BX111,$BR101:$BR112),SUMIF($BI101:$BI112,$BX111,$BM101:$BM112))</f>
        <v>0.80400000000000005</v>
      </c>
      <c r="BZ111" s="821">
        <f t="shared" si="25"/>
        <v>0.98</v>
      </c>
      <c r="CA111" s="644">
        <f>IF(IF(CB111=CB113,SUMIF(BI101:BI112,$BX111,BS101:BS112),SUMIF(BI101:BI112,$BX111,BN101:BN112))=0,NA(),IF(CB111=CB113,SUMIF(BI101:BI112,$BX111,BS101:BS112),SUMIF(BI101:BI112,$BX111,BN101:BN112)))</f>
        <v>0.99626865671641796</v>
      </c>
      <c r="CB111" s="645">
        <f t="shared" si="26"/>
        <v>23</v>
      </c>
      <c r="CC111" s="645">
        <f t="shared" si="27"/>
        <v>8</v>
      </c>
    </row>
    <row r="112" spans="2:81" ht="15" customHeight="1">
      <c r="B112" s="1140"/>
      <c r="C112" s="1141"/>
      <c r="D112" s="1141"/>
      <c r="E112" s="1141"/>
      <c r="F112" s="1141"/>
      <c r="G112" s="1141"/>
      <c r="H112" s="1141"/>
      <c r="I112" s="1141"/>
      <c r="J112" s="1141"/>
      <c r="K112" s="1141"/>
      <c r="L112" s="1141"/>
      <c r="M112" s="1141"/>
      <c r="N112" s="1141"/>
      <c r="O112" s="1141"/>
      <c r="P112" s="1141"/>
      <c r="Q112" s="1141"/>
      <c r="R112" s="1141"/>
      <c r="S112" s="1141"/>
      <c r="T112" s="1141"/>
      <c r="U112" s="1141"/>
      <c r="V112" s="1141"/>
      <c r="W112" s="1141"/>
      <c r="X112" s="1141"/>
      <c r="Y112" s="1141"/>
      <c r="Z112" s="1141"/>
      <c r="AA112" s="1141"/>
      <c r="AB112" s="1142"/>
      <c r="BI112" s="638" t="s">
        <v>344</v>
      </c>
      <c r="BJ112" s="638">
        <v>12</v>
      </c>
      <c r="BK112" s="638" t="s">
        <v>338</v>
      </c>
      <c r="BL112" s="690">
        <v>0.89200000000000002</v>
      </c>
      <c r="BM112" s="822">
        <v>0.89400000000000002</v>
      </c>
      <c r="BN112" s="653">
        <f t="shared" si="28"/>
        <v>0.99776286353467558</v>
      </c>
      <c r="BO112" s="290"/>
      <c r="BP112" s="821">
        <v>0.98</v>
      </c>
      <c r="BQ112" s="690"/>
      <c r="BR112" s="822"/>
      <c r="BS112" s="842" t="str">
        <f t="shared" si="29"/>
        <v/>
      </c>
      <c r="BT112" s="290"/>
      <c r="BU112" s="821">
        <v>0.98</v>
      </c>
      <c r="BX112" s="666" t="str">
        <f t="shared" si="30"/>
        <v>Sep</v>
      </c>
      <c r="BY112" s="643">
        <f>IF(CB112=$CB113,SUMIF($BI101:$BI112,$BX112,$BR101:$BR112),SUMIF($BI101:$BI112,$BX112,$BM101:$BM112))</f>
        <v>0.89400000000000002</v>
      </c>
      <c r="BZ112" s="821">
        <f t="shared" si="25"/>
        <v>0.98</v>
      </c>
      <c r="CA112" s="644">
        <f>IF(IF(CB112=CB113,SUMIF(BI101:BI112,$BX112,BS101:BS112),SUMIF(BI101:BI112,$BX112,BN101:BN112))=0,NA(),IF(CB112=CB113,SUMIF(BI101:BI112,$BX112,BS101:BS112),SUMIF(BI101:BI112,$BX112,BN101:BN112)))</f>
        <v>0.99776286353467558</v>
      </c>
      <c r="CB112" s="645">
        <f t="shared" si="26"/>
        <v>23</v>
      </c>
      <c r="CC112" s="645">
        <f>IF(CC113-1&lt;1,CC113+11,CC113-1)</f>
        <v>9</v>
      </c>
    </row>
    <row r="113" spans="2:81" ht="15" customHeight="1">
      <c r="B113" s="1143"/>
      <c r="C113" s="1144"/>
      <c r="D113" s="1144"/>
      <c r="E113" s="1144"/>
      <c r="F113" s="1144"/>
      <c r="G113" s="1144"/>
      <c r="H113" s="1144"/>
      <c r="I113" s="1144"/>
      <c r="J113" s="1144"/>
      <c r="K113" s="1144"/>
      <c r="L113" s="1144"/>
      <c r="M113" s="1144"/>
      <c r="N113" s="1144"/>
      <c r="O113" s="1144"/>
      <c r="P113" s="1144"/>
      <c r="Q113" s="1144"/>
      <c r="R113" s="1144"/>
      <c r="S113" s="1144"/>
      <c r="T113" s="1144"/>
      <c r="U113" s="1144"/>
      <c r="V113" s="1144"/>
      <c r="W113" s="1144"/>
      <c r="X113" s="1144"/>
      <c r="Y113" s="1144"/>
      <c r="Z113" s="1144"/>
      <c r="AA113" s="1144"/>
      <c r="AB113" s="1145"/>
      <c r="BJ113" s="277"/>
      <c r="BK113" s="277"/>
      <c r="BL113" s="277"/>
      <c r="BM113" s="277"/>
      <c r="BN113" s="277"/>
      <c r="BO113" s="277"/>
      <c r="BP113" s="277"/>
      <c r="BQ113" s="277"/>
      <c r="BR113" s="277"/>
      <c r="BS113" s="277"/>
      <c r="BT113" s="277"/>
      <c r="BW113" s="667" t="str">
        <f>Cover!$M$34</f>
        <v>OCT FY-24</v>
      </c>
      <c r="BX113" s="666" t="str">
        <f>TEXT(CONCATENATE(CC113,"/01/20",CB113),"MMM")</f>
        <v>Oct</v>
      </c>
      <c r="BY113" s="643">
        <f>SUMIF($BI101:$BI112,$BX113,$BR101:$BR112)</f>
        <v>1.0189999999999999</v>
      </c>
      <c r="BZ113" s="821">
        <f t="shared" si="25"/>
        <v>0.98</v>
      </c>
      <c r="CA113" s="644">
        <f>IF(SUMIF($BI101:$BI112,$BX113,$BS101:$BS112)=0,NA(),SUMIF($BI101:$BI112,$BX113,$BS101:$BS112))</f>
        <v>0.98429833169774283</v>
      </c>
      <c r="CB113" s="645">
        <f t="shared" si="26"/>
        <v>24</v>
      </c>
      <c r="CC113" s="645">
        <f>MONTH(DATEVALUE(LEFT(BW113,3)&amp;" 1"))</f>
        <v>10</v>
      </c>
    </row>
  </sheetData>
  <mergeCells count="117">
    <mergeCell ref="N42:P42"/>
    <mergeCell ref="K42:M42"/>
    <mergeCell ref="B42:J42"/>
    <mergeCell ref="AC42:BE42"/>
    <mergeCell ref="Z42:AB42"/>
    <mergeCell ref="W42:Y42"/>
    <mergeCell ref="T42:V42"/>
    <mergeCell ref="Q42:S42"/>
    <mergeCell ref="BW24:CC24"/>
    <mergeCell ref="Z41:AB41"/>
    <mergeCell ref="AN24:AQ24"/>
    <mergeCell ref="W39:Y39"/>
    <mergeCell ref="Z39:AB39"/>
    <mergeCell ref="W38:Y38"/>
    <mergeCell ref="Z38:AB38"/>
    <mergeCell ref="Z40:AB40"/>
    <mergeCell ref="T40:V40"/>
    <mergeCell ref="W40:Y40"/>
    <mergeCell ref="AC40:BE40"/>
    <mergeCell ref="AC41:BE41"/>
    <mergeCell ref="Q39:S39"/>
    <mergeCell ref="T39:V39"/>
    <mergeCell ref="W36:Y37"/>
    <mergeCell ref="Z36:AB37"/>
    <mergeCell ref="BW43:CC43"/>
    <mergeCell ref="BW62:CC62"/>
    <mergeCell ref="BL24:BP24"/>
    <mergeCell ref="BL43:BP43"/>
    <mergeCell ref="BQ43:BU43"/>
    <mergeCell ref="BL62:BP62"/>
    <mergeCell ref="BQ62:BU62"/>
    <mergeCell ref="BQ24:BU24"/>
    <mergeCell ref="BJ40:BU40"/>
    <mergeCell ref="BJ59:BU59"/>
    <mergeCell ref="BJ41:BU41"/>
    <mergeCell ref="BJ42:BU42"/>
    <mergeCell ref="I16:L16"/>
    <mergeCell ref="N16:Q16"/>
    <mergeCell ref="K36:M37"/>
    <mergeCell ref="B41:J41"/>
    <mergeCell ref="K41:M41"/>
    <mergeCell ref="N41:P41"/>
    <mergeCell ref="N40:P40"/>
    <mergeCell ref="Q40:S40"/>
    <mergeCell ref="N36:P37"/>
    <mergeCell ref="B39:J39"/>
    <mergeCell ref="Q35:S37"/>
    <mergeCell ref="N38:P38"/>
    <mergeCell ref="K39:M39"/>
    <mergeCell ref="K35:P35"/>
    <mergeCell ref="N39:P39"/>
    <mergeCell ref="B35:J37"/>
    <mergeCell ref="Q41:S41"/>
    <mergeCell ref="B40:J40"/>
    <mergeCell ref="S16:V16"/>
    <mergeCell ref="K40:M40"/>
    <mergeCell ref="T41:V41"/>
    <mergeCell ref="T35:AB35"/>
    <mergeCell ref="K38:M38"/>
    <mergeCell ref="T38:V38"/>
    <mergeCell ref="AC39:BE39"/>
    <mergeCell ref="W41:Y41"/>
    <mergeCell ref="BJ22:BU22"/>
    <mergeCell ref="BB22:BE22"/>
    <mergeCell ref="BJ23:BU23"/>
    <mergeCell ref="AN17:AQ17"/>
    <mergeCell ref="AU17:AX17"/>
    <mergeCell ref="AU18:AX18"/>
    <mergeCell ref="BB24:BE24"/>
    <mergeCell ref="T36:V37"/>
    <mergeCell ref="AN22:AQ22"/>
    <mergeCell ref="B38:J38"/>
    <mergeCell ref="Q38:S38"/>
    <mergeCell ref="AC38:BE38"/>
    <mergeCell ref="AU22:AX22"/>
    <mergeCell ref="B29:AB32"/>
    <mergeCell ref="AE29:BE32"/>
    <mergeCell ref="AN23:AQ23"/>
    <mergeCell ref="AU23:AX23"/>
    <mergeCell ref="BB23:BE23"/>
    <mergeCell ref="AC35:BE37"/>
    <mergeCell ref="AU24:AX24"/>
    <mergeCell ref="B110:AB113"/>
    <mergeCell ref="B87:AB90"/>
    <mergeCell ref="AE87:BE90"/>
    <mergeCell ref="BI1:BU1"/>
    <mergeCell ref="X15:AB15"/>
    <mergeCell ref="AS15:AX15"/>
    <mergeCell ref="AP15:AQ15"/>
    <mergeCell ref="B2:BE4"/>
    <mergeCell ref="B8:AB11"/>
    <mergeCell ref="B5:AR5"/>
    <mergeCell ref="AE8:BE11"/>
    <mergeCell ref="AE15:AJ15"/>
    <mergeCell ref="AL15:AO15"/>
    <mergeCell ref="I15:V15"/>
    <mergeCell ref="B15:G15"/>
    <mergeCell ref="V14:W14"/>
    <mergeCell ref="AZ15:BE15"/>
    <mergeCell ref="BJ21:BU21"/>
    <mergeCell ref="AU19:AX19"/>
    <mergeCell ref="AN19:AQ19"/>
    <mergeCell ref="BB19:BE19"/>
    <mergeCell ref="BB17:BE17"/>
    <mergeCell ref="BB18:BE18"/>
    <mergeCell ref="AN18:AQ18"/>
    <mergeCell ref="B64:AB67"/>
    <mergeCell ref="BW81:CC81"/>
    <mergeCell ref="BQ81:BU81"/>
    <mergeCell ref="BL81:BP81"/>
    <mergeCell ref="AE64:BE67"/>
    <mergeCell ref="BJ96:BU96"/>
    <mergeCell ref="BJ97:BU97"/>
    <mergeCell ref="BJ98:BU98"/>
    <mergeCell ref="BL99:BP99"/>
    <mergeCell ref="BQ99:BU99"/>
    <mergeCell ref="BW99:CC99"/>
  </mergeCells>
  <conditionalFormatting sqref="A8:A11 A15:A19 A26:A29 A7:BH7 A12:BH14 H20:H24 J24:L24 U24:W24 AC15:AD15 AC17:AD19 AC16:AG16 AC20:AH20 AI16:BH16 AJ17 BF8:BH11 BF15:BH15 BF17:BH29">
    <cfRule type="cellIs" dxfId="2216" priority="2024" operator="equal">
      <formula>"XXX"</formula>
    </cfRule>
  </conditionalFormatting>
  <conditionalFormatting sqref="A38">
    <cfRule type="cellIs" dxfId="2215" priority="1737" operator="equal">
      <formula>"XXX"</formula>
    </cfRule>
  </conditionalFormatting>
  <conditionalFormatting sqref="B2">
    <cfRule type="cellIs" dxfId="2214" priority="785" operator="equal">
      <formula>"XXX"</formula>
    </cfRule>
  </conditionalFormatting>
  <conditionalFormatting sqref="B8">
    <cfRule type="cellIs" dxfId="2213" priority="546" operator="equal">
      <formula>"XXX"</formula>
    </cfRule>
  </conditionalFormatting>
  <conditionalFormatting sqref="B41:B42">
    <cfRule type="cellIs" dxfId="2212" priority="128" operator="equal">
      <formula>"XXX"</formula>
    </cfRule>
  </conditionalFormatting>
  <conditionalFormatting sqref="B63:D63 F63:AB63">
    <cfRule type="cellIs" dxfId="2211" priority="2013" operator="equal">
      <formula>"XXX"</formula>
    </cfRule>
  </conditionalFormatting>
  <conditionalFormatting sqref="B86:D86 F86:AB86">
    <cfRule type="cellIs" dxfId="2210" priority="2008" operator="equal">
      <formula>"XXX"</formula>
    </cfRule>
  </conditionalFormatting>
  <conditionalFormatting sqref="B109:D109 F109:AB109">
    <cfRule type="cellIs" dxfId="2209" priority="232" operator="equal">
      <formula>"XXX"</formula>
    </cfRule>
  </conditionalFormatting>
  <conditionalFormatting sqref="B39:J40">
    <cfRule type="cellIs" dxfId="2208" priority="127" operator="equal">
      <formula>"XXX"</formula>
    </cfRule>
  </conditionalFormatting>
  <conditionalFormatting sqref="F22:G22">
    <cfRule type="cellIs" dxfId="2207" priority="1035" operator="equal">
      <formula>"XXX"</formula>
    </cfRule>
  </conditionalFormatting>
  <conditionalFormatting sqref="F24:G24">
    <cfRule type="cellIs" dxfId="2206" priority="1032" operator="equal">
      <formula>"XXX"</formula>
    </cfRule>
  </conditionalFormatting>
  <conditionalFormatting sqref="F28:AG28 AI28:BE28 AK22:AM24 AR22:AT24 AY22:BA24">
    <cfRule type="cellIs" dxfId="2205" priority="2023" operator="equal">
      <formula>"XXX"</formula>
    </cfRule>
  </conditionalFormatting>
  <conditionalFormatting sqref="G22:G25">
    <cfRule type="cellIs" dxfId="2204" priority="1024" operator="notEqual">
      <formula>0</formula>
    </cfRule>
  </conditionalFormatting>
  <conditionalFormatting sqref="G23">
    <cfRule type="cellIs" dxfId="2203" priority="1030" operator="equal">
      <formula>"XXX"</formula>
    </cfRule>
  </conditionalFormatting>
  <conditionalFormatting sqref="G25">
    <cfRule type="cellIs" dxfId="2202" priority="1025" operator="equal">
      <formula>"XXX"</formula>
    </cfRule>
  </conditionalFormatting>
  <conditionalFormatting sqref="G26">
    <cfRule type="expression" dxfId="2201" priority="1026">
      <formula>$G$25=0</formula>
    </cfRule>
    <cfRule type="cellIs" dxfId="2200" priority="1027" operator="notEqual">
      <formula>0</formula>
    </cfRule>
    <cfRule type="cellIs" dxfId="2199" priority="1028" operator="equal">
      <formula>"XXX"</formula>
    </cfRule>
  </conditionalFormatting>
  <conditionalFormatting sqref="I24">
    <cfRule type="cellIs" dxfId="2198" priority="1542" operator="equal">
      <formula>"XXX"</formula>
    </cfRule>
  </conditionalFormatting>
  <conditionalFormatting sqref="I24:I26">
    <cfRule type="cellIs" dxfId="2197" priority="1021" operator="equal">
      <formula>$A$1</formula>
    </cfRule>
  </conditionalFormatting>
  <conditionalFormatting sqref="I26">
    <cfRule type="cellIs" dxfId="2196" priority="1023" operator="equal">
      <formula>"XXX"</formula>
    </cfRule>
  </conditionalFormatting>
  <conditionalFormatting sqref="I23:J23">
    <cfRule type="cellIs" dxfId="2195" priority="1526" operator="equal">
      <formula>$A$1</formula>
    </cfRule>
  </conditionalFormatting>
  <conditionalFormatting sqref="K38 N38 T38 W38 Z38">
    <cfRule type="cellIs" dxfId="2194" priority="1059" operator="equal">
      <formula>"XXX"</formula>
    </cfRule>
  </conditionalFormatting>
  <conditionalFormatting sqref="K38:K39 N38:N39 T38:T39 W38:W39 Z38:Z39">
    <cfRule type="cellIs" dxfId="2193" priority="1060" stopIfTrue="1" operator="greaterThan">
      <formula>$Q38*1.1</formula>
    </cfRule>
    <cfRule type="cellIs" dxfId="2192" priority="1061" operator="greaterThan">
      <formula>$Q38</formula>
    </cfRule>
    <cfRule type="cellIs" dxfId="2191" priority="1062" operator="lessThanOrEqual">
      <formula>$Q38</formula>
    </cfRule>
  </conditionalFormatting>
  <conditionalFormatting sqref="K39 N39 T39 W39 Z39">
    <cfRule type="cellIs" dxfId="2190" priority="121" operator="equal">
      <formula>"XXX"</formula>
    </cfRule>
  </conditionalFormatting>
  <conditionalFormatting sqref="K40 N40 T40 W40 Z40">
    <cfRule type="cellIs" dxfId="2189" priority="1763" stopIfTrue="1" operator="greaterThan">
      <formula>$Q40*1.1</formula>
    </cfRule>
    <cfRule type="cellIs" dxfId="2188" priority="1764" operator="greaterThan">
      <formula>$Q40</formula>
    </cfRule>
    <cfRule type="cellIs" dxfId="2187" priority="1765" operator="lessThanOrEqual">
      <formula>$Q40</formula>
    </cfRule>
  </conditionalFormatting>
  <conditionalFormatting sqref="K40:K41 N40:N41 T40:T41 W40:W41 Z40:Z41">
    <cfRule type="cellIs" dxfId="2186" priority="1605" operator="equal">
      <formula>"XXX"</formula>
    </cfRule>
  </conditionalFormatting>
  <conditionalFormatting sqref="K41 N41 T41 W41 Z41">
    <cfRule type="expression" dxfId="2185" priority="1579">
      <formula>$Q$41=0</formula>
    </cfRule>
    <cfRule type="cellIs" dxfId="2184" priority="1606" stopIfTrue="1" operator="greaterThan">
      <formula>$Q41*0.9</formula>
    </cfRule>
    <cfRule type="cellIs" dxfId="2183" priority="1607" operator="lessThan">
      <formula>$Q41</formula>
    </cfRule>
    <cfRule type="cellIs" dxfId="2182" priority="1608" operator="lessThanOrEqual">
      <formula>$Q41</formula>
    </cfRule>
  </conditionalFormatting>
  <conditionalFormatting sqref="K42 N42 T42 W42 Z42">
    <cfRule type="cellIs" dxfId="2181" priority="234" operator="equal">
      <formula>"XXX"</formula>
    </cfRule>
    <cfRule type="cellIs" dxfId="2180" priority="235" stopIfTrue="1" operator="lessThan">
      <formula>$Q42*0.9</formula>
    </cfRule>
    <cfRule type="cellIs" dxfId="2179" priority="236" operator="lessThan">
      <formula>$Q42</formula>
    </cfRule>
    <cfRule type="cellIs" dxfId="2178" priority="243" operator="greaterThanOrEqual">
      <formula>$Q42</formula>
    </cfRule>
  </conditionalFormatting>
  <conditionalFormatting sqref="K35:AB37">
    <cfRule type="cellIs" dxfId="2177" priority="796" operator="equal">
      <formula>"XXX"</formula>
    </cfRule>
  </conditionalFormatting>
  <conditionalFormatting sqref="X24:AB24">
    <cfRule type="cellIs" dxfId="2176" priority="822" operator="equal">
      <formula>"XXX"</formula>
    </cfRule>
  </conditionalFormatting>
  <conditionalFormatting sqref="Y16:Y23">
    <cfRule type="cellIs" dxfId="2175" priority="818" operator="equal">
      <formula>"XXX"</formula>
    </cfRule>
  </conditionalFormatting>
  <conditionalFormatting sqref="Z16:Z21">
    <cfRule type="cellIs" dxfId="2174" priority="821" operator="equal">
      <formula>"XXX"</formula>
    </cfRule>
  </conditionalFormatting>
  <conditionalFormatting sqref="AC67 AC64:AD66">
    <cfRule type="cellIs" dxfId="2173" priority="319" operator="equal">
      <formula>"XXX"</formula>
    </cfRule>
  </conditionalFormatting>
  <conditionalFormatting sqref="AC87:AC90">
    <cfRule type="cellIs" dxfId="2172" priority="316" operator="equal">
      <formula>"XXX"</formula>
    </cfRule>
  </conditionalFormatting>
  <conditionalFormatting sqref="AC8:AD11">
    <cfRule type="cellIs" dxfId="2171" priority="586" operator="equal">
      <formula>"XXX"</formula>
    </cfRule>
  </conditionalFormatting>
  <conditionalFormatting sqref="AC29:AD32">
    <cfRule type="cellIs" dxfId="2170" priority="417" operator="equal">
      <formula>"XXX"</formula>
    </cfRule>
  </conditionalFormatting>
  <conditionalFormatting sqref="AE63:AG63 AI63:BE63">
    <cfRule type="cellIs" dxfId="2169" priority="2011" operator="equal">
      <formula>"XXX"</formula>
    </cfRule>
  </conditionalFormatting>
  <conditionalFormatting sqref="AE71:BE86 AE91:BE91">
    <cfRule type="cellIs" dxfId="2168" priority="1735" operator="equal">
      <formula>"XXX"</formula>
    </cfRule>
  </conditionalFormatting>
  <conditionalFormatting sqref="AI22:AJ22">
    <cfRule type="cellIs" dxfId="2167" priority="2015" operator="equal">
      <formula>"XXX"</formula>
    </cfRule>
  </conditionalFormatting>
  <conditionalFormatting sqref="AU17:AX18 AU22:AX23">
    <cfRule type="cellIs" dxfId="2166" priority="1947" operator="lessThan">
      <formula>0</formula>
    </cfRule>
  </conditionalFormatting>
  <conditionalFormatting sqref="BB23 BB17:BE18 BB22:BE22">
    <cfRule type="cellIs" dxfId="2165" priority="2014" operator="lessThan">
      <formula>0</formula>
    </cfRule>
  </conditionalFormatting>
  <conditionalFormatting sqref="BH35:BH37">
    <cfRule type="cellIs" dxfId="2164" priority="1705" operator="equal">
      <formula>"XXX"</formula>
    </cfRule>
  </conditionalFormatting>
  <conditionalFormatting sqref="BH38:BH42">
    <cfRule type="cellIs" dxfId="2163" priority="1020" operator="equal">
      <formula>"XXX"</formula>
    </cfRule>
  </conditionalFormatting>
  <conditionalFormatting sqref="BJ16:BV16">
    <cfRule type="expression" dxfId="2162" priority="269">
      <formula>(AND(BJ$5=$BX$5,LEN(BJ$16)=0))</formula>
    </cfRule>
  </conditionalFormatting>
  <conditionalFormatting sqref="BQ26:BQ37 BQ45:BQ56 BQ83:BQ94 BQ101:BQ112">
    <cfRule type="expression" dxfId="2161" priority="386">
      <formula>(AND($BJ26=$BX$5,LEN($BQ26)=0))</formula>
    </cfRule>
  </conditionalFormatting>
  <conditionalFormatting sqref="BR26:BR37 BR45:BR56 BR64:BR75 BR83:BR94 BR101:BR112">
    <cfRule type="expression" dxfId="2160" priority="608">
      <formula>(AND($BJ26=$BX$5,LEN($BR26)=0))</formula>
    </cfRule>
  </conditionalFormatting>
  <conditionalFormatting sqref="AC39">
    <cfRule type="cellIs" dxfId="2159" priority="12" operator="equal">
      <formula>"XXX"</formula>
    </cfRule>
  </conditionalFormatting>
  <conditionalFormatting sqref="AC40:BE42">
    <cfRule type="cellIs" dxfId="2158" priority="11" operator="equal">
      <formula>"XXX"</formula>
    </cfRule>
  </conditionalFormatting>
  <conditionalFormatting sqref="B64">
    <cfRule type="cellIs" dxfId="2157" priority="10" operator="equal">
      <formula>"XXX"</formula>
    </cfRule>
  </conditionalFormatting>
  <conditionalFormatting sqref="AE64">
    <cfRule type="cellIs" dxfId="2156" priority="9" operator="equal">
      <formula>"XXX"</formula>
    </cfRule>
  </conditionalFormatting>
  <conditionalFormatting sqref="B87">
    <cfRule type="cellIs" dxfId="2155" priority="8" operator="equal">
      <formula>"XXX"</formula>
    </cfRule>
  </conditionalFormatting>
  <conditionalFormatting sqref="AE87">
    <cfRule type="cellIs" dxfId="2154" priority="7" operator="equal">
      <formula>"XXX"</formula>
    </cfRule>
  </conditionalFormatting>
  <conditionalFormatting sqref="B110">
    <cfRule type="cellIs" dxfId="2153" priority="6" operator="equal">
      <formula>"XXX"</formula>
    </cfRule>
  </conditionalFormatting>
  <conditionalFormatting sqref="AE29">
    <cfRule type="cellIs" dxfId="2152" priority="4" operator="equal">
      <formula>"XXX"</formula>
    </cfRule>
  </conditionalFormatting>
  <conditionalFormatting sqref="BS64:BS75">
    <cfRule type="expression" dxfId="2151" priority="1099">
      <formula>(AND($BJ64=$BX$5,LEN($BR64)=0))</formula>
    </cfRule>
  </conditionalFormatting>
  <conditionalFormatting sqref="AE8">
    <cfRule type="cellIs" dxfId="2150" priority="2" operator="equal">
      <formula>"XXX"</formula>
    </cfRule>
  </conditionalFormatting>
  <conditionalFormatting sqref="B29">
    <cfRule type="cellIs" dxfId="2149" priority="1" operator="equal">
      <formula>"XXX"</formula>
    </cfRule>
  </conditionalFormatting>
  <dataValidations count="2">
    <dataValidation type="whole" operator="greaterThanOrEqual" allowBlank="1" showInputMessage="1" showErrorMessage="1" errorTitle="Positive Value" error="This value must be entered as a positive number." sqref="BJ6:BV6 BQ14 BQ12 BJ12:BP14 BR12:BV14 BJ8:BV8 BJ10:BV10" xr:uid="{00000000-0002-0000-0F00-000003000000}">
      <formula1>0</formula1>
    </dataValidation>
    <dataValidation type="whole" operator="lessThan" allowBlank="1" showInputMessage="1" showErrorMessage="1" errorTitle="Negative Value" error="This value must be entered as a negative number." sqref="BJ7:BV7 BJ11:BV11 BJ9:BV9" xr:uid="{00000000-0002-0000-0F00-000004000000}">
      <formula1>0</formula1>
    </dataValidation>
  </dataValidations>
  <printOptions horizontalCentered="1"/>
  <pageMargins left="0.25" right="0.25" top="0.25" bottom="0.5" header="0.3" footer="0.3"/>
  <pageSetup scale="66" orientation="landscape" r:id="rId1"/>
  <headerFooter>
    <oddFooter>&amp;R&amp;F | &amp;A
Printed &amp;D @ &amp;T
&amp;P</oddFooter>
  </headerFooter>
  <rowBreaks count="2" manualBreakCount="2">
    <brk id="44" max="57" man="1"/>
    <brk id="93" max="57" man="1"/>
  </rowBreaks>
  <drawing r:id="rId2"/>
  <extLst>
    <ext xmlns:x14="http://schemas.microsoft.com/office/spreadsheetml/2009/9/main" uri="{78C0D931-6437-407d-A8EE-F0AAD7539E65}">
      <x14:conditionalFormattings>
        <x14:conditionalFormatting xmlns:xm="http://schemas.microsoft.com/office/excel/2006/main">
          <x14:cfRule type="cellIs" priority="1031" operator="equal" id="{AAB5159A-EB80-4EB3-B2CF-51D50BE8D0C2}">
            <xm:f>AR!$A$1</xm:f>
            <x14:dxf>
              <font>
                <color theme="0"/>
              </font>
            </x14:dxf>
          </x14:cfRule>
          <xm:sqref>G24</xm:sqref>
        </x14:conditionalFormatting>
        <x14:conditionalFormatting xmlns:xm="http://schemas.microsoft.com/office/excel/2006/main">
          <x14:cfRule type="cellIs" priority="2016" operator="equal" id="{73EFD577-C87A-44C9-9125-1CB8E82AA5DF}">
            <xm:f>AR!$A$1</xm:f>
            <x14:dxf>
              <font>
                <color theme="0"/>
              </font>
            </x14:dxf>
          </x14:cfRule>
          <xm:sqref>J24:J26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4">
    <tabColor rgb="FF002060"/>
  </sheetPr>
  <dimension ref="A1:CC88"/>
  <sheetViews>
    <sheetView showGridLines="0" topLeftCell="A19" zoomScale="85" zoomScaleNormal="85" zoomScaleSheetLayoutView="100" workbookViewId="0">
      <selection activeCell="AC40" sqref="AC40:BE40"/>
    </sheetView>
  </sheetViews>
  <sheetFormatPr defaultColWidth="3.28515625" defaultRowHeight="15" customHeight="1"/>
  <cols>
    <col min="1" max="1" width="3.28515625" style="6"/>
    <col min="2" max="10" width="3.28515625" style="37"/>
    <col min="11" max="12" width="3.28515625" style="37" customWidth="1"/>
    <col min="13" max="28" width="3.28515625" style="37"/>
    <col min="29" max="29" width="3.5703125" style="37" customWidth="1"/>
    <col min="30" max="30" width="3.28515625" style="37" customWidth="1"/>
    <col min="31" max="42" width="3.28515625" style="37"/>
    <col min="43" max="43" width="3.42578125" style="37" customWidth="1"/>
    <col min="44" max="57" width="3.28515625" style="37"/>
    <col min="58" max="59" width="3.28515625" style="6"/>
    <col min="60" max="60" width="4.85546875" style="6" bestFit="1" customWidth="1"/>
    <col min="61" max="61" width="17.28515625" style="270" customWidth="1"/>
    <col min="62" max="73" width="12.7109375" style="270" customWidth="1"/>
    <col min="74" max="74" width="11.7109375" style="270" bestFit="1" customWidth="1"/>
    <col min="75" max="75" width="15.7109375" style="6" bestFit="1" customWidth="1"/>
    <col min="76" max="76" width="8.5703125" style="6" bestFit="1" customWidth="1"/>
    <col min="77" max="77" width="11.28515625" style="6" bestFit="1" customWidth="1"/>
    <col min="78" max="78" width="8.5703125" style="6" bestFit="1" customWidth="1"/>
    <col min="79" max="79" width="12.28515625" style="6" bestFit="1" customWidth="1"/>
    <col min="80" max="80" width="4.7109375" style="6" bestFit="1" customWidth="1"/>
    <col min="81" max="81" width="5.28515625" style="6" bestFit="1" customWidth="1"/>
    <col min="82" max="16384" width="3.28515625" style="6"/>
  </cols>
  <sheetData>
    <row r="1" spans="2:76" ht="15" customHeight="1">
      <c r="BI1" s="1232" t="s">
        <v>379</v>
      </c>
      <c r="BJ1" s="1232"/>
      <c r="BK1" s="1232"/>
      <c r="BL1" s="1232"/>
      <c r="BM1" s="1232"/>
      <c r="BN1" s="1232"/>
      <c r="BO1" s="1232"/>
      <c r="BP1" s="1232"/>
      <c r="BQ1" s="1232"/>
      <c r="BR1" s="1232"/>
      <c r="BS1" s="1232"/>
      <c r="BT1" s="1232"/>
      <c r="BU1" s="1232"/>
    </row>
    <row r="2" spans="2:76" ht="15" customHeight="1">
      <c r="B2" s="1146" t="s">
        <v>180</v>
      </c>
      <c r="C2" s="1146"/>
      <c r="D2" s="1146"/>
      <c r="E2" s="1146"/>
      <c r="F2" s="1146"/>
      <c r="G2" s="1146"/>
      <c r="H2" s="1146"/>
      <c r="I2" s="1146"/>
      <c r="J2" s="1146"/>
      <c r="K2" s="1146"/>
      <c r="L2" s="1146"/>
      <c r="M2" s="1146"/>
      <c r="N2" s="1146"/>
      <c r="O2" s="1146"/>
      <c r="P2" s="1146"/>
      <c r="Q2" s="1146"/>
      <c r="R2" s="1146"/>
      <c r="S2" s="1146"/>
      <c r="T2" s="1146"/>
      <c r="U2" s="1146"/>
      <c r="V2" s="1146"/>
      <c r="W2" s="1146"/>
      <c r="X2" s="1146"/>
      <c r="Y2" s="1146"/>
      <c r="Z2" s="1146"/>
      <c r="AA2" s="1146"/>
      <c r="AB2" s="1146"/>
      <c r="AC2" s="1146"/>
      <c r="AD2" s="1146"/>
      <c r="AE2" s="1146"/>
      <c r="AF2" s="1146"/>
      <c r="AG2" s="1146"/>
      <c r="AH2" s="1146"/>
      <c r="AI2" s="1146"/>
      <c r="AJ2" s="1146"/>
      <c r="AK2" s="1146"/>
      <c r="AL2" s="1146"/>
      <c r="AM2" s="1146"/>
      <c r="AN2" s="1146"/>
      <c r="AO2" s="1146"/>
      <c r="AP2" s="1146"/>
      <c r="AQ2" s="1146"/>
      <c r="AR2" s="1146"/>
      <c r="AS2" s="1146"/>
      <c r="AT2" s="1146"/>
      <c r="AU2" s="1146"/>
      <c r="AV2" s="1146"/>
      <c r="AW2" s="1146"/>
      <c r="AX2" s="1146"/>
      <c r="AY2" s="1146"/>
      <c r="AZ2" s="1146"/>
      <c r="BA2" s="1146"/>
      <c r="BB2" s="1146"/>
      <c r="BC2" s="1146"/>
      <c r="BD2" s="1146"/>
      <c r="BE2" s="1146"/>
      <c r="BI2" s="271" t="s">
        <v>44</v>
      </c>
    </row>
    <row r="3" spans="2:76" ht="15" customHeight="1">
      <c r="B3" s="1146"/>
      <c r="C3" s="1146"/>
      <c r="D3" s="1146"/>
      <c r="E3" s="1146"/>
      <c r="F3" s="1146"/>
      <c r="G3" s="1146"/>
      <c r="H3" s="1146"/>
      <c r="I3" s="1146"/>
      <c r="J3" s="1146"/>
      <c r="K3" s="1146"/>
      <c r="L3" s="1146"/>
      <c r="M3" s="1146"/>
      <c r="N3" s="1146"/>
      <c r="O3" s="1146"/>
      <c r="P3" s="1146"/>
      <c r="Q3" s="1146"/>
      <c r="R3" s="1146"/>
      <c r="S3" s="1146"/>
      <c r="T3" s="1146"/>
      <c r="U3" s="1146"/>
      <c r="V3" s="1146"/>
      <c r="W3" s="1146"/>
      <c r="X3" s="1146"/>
      <c r="Y3" s="1146"/>
      <c r="Z3" s="1146"/>
      <c r="AA3" s="1146"/>
      <c r="AB3" s="1146"/>
      <c r="AC3" s="1146"/>
      <c r="AD3" s="1146"/>
      <c r="AE3" s="1146"/>
      <c r="AF3" s="1146"/>
      <c r="AG3" s="1146"/>
      <c r="AH3" s="1146"/>
      <c r="AI3" s="1146"/>
      <c r="AJ3" s="1146"/>
      <c r="AK3" s="1146"/>
      <c r="AL3" s="1146"/>
      <c r="AM3" s="1146"/>
      <c r="AN3" s="1146"/>
      <c r="AO3" s="1146"/>
      <c r="AP3" s="1146"/>
      <c r="AQ3" s="1146"/>
      <c r="AR3" s="1146"/>
      <c r="AS3" s="1146"/>
      <c r="AT3" s="1146"/>
      <c r="AU3" s="1146"/>
      <c r="AV3" s="1146"/>
      <c r="AW3" s="1146"/>
      <c r="AX3" s="1146"/>
      <c r="AY3" s="1146"/>
      <c r="AZ3" s="1146"/>
      <c r="BA3" s="1146"/>
      <c r="BB3" s="1146"/>
      <c r="BC3" s="1146"/>
      <c r="BD3" s="1146"/>
      <c r="BE3" s="1146"/>
      <c r="BI3" s="272" t="s">
        <v>261</v>
      </c>
    </row>
    <row r="4" spans="2:76" ht="15" customHeight="1">
      <c r="B4" s="1147"/>
      <c r="C4" s="1147"/>
      <c r="D4" s="1147"/>
      <c r="E4" s="1147"/>
      <c r="F4" s="1147"/>
      <c r="G4" s="1147"/>
      <c r="H4" s="1147"/>
      <c r="I4" s="1147"/>
      <c r="J4" s="1147"/>
      <c r="K4" s="1147"/>
      <c r="L4" s="1147"/>
      <c r="M4" s="1147"/>
      <c r="N4" s="1147"/>
      <c r="O4" s="1147"/>
      <c r="P4" s="1147"/>
      <c r="Q4" s="1147"/>
      <c r="R4" s="1147"/>
      <c r="S4" s="1147"/>
      <c r="T4" s="1147"/>
      <c r="U4" s="1147"/>
      <c r="V4" s="1147"/>
      <c r="W4" s="1147"/>
      <c r="X4" s="1147"/>
      <c r="Y4" s="1147"/>
      <c r="Z4" s="1147"/>
      <c r="AA4" s="1147"/>
      <c r="AB4" s="1147"/>
      <c r="AC4" s="1147"/>
      <c r="AD4" s="1147"/>
      <c r="AE4" s="1147"/>
      <c r="AF4" s="1147"/>
      <c r="AG4" s="1147"/>
      <c r="AH4" s="1147"/>
      <c r="AI4" s="1147"/>
      <c r="AJ4" s="1147"/>
      <c r="AK4" s="1147"/>
      <c r="AL4" s="1147"/>
      <c r="AM4" s="1147"/>
      <c r="AN4" s="1147"/>
      <c r="AO4" s="1147"/>
      <c r="AP4" s="1147"/>
      <c r="AQ4" s="1147"/>
      <c r="AR4" s="1147"/>
      <c r="AS4" s="1147"/>
      <c r="AT4" s="1147"/>
      <c r="AU4" s="1147"/>
      <c r="AV4" s="1147"/>
      <c r="AW4" s="1147"/>
      <c r="AX4" s="1147"/>
      <c r="AY4" s="1147"/>
      <c r="AZ4" s="1147"/>
      <c r="BA4" s="1147"/>
      <c r="BB4" s="1147"/>
      <c r="BC4" s="1147"/>
      <c r="BD4" s="1147"/>
      <c r="BE4" s="1147"/>
      <c r="BI4" s="273" t="s">
        <v>23</v>
      </c>
      <c r="BJ4" s="273" t="s">
        <v>36</v>
      </c>
      <c r="BK4" s="273" t="s">
        <v>698</v>
      </c>
      <c r="BL4" s="273" t="s">
        <v>699</v>
      </c>
      <c r="BM4" s="273" t="s">
        <v>700</v>
      </c>
      <c r="BN4" s="273" t="s">
        <v>701</v>
      </c>
      <c r="BO4" s="273" t="s">
        <v>702</v>
      </c>
      <c r="BP4" s="273" t="s">
        <v>703</v>
      </c>
      <c r="BQ4" s="273" t="s">
        <v>704</v>
      </c>
      <c r="BR4" s="273" t="s">
        <v>705</v>
      </c>
      <c r="BS4" s="273" t="s">
        <v>706</v>
      </c>
      <c r="BT4" s="273" t="s">
        <v>707</v>
      </c>
      <c r="BU4" s="273" t="s">
        <v>708</v>
      </c>
      <c r="BV4" s="273" t="s">
        <v>709</v>
      </c>
      <c r="BX4" s="274" t="s">
        <v>262</v>
      </c>
    </row>
    <row r="5" spans="2:76" ht="15" customHeight="1">
      <c r="B5" s="1234" t="str">
        <f>GL!BI1</f>
        <v xml:space="preserve">General Ledger - Accurately Close the Books </v>
      </c>
      <c r="C5" s="1235"/>
      <c r="D5" s="1235"/>
      <c r="E5" s="1235"/>
      <c r="F5" s="1235"/>
      <c r="G5" s="1235"/>
      <c r="H5" s="1235"/>
      <c r="I5" s="1235"/>
      <c r="J5" s="1235"/>
      <c r="K5" s="1235"/>
      <c r="L5" s="1235"/>
      <c r="M5" s="1235"/>
      <c r="N5" s="1235"/>
      <c r="O5" s="1235"/>
      <c r="P5" s="1235"/>
      <c r="Q5" s="1235"/>
      <c r="R5" s="1235"/>
      <c r="S5" s="1235"/>
      <c r="T5" s="1235"/>
      <c r="U5" s="1235"/>
      <c r="V5" s="1235"/>
      <c r="W5" s="1235"/>
      <c r="X5" s="1235"/>
      <c r="Y5" s="1235"/>
      <c r="Z5" s="1235"/>
      <c r="AA5" s="1235"/>
      <c r="AB5" s="1235"/>
      <c r="AC5" s="1235"/>
      <c r="AD5" s="1235"/>
      <c r="AE5" s="1235"/>
      <c r="AF5" s="1235"/>
      <c r="AG5" s="1235"/>
      <c r="AH5" s="1235"/>
      <c r="AI5" s="1235"/>
      <c r="AJ5" s="1235"/>
      <c r="AK5" s="1235"/>
      <c r="AL5" s="1235"/>
      <c r="AM5" s="1235"/>
      <c r="AN5" s="1235"/>
      <c r="AO5" s="1235"/>
      <c r="AP5" s="1235"/>
      <c r="AQ5" s="1235"/>
      <c r="AR5" s="1235"/>
      <c r="AS5" s="630"/>
      <c r="AT5" s="630"/>
      <c r="AU5" s="630"/>
      <c r="AV5" s="630"/>
      <c r="AW5" s="630"/>
      <c r="AX5" s="630"/>
      <c r="AY5" s="630"/>
      <c r="AZ5" s="630"/>
      <c r="BA5" s="630"/>
      <c r="BB5" s="630"/>
      <c r="BC5" s="630"/>
      <c r="BD5" s="630"/>
      <c r="BE5" s="631" t="str">
        <f>Cover!M34</f>
        <v>OCT FY-24</v>
      </c>
      <c r="BI5" s="273" t="s">
        <v>37</v>
      </c>
      <c r="BJ5" s="273">
        <v>-1</v>
      </c>
      <c r="BK5" s="273">
        <v>1</v>
      </c>
      <c r="BL5" s="273">
        <v>2</v>
      </c>
      <c r="BM5" s="273">
        <v>3</v>
      </c>
      <c r="BN5" s="273">
        <v>4</v>
      </c>
      <c r="BO5" s="273">
        <v>5</v>
      </c>
      <c r="BP5" s="273">
        <v>6</v>
      </c>
      <c r="BQ5" s="273">
        <v>7</v>
      </c>
      <c r="BR5" s="273">
        <v>8</v>
      </c>
      <c r="BS5" s="273">
        <v>9</v>
      </c>
      <c r="BT5" s="273">
        <v>10</v>
      </c>
      <c r="BU5" s="273">
        <v>11</v>
      </c>
      <c r="BV5" s="273">
        <v>12</v>
      </c>
      <c r="BX5" s="271">
        <f>Cover!M36</f>
        <v>1</v>
      </c>
    </row>
    <row r="6" spans="2:76" ht="15" customHeight="1">
      <c r="BI6" s="271" t="s">
        <v>263</v>
      </c>
      <c r="BJ6" s="632">
        <v>6</v>
      </c>
      <c r="BK6" s="633">
        <f>BJ14-BJ13</f>
        <v>6</v>
      </c>
      <c r="BL6" s="633">
        <f>BK14-BK13</f>
        <v>7</v>
      </c>
      <c r="BM6" s="633">
        <f>BL14-BL13</f>
        <v>8</v>
      </c>
      <c r="BN6" s="633">
        <f>BM14-BM13</f>
        <v>8</v>
      </c>
      <c r="BO6" s="633">
        <f>BN14-BN13</f>
        <v>8</v>
      </c>
      <c r="BP6" s="633">
        <f t="shared" ref="BP6:BV6" si="0">BO14-BO13</f>
        <v>8</v>
      </c>
      <c r="BQ6" s="633">
        <f t="shared" si="0"/>
        <v>8</v>
      </c>
      <c r="BR6" s="633">
        <f t="shared" si="0"/>
        <v>8</v>
      </c>
      <c r="BS6" s="633">
        <f t="shared" si="0"/>
        <v>8</v>
      </c>
      <c r="BT6" s="633">
        <f t="shared" si="0"/>
        <v>8</v>
      </c>
      <c r="BU6" s="633">
        <f t="shared" si="0"/>
        <v>8</v>
      </c>
      <c r="BV6" s="633">
        <f t="shared" si="0"/>
        <v>8</v>
      </c>
    </row>
    <row r="7" spans="2:76" ht="15" customHeight="1">
      <c r="B7" s="531" t="s">
        <v>380</v>
      </c>
      <c r="C7" s="532"/>
      <c r="D7" s="532"/>
      <c r="E7" s="532"/>
      <c r="F7" s="532"/>
      <c r="G7" s="532"/>
      <c r="H7" s="532"/>
      <c r="I7" s="532"/>
      <c r="J7" s="532"/>
      <c r="K7" s="532"/>
      <c r="L7" s="532"/>
      <c r="M7" s="532"/>
      <c r="N7" s="532"/>
      <c r="O7" s="532"/>
      <c r="P7" s="532"/>
      <c r="Q7" s="532"/>
      <c r="R7" s="532"/>
      <c r="S7" s="532"/>
      <c r="T7" s="532"/>
      <c r="U7" s="532"/>
      <c r="V7" s="532"/>
      <c r="W7" s="532"/>
      <c r="X7" s="532"/>
      <c r="Y7" s="532"/>
      <c r="Z7" s="532"/>
      <c r="AA7" s="532"/>
      <c r="AB7" s="532"/>
      <c r="AE7" s="531" t="s">
        <v>265</v>
      </c>
      <c r="AF7" s="532"/>
      <c r="AG7" s="532"/>
      <c r="AH7" s="532"/>
      <c r="AI7" s="532"/>
      <c r="AJ7" s="532"/>
      <c r="AK7" s="532"/>
      <c r="AL7" s="532"/>
      <c r="AM7" s="532"/>
      <c r="AN7" s="532"/>
      <c r="AO7" s="532"/>
      <c r="AP7" s="532"/>
      <c r="AQ7" s="532"/>
      <c r="AR7" s="532"/>
      <c r="AS7" s="532"/>
      <c r="AT7" s="532"/>
      <c r="AU7" s="532"/>
      <c r="AV7" s="532"/>
      <c r="AW7" s="532"/>
      <c r="AX7" s="532"/>
      <c r="AY7" s="532"/>
      <c r="AZ7" s="532"/>
      <c r="BA7" s="532"/>
      <c r="BB7" s="532"/>
      <c r="BC7" s="532"/>
      <c r="BD7" s="532"/>
      <c r="BE7" s="532"/>
      <c r="BI7" s="271" t="s">
        <v>266</v>
      </c>
      <c r="BJ7" s="632"/>
      <c r="BK7" s="880"/>
      <c r="BL7" s="880"/>
      <c r="BM7" s="632"/>
      <c r="BN7" s="632"/>
      <c r="BO7" s="632"/>
      <c r="BP7" s="632"/>
      <c r="BQ7" s="880"/>
      <c r="BR7" s="632"/>
      <c r="BS7" s="880"/>
      <c r="BT7" s="880"/>
      <c r="BU7" s="880"/>
      <c r="BV7" s="632"/>
    </row>
    <row r="8" spans="2:76" ht="15" customHeight="1">
      <c r="B8" s="1137"/>
      <c r="C8" s="1138"/>
      <c r="D8" s="1138"/>
      <c r="E8" s="1138"/>
      <c r="F8" s="1138"/>
      <c r="G8" s="1138"/>
      <c r="H8" s="1138"/>
      <c r="I8" s="1138"/>
      <c r="J8" s="1138"/>
      <c r="K8" s="1138"/>
      <c r="L8" s="1138"/>
      <c r="M8" s="1138"/>
      <c r="N8" s="1138"/>
      <c r="O8" s="1138"/>
      <c r="P8" s="1138"/>
      <c r="Q8" s="1138"/>
      <c r="R8" s="1138"/>
      <c r="S8" s="1138"/>
      <c r="T8" s="1138"/>
      <c r="U8" s="1138"/>
      <c r="V8" s="1138"/>
      <c r="W8" s="1138"/>
      <c r="X8" s="1138"/>
      <c r="Y8" s="1138"/>
      <c r="Z8" s="1138"/>
      <c r="AA8" s="1138"/>
      <c r="AB8" s="1139"/>
      <c r="AE8" s="1137" t="s">
        <v>381</v>
      </c>
      <c r="AF8" s="1138"/>
      <c r="AG8" s="1138"/>
      <c r="AH8" s="1138"/>
      <c r="AI8" s="1138"/>
      <c r="AJ8" s="1138"/>
      <c r="AK8" s="1138"/>
      <c r="AL8" s="1138"/>
      <c r="AM8" s="1138"/>
      <c r="AN8" s="1138"/>
      <c r="AO8" s="1138"/>
      <c r="AP8" s="1138"/>
      <c r="AQ8" s="1138"/>
      <c r="AR8" s="1138"/>
      <c r="AS8" s="1138"/>
      <c r="AT8" s="1138"/>
      <c r="AU8" s="1138"/>
      <c r="AV8" s="1138"/>
      <c r="AW8" s="1138"/>
      <c r="AX8" s="1138"/>
      <c r="AY8" s="1138"/>
      <c r="AZ8" s="1138"/>
      <c r="BA8" s="1138"/>
      <c r="BB8" s="1138"/>
      <c r="BC8" s="1138"/>
      <c r="BD8" s="1138"/>
      <c r="BE8" s="1139"/>
      <c r="BI8" s="271" t="s">
        <v>269</v>
      </c>
      <c r="BJ8" s="632"/>
      <c r="BK8" s="880"/>
      <c r="BL8" s="880">
        <v>1</v>
      </c>
      <c r="BM8" s="632"/>
      <c r="BN8" s="632"/>
      <c r="BO8" s="632"/>
      <c r="BP8" s="632"/>
      <c r="BQ8" s="880"/>
      <c r="BR8" s="632"/>
      <c r="BS8" s="880"/>
      <c r="BT8" s="880"/>
      <c r="BU8" s="880"/>
      <c r="BV8" s="632"/>
    </row>
    <row r="9" spans="2:76" ht="15" customHeight="1">
      <c r="B9" s="1140"/>
      <c r="C9" s="1141"/>
      <c r="D9" s="1141"/>
      <c r="E9" s="1141"/>
      <c r="F9" s="1141"/>
      <c r="G9" s="1141"/>
      <c r="H9" s="1141"/>
      <c r="I9" s="1141"/>
      <c r="J9" s="1141"/>
      <c r="K9" s="1141"/>
      <c r="L9" s="1141"/>
      <c r="M9" s="1141"/>
      <c r="N9" s="1141"/>
      <c r="O9" s="1141"/>
      <c r="P9" s="1141"/>
      <c r="Q9" s="1141"/>
      <c r="R9" s="1141"/>
      <c r="S9" s="1141"/>
      <c r="T9" s="1141"/>
      <c r="U9" s="1141"/>
      <c r="V9" s="1141"/>
      <c r="W9" s="1141"/>
      <c r="X9" s="1141"/>
      <c r="Y9" s="1141"/>
      <c r="Z9" s="1141"/>
      <c r="AA9" s="1141"/>
      <c r="AB9" s="1142"/>
      <c r="AE9" s="1140"/>
      <c r="AF9" s="1141"/>
      <c r="AG9" s="1141"/>
      <c r="AH9" s="1141"/>
      <c r="AI9" s="1141"/>
      <c r="AJ9" s="1141"/>
      <c r="AK9" s="1141"/>
      <c r="AL9" s="1141"/>
      <c r="AM9" s="1141"/>
      <c r="AN9" s="1141"/>
      <c r="AO9" s="1141"/>
      <c r="AP9" s="1141"/>
      <c r="AQ9" s="1141"/>
      <c r="AR9" s="1141"/>
      <c r="AS9" s="1141"/>
      <c r="AT9" s="1141"/>
      <c r="AU9" s="1141"/>
      <c r="AV9" s="1141"/>
      <c r="AW9" s="1141"/>
      <c r="AX9" s="1141"/>
      <c r="AY9" s="1141"/>
      <c r="AZ9" s="1141"/>
      <c r="BA9" s="1141"/>
      <c r="BB9" s="1141"/>
      <c r="BC9" s="1141"/>
      <c r="BD9" s="1141"/>
      <c r="BE9" s="1142"/>
      <c r="BI9" s="271" t="s">
        <v>270</v>
      </c>
      <c r="BJ9" s="632"/>
      <c r="BK9" s="880"/>
      <c r="BL9" s="880"/>
      <c r="BM9" s="632"/>
      <c r="BN9" s="632"/>
      <c r="BO9" s="632"/>
      <c r="BP9" s="632"/>
      <c r="BQ9" s="880"/>
      <c r="BR9" s="632"/>
      <c r="BS9" s="880"/>
      <c r="BT9" s="880"/>
      <c r="BU9" s="880"/>
      <c r="BV9" s="632"/>
    </row>
    <row r="10" spans="2:76" ht="15" customHeight="1">
      <c r="B10" s="1140"/>
      <c r="C10" s="1141"/>
      <c r="D10" s="1141"/>
      <c r="E10" s="1141"/>
      <c r="F10" s="1141"/>
      <c r="G10" s="1141"/>
      <c r="H10" s="1141"/>
      <c r="I10" s="1141"/>
      <c r="J10" s="1141"/>
      <c r="K10" s="1141"/>
      <c r="L10" s="1141"/>
      <c r="M10" s="1141"/>
      <c r="N10" s="1141"/>
      <c r="O10" s="1141"/>
      <c r="P10" s="1141"/>
      <c r="Q10" s="1141"/>
      <c r="R10" s="1141"/>
      <c r="S10" s="1141"/>
      <c r="T10" s="1141"/>
      <c r="U10" s="1141"/>
      <c r="V10" s="1141"/>
      <c r="W10" s="1141"/>
      <c r="X10" s="1141"/>
      <c r="Y10" s="1141"/>
      <c r="Z10" s="1141"/>
      <c r="AA10" s="1141"/>
      <c r="AB10" s="1142"/>
      <c r="AE10" s="1140"/>
      <c r="AF10" s="1141"/>
      <c r="AG10" s="1141"/>
      <c r="AH10" s="1141"/>
      <c r="AI10" s="1141"/>
      <c r="AJ10" s="1141"/>
      <c r="AK10" s="1141"/>
      <c r="AL10" s="1141"/>
      <c r="AM10" s="1141"/>
      <c r="AN10" s="1141"/>
      <c r="AO10" s="1141"/>
      <c r="AP10" s="1141"/>
      <c r="AQ10" s="1141"/>
      <c r="AR10" s="1141"/>
      <c r="AS10" s="1141"/>
      <c r="AT10" s="1141"/>
      <c r="AU10" s="1141"/>
      <c r="AV10" s="1141"/>
      <c r="AW10" s="1141"/>
      <c r="AX10" s="1141"/>
      <c r="AY10" s="1141"/>
      <c r="AZ10" s="1141"/>
      <c r="BA10" s="1141"/>
      <c r="BB10" s="1141"/>
      <c r="BC10" s="1141"/>
      <c r="BD10" s="1141"/>
      <c r="BE10" s="1142"/>
      <c r="BI10" s="271" t="s">
        <v>271</v>
      </c>
      <c r="BJ10" s="632"/>
      <c r="BK10" s="880">
        <v>1</v>
      </c>
      <c r="BL10" s="880"/>
      <c r="BM10" s="632"/>
      <c r="BN10" s="632"/>
      <c r="BO10" s="632"/>
      <c r="BP10" s="632"/>
      <c r="BQ10" s="880"/>
      <c r="BR10" s="632"/>
      <c r="BS10" s="880"/>
      <c r="BT10" s="880"/>
      <c r="BU10" s="880"/>
      <c r="BV10" s="632"/>
    </row>
    <row r="11" spans="2:76" ht="15" customHeight="1">
      <c r="B11" s="1143"/>
      <c r="C11" s="1144"/>
      <c r="D11" s="1144"/>
      <c r="E11" s="1144"/>
      <c r="F11" s="1144"/>
      <c r="G11" s="1144"/>
      <c r="H11" s="1144"/>
      <c r="I11" s="1144"/>
      <c r="J11" s="1144"/>
      <c r="K11" s="1144"/>
      <c r="L11" s="1144"/>
      <c r="M11" s="1144"/>
      <c r="N11" s="1144"/>
      <c r="O11" s="1144"/>
      <c r="P11" s="1144"/>
      <c r="Q11" s="1144"/>
      <c r="R11" s="1144"/>
      <c r="S11" s="1144"/>
      <c r="T11" s="1144"/>
      <c r="U11" s="1144"/>
      <c r="V11" s="1144"/>
      <c r="W11" s="1144"/>
      <c r="X11" s="1144"/>
      <c r="Y11" s="1144"/>
      <c r="Z11" s="1144"/>
      <c r="AA11" s="1144"/>
      <c r="AB11" s="1145"/>
      <c r="AE11" s="1143"/>
      <c r="AF11" s="1144"/>
      <c r="AG11" s="1144"/>
      <c r="AH11" s="1144"/>
      <c r="AI11" s="1144"/>
      <c r="AJ11" s="1144"/>
      <c r="AK11" s="1144"/>
      <c r="AL11" s="1144"/>
      <c r="AM11" s="1144"/>
      <c r="AN11" s="1144"/>
      <c r="AO11" s="1144"/>
      <c r="AP11" s="1144"/>
      <c r="AQ11" s="1144"/>
      <c r="AR11" s="1144"/>
      <c r="AS11" s="1144"/>
      <c r="AT11" s="1144"/>
      <c r="AU11" s="1144"/>
      <c r="AV11" s="1144"/>
      <c r="AW11" s="1144"/>
      <c r="AX11" s="1144"/>
      <c r="AY11" s="1144"/>
      <c r="AZ11" s="1144"/>
      <c r="BA11" s="1144"/>
      <c r="BB11" s="1144"/>
      <c r="BC11" s="1144"/>
      <c r="BD11" s="1144"/>
      <c r="BE11" s="1145"/>
      <c r="BI11" s="271" t="s">
        <v>272</v>
      </c>
      <c r="BJ11" s="632"/>
      <c r="BK11" s="880"/>
      <c r="BL11" s="880"/>
      <c r="BM11" s="632"/>
      <c r="BN11" s="632"/>
      <c r="BO11" s="632"/>
      <c r="BP11" s="632"/>
      <c r="BQ11" s="880"/>
      <c r="BR11" s="632"/>
      <c r="BS11" s="880"/>
      <c r="BT11" s="880"/>
      <c r="BU11" s="880"/>
      <c r="BV11" s="632"/>
    </row>
    <row r="12" spans="2:76" ht="15" customHeight="1">
      <c r="BI12" s="271" t="s">
        <v>273</v>
      </c>
      <c r="BJ12" s="632"/>
      <c r="BK12" s="880"/>
      <c r="BL12" s="880"/>
      <c r="BM12" s="632"/>
      <c r="BN12" s="632"/>
      <c r="BO12" s="632"/>
      <c r="BP12" s="632"/>
      <c r="BQ12" s="880"/>
      <c r="BR12" s="632"/>
      <c r="BS12" s="880"/>
      <c r="BT12" s="880"/>
      <c r="BU12" s="880"/>
      <c r="BV12" s="632"/>
    </row>
    <row r="13" spans="2:76" ht="15" customHeight="1">
      <c r="B13" s="531" t="s">
        <v>14</v>
      </c>
      <c r="C13" s="533"/>
      <c r="D13" s="533"/>
      <c r="E13" s="533"/>
      <c r="F13" s="532"/>
      <c r="G13" s="532"/>
      <c r="H13" s="532"/>
      <c r="I13" s="532"/>
      <c r="J13" s="532"/>
      <c r="K13" s="532"/>
      <c r="L13" s="532"/>
      <c r="M13" s="532"/>
      <c r="N13" s="532"/>
      <c r="O13" s="532"/>
      <c r="P13" s="532"/>
      <c r="Q13" s="532"/>
      <c r="R13" s="532"/>
      <c r="S13" s="532"/>
      <c r="T13" s="532"/>
      <c r="U13" s="532"/>
      <c r="V13" s="532"/>
      <c r="W13" s="532"/>
      <c r="X13" s="532"/>
      <c r="Y13" s="532"/>
      <c r="Z13" s="532"/>
      <c r="AA13" s="532"/>
      <c r="AB13" s="532"/>
      <c r="AE13" s="534" t="s">
        <v>59</v>
      </c>
      <c r="AF13" s="535"/>
      <c r="AG13" s="536"/>
      <c r="AH13" s="537"/>
      <c r="AI13" s="538"/>
      <c r="AJ13" s="538"/>
      <c r="AK13" s="538"/>
      <c r="AL13" s="538"/>
      <c r="AM13" s="538"/>
      <c r="AN13" s="538"/>
      <c r="AO13" s="538"/>
      <c r="AP13" s="538"/>
      <c r="AQ13" s="538"/>
      <c r="AR13" s="538"/>
      <c r="AS13" s="538"/>
      <c r="AT13" s="538"/>
      <c r="AU13" s="538"/>
      <c r="AV13" s="538"/>
      <c r="AW13" s="538"/>
      <c r="AX13" s="538"/>
      <c r="AY13" s="538"/>
      <c r="AZ13" s="538"/>
      <c r="BA13" s="538"/>
      <c r="BB13" s="538"/>
      <c r="BC13" s="538"/>
      <c r="BD13" s="538"/>
      <c r="BE13" s="538"/>
      <c r="BI13" s="271" t="s">
        <v>274</v>
      </c>
      <c r="BJ13" s="632"/>
      <c r="BK13" s="880"/>
      <c r="BL13" s="880"/>
      <c r="BM13" s="632"/>
      <c r="BN13" s="632"/>
      <c r="BO13" s="632"/>
      <c r="BP13" s="632"/>
      <c r="BQ13" s="881"/>
      <c r="BR13" s="632"/>
      <c r="BS13" s="880"/>
      <c r="BT13" s="880"/>
      <c r="BU13" s="880"/>
      <c r="BV13" s="632"/>
    </row>
    <row r="14" spans="2:76" ht="15" customHeight="1">
      <c r="B14" s="302"/>
      <c r="C14" s="302"/>
      <c r="D14" s="302"/>
      <c r="E14" s="302"/>
      <c r="F14" s="302"/>
      <c r="G14" s="302"/>
      <c r="H14" s="302"/>
      <c r="I14" s="303"/>
      <c r="J14" s="303"/>
      <c r="K14" s="304"/>
      <c r="L14" s="302"/>
      <c r="M14" s="302"/>
      <c r="N14" s="305"/>
      <c r="O14" s="302"/>
      <c r="P14" s="302"/>
      <c r="Q14" s="302"/>
      <c r="R14" s="302"/>
      <c r="S14" s="302"/>
      <c r="T14" s="302"/>
      <c r="U14" s="302"/>
      <c r="V14" s="1132"/>
      <c r="W14" s="1132"/>
      <c r="X14" s="302"/>
      <c r="Y14" s="302"/>
      <c r="Z14" s="302"/>
      <c r="AA14" s="302"/>
      <c r="AB14" s="302"/>
      <c r="AE14" s="306"/>
      <c r="AF14" s="302"/>
      <c r="AG14" s="302"/>
      <c r="AH14" s="302"/>
      <c r="AI14" s="302"/>
      <c r="AJ14" s="302"/>
      <c r="AK14" s="307"/>
      <c r="AL14" s="307"/>
      <c r="AM14" s="307"/>
      <c r="AN14" s="307"/>
      <c r="AO14" s="308"/>
      <c r="AP14" s="309"/>
      <c r="AQ14" s="309"/>
      <c r="AR14" s="309"/>
      <c r="AS14" s="307"/>
      <c r="AT14" s="308"/>
      <c r="AU14" s="307"/>
      <c r="AV14" s="307"/>
      <c r="AW14" s="307"/>
      <c r="AX14" s="302"/>
      <c r="AY14" s="302"/>
      <c r="AZ14" s="302"/>
      <c r="BA14" s="302"/>
      <c r="BB14" s="302"/>
      <c r="BC14" s="302"/>
      <c r="BD14" s="302"/>
      <c r="BE14" s="302"/>
      <c r="BI14" s="271" t="s">
        <v>41</v>
      </c>
      <c r="BJ14" s="275">
        <f t="shared" ref="BJ14:BO14" si="1">SUM(BJ6:BJ13)</f>
        <v>6</v>
      </c>
      <c r="BK14" s="275">
        <f t="shared" si="1"/>
        <v>7</v>
      </c>
      <c r="BL14" s="275">
        <f t="shared" si="1"/>
        <v>8</v>
      </c>
      <c r="BM14" s="275">
        <f t="shared" si="1"/>
        <v>8</v>
      </c>
      <c r="BN14" s="275">
        <f t="shared" si="1"/>
        <v>8</v>
      </c>
      <c r="BO14" s="275">
        <f t="shared" si="1"/>
        <v>8</v>
      </c>
      <c r="BP14" s="275">
        <f t="shared" ref="BP14:BV14" si="2">SUM(BP6:BP13)</f>
        <v>8</v>
      </c>
      <c r="BQ14" s="275">
        <f t="shared" si="2"/>
        <v>8</v>
      </c>
      <c r="BR14" s="275">
        <f t="shared" si="2"/>
        <v>8</v>
      </c>
      <c r="BS14" s="275">
        <f t="shared" si="2"/>
        <v>8</v>
      </c>
      <c r="BT14" s="275">
        <f t="shared" si="2"/>
        <v>8</v>
      </c>
      <c r="BU14" s="275">
        <f t="shared" si="2"/>
        <v>8</v>
      </c>
      <c r="BV14" s="275">
        <f t="shared" si="2"/>
        <v>8</v>
      </c>
    </row>
    <row r="15" spans="2:76" ht="15" customHeight="1">
      <c r="B15" s="1128" t="s">
        <v>185</v>
      </c>
      <c r="C15" s="1128"/>
      <c r="D15" s="1128"/>
      <c r="E15" s="1128"/>
      <c r="F15" s="1128"/>
      <c r="G15" s="1128"/>
      <c r="I15" s="1128" t="s">
        <v>275</v>
      </c>
      <c r="J15" s="1134"/>
      <c r="K15" s="1134"/>
      <c r="L15" s="1134"/>
      <c r="M15" s="1134"/>
      <c r="N15" s="1134"/>
      <c r="O15" s="1134"/>
      <c r="P15" s="1134"/>
      <c r="Q15" s="1134"/>
      <c r="R15" s="1134"/>
      <c r="S15" s="1134"/>
      <c r="T15" s="1134"/>
      <c r="U15" s="1134"/>
      <c r="V15" s="1134"/>
      <c r="W15" s="310"/>
      <c r="X15" s="1135" t="s">
        <v>360</v>
      </c>
      <c r="Y15" s="1136"/>
      <c r="Z15" s="1136"/>
      <c r="AA15" s="1136"/>
      <c r="AB15" s="1136"/>
      <c r="AE15" s="1128" t="s">
        <v>277</v>
      </c>
      <c r="AF15" s="1128"/>
      <c r="AG15" s="1128"/>
      <c r="AH15" s="1128"/>
      <c r="AI15" s="1128"/>
      <c r="AJ15" s="1128"/>
      <c r="AK15" s="311"/>
      <c r="AL15" s="1129" t="s">
        <v>62</v>
      </c>
      <c r="AM15" s="1129"/>
      <c r="AN15" s="1129"/>
      <c r="AO15" s="1129"/>
      <c r="AP15" s="1128" t="str">
        <f>CONCATENATE(Cover!M36,"+",12-Cover!M36)</f>
        <v>1+11</v>
      </c>
      <c r="AQ15" s="1128"/>
      <c r="AR15" s="311"/>
      <c r="AS15" s="1128" t="s">
        <v>278</v>
      </c>
      <c r="AT15" s="1128"/>
      <c r="AU15" s="1128"/>
      <c r="AV15" s="1128"/>
      <c r="AW15" s="1128"/>
      <c r="AX15" s="1128"/>
      <c r="AY15" s="311"/>
      <c r="AZ15" s="1128" t="s">
        <v>279</v>
      </c>
      <c r="BA15" s="1128"/>
      <c r="BB15" s="1128"/>
      <c r="BC15" s="1128"/>
      <c r="BD15" s="1128"/>
      <c r="BE15" s="1128"/>
      <c r="BV15" s="6"/>
    </row>
    <row r="16" spans="2:76" ht="15" customHeight="1">
      <c r="E16" s="312" t="s">
        <v>263</v>
      </c>
      <c r="G16" s="313">
        <f>SUMIF(BJ4:BV4,BE5,BJ6:BV6)</f>
        <v>6</v>
      </c>
      <c r="I16" s="1112" t="s">
        <v>280</v>
      </c>
      <c r="J16" s="1113"/>
      <c r="K16" s="1113"/>
      <c r="L16" s="1114"/>
      <c r="N16" s="1112" t="s">
        <v>281</v>
      </c>
      <c r="O16" s="1113"/>
      <c r="P16" s="1113"/>
      <c r="Q16" s="1114"/>
      <c r="S16" s="1112" t="s">
        <v>282</v>
      </c>
      <c r="T16" s="1113"/>
      <c r="U16" s="1113"/>
      <c r="V16" s="1114"/>
      <c r="X16" s="314" t="s">
        <v>361</v>
      </c>
      <c r="Y16" s="315"/>
      <c r="Z16" s="316"/>
      <c r="AA16" s="314"/>
      <c r="AB16" s="314"/>
      <c r="AE16" s="311"/>
      <c r="AF16" s="311"/>
      <c r="AG16" s="311"/>
      <c r="AI16" s="311"/>
      <c r="AJ16" s="103" t="s">
        <v>61</v>
      </c>
      <c r="AK16" s="311"/>
      <c r="AL16" s="311"/>
      <c r="AM16" s="311"/>
      <c r="AN16" s="311"/>
      <c r="AO16" s="311"/>
      <c r="AP16" s="311"/>
      <c r="AQ16" s="311"/>
      <c r="AR16" s="311"/>
      <c r="AS16" s="311"/>
      <c r="AT16" s="311"/>
      <c r="AU16" s="311"/>
      <c r="AV16" s="311"/>
      <c r="AW16" s="311"/>
      <c r="AX16" s="311"/>
      <c r="AY16" s="311"/>
      <c r="AZ16" s="311"/>
      <c r="BA16" s="311"/>
      <c r="BB16" s="311"/>
      <c r="BC16" s="311"/>
      <c r="BD16" s="311"/>
      <c r="BE16" s="311"/>
      <c r="BI16" s="271" t="s">
        <v>284</v>
      </c>
      <c r="BJ16" s="635">
        <v>1</v>
      </c>
      <c r="BK16" s="635">
        <v>1</v>
      </c>
      <c r="BL16" s="635"/>
      <c r="BM16" s="635"/>
      <c r="BN16" s="635"/>
      <c r="BO16" s="635"/>
      <c r="BP16" s="635"/>
      <c r="BQ16" s="635"/>
      <c r="BR16" s="635"/>
      <c r="BS16" s="635"/>
      <c r="BT16" s="635"/>
      <c r="BU16" s="635"/>
      <c r="BV16" s="635"/>
    </row>
    <row r="17" spans="2:81" ht="15" customHeight="1">
      <c r="E17" s="312" t="s">
        <v>285</v>
      </c>
      <c r="G17" s="313">
        <f>V20</f>
        <v>1</v>
      </c>
      <c r="I17" s="317"/>
      <c r="J17" s="312" t="s">
        <v>266</v>
      </c>
      <c r="K17" s="313">
        <f>SUMIF(BJ4:BV4,BE5,BJ7:BV7)</f>
        <v>0</v>
      </c>
      <c r="L17" s="318"/>
      <c r="N17" s="317"/>
      <c r="O17" s="312" t="s">
        <v>286</v>
      </c>
      <c r="P17" s="313">
        <f>SUMIF(BJ4:BV4,BE5,BJ9:BV9)</f>
        <v>0</v>
      </c>
      <c r="Q17" s="318"/>
      <c r="S17" s="317"/>
      <c r="T17" s="312" t="s">
        <v>286</v>
      </c>
      <c r="U17" s="313">
        <f>SUMIF(BJ4:BV4,BE5,BJ11:BV11)</f>
        <v>0</v>
      </c>
      <c r="V17" s="319"/>
      <c r="X17" s="314" t="s">
        <v>287</v>
      </c>
      <c r="Y17" s="315"/>
      <c r="Z17" s="316"/>
      <c r="AA17" s="314">
        <f>SUMIF(Admin4!$B$5:$B$298,"7973",Admin4!$C$5:$C$298)</f>
        <v>0</v>
      </c>
      <c r="AB17" s="314"/>
      <c r="AE17" s="311"/>
      <c r="AF17" s="311"/>
      <c r="AG17" s="311"/>
      <c r="AI17" s="311"/>
      <c r="AJ17" s="320" t="s">
        <v>63</v>
      </c>
      <c r="AK17" s="311"/>
      <c r="AL17" s="311"/>
      <c r="AM17" s="311"/>
      <c r="AN17" s="1127">
        <f>SUMIF(Admin3!C8:O8,AR!BE5,Admin3!C105:O105)</f>
        <v>0</v>
      </c>
      <c r="AO17" s="1127"/>
      <c r="AP17" s="1127"/>
      <c r="AQ17" s="1127"/>
      <c r="AR17" s="311"/>
      <c r="AS17" s="311"/>
      <c r="AT17" s="311"/>
      <c r="AU17" s="1127">
        <f>SUMIF(Admin3!C8:O8,AR!BE5,Admin3!C109:O109)-SUMIF(Admin3!C8:O8,AR!BE5,Admin3!C105:O105)</f>
        <v>0</v>
      </c>
      <c r="AV17" s="1127"/>
      <c r="AW17" s="1127"/>
      <c r="AX17" s="1127"/>
      <c r="AY17" s="311"/>
      <c r="AZ17" s="311"/>
      <c r="BA17" s="311"/>
      <c r="BB17" s="1127">
        <f>SUMIF(Admin3!C8:O8,AR!BE5,Admin3!C113:O113)-SUMIF(Admin3!C8:O8,AR!BE5,Admin3!C105:O105)</f>
        <v>0</v>
      </c>
      <c r="BC17" s="1127"/>
      <c r="BD17" s="1127"/>
      <c r="BE17" s="1127"/>
    </row>
    <row r="18" spans="2:81" ht="15" customHeight="1">
      <c r="E18" s="312" t="s">
        <v>240</v>
      </c>
      <c r="G18" s="313">
        <f>SUMIF(BJ4:BV4,BE5,BJ13:BV13)</f>
        <v>0</v>
      </c>
      <c r="I18" s="321"/>
      <c r="J18" s="322" t="s">
        <v>288</v>
      </c>
      <c r="K18" s="323">
        <f>SUMIF(BJ4:BV4,BE5,BJ8:BV8)</f>
        <v>0</v>
      </c>
      <c r="L18" s="324"/>
      <c r="N18" s="321"/>
      <c r="O18" s="322" t="s">
        <v>289</v>
      </c>
      <c r="P18" s="323">
        <f>SUMIF(BJ4:BV4,BE5,BJ10:BV10)</f>
        <v>1</v>
      </c>
      <c r="Q18" s="324"/>
      <c r="S18" s="321"/>
      <c r="T18" s="322" t="s">
        <v>289</v>
      </c>
      <c r="U18" s="323">
        <f>SUMIF(BJ4:BV4,BE5,BJ12:BV12)</f>
        <v>0</v>
      </c>
      <c r="V18" s="325"/>
      <c r="X18" s="314"/>
      <c r="Y18" s="315"/>
      <c r="Z18" s="316"/>
      <c r="AA18" s="314"/>
      <c r="AB18" s="314"/>
      <c r="AE18" s="311"/>
      <c r="AF18" s="311"/>
      <c r="AG18" s="311"/>
      <c r="AH18" s="311"/>
      <c r="AI18" s="326"/>
      <c r="AJ18" s="320" t="s">
        <v>64</v>
      </c>
      <c r="AK18" s="311"/>
      <c r="AL18" s="311"/>
      <c r="AM18" s="311"/>
      <c r="AN18" s="1286">
        <f>SUMIF(Admin3!C8:O8,AR!BE5,Admin3!C106:O106)</f>
        <v>0</v>
      </c>
      <c r="AO18" s="1286"/>
      <c r="AP18" s="1286"/>
      <c r="AQ18" s="1286"/>
      <c r="AR18" s="311"/>
      <c r="AS18" s="311"/>
      <c r="AT18" s="311"/>
      <c r="AU18" s="1127">
        <f>SUMIF(Admin3!C8:O8,AR!BE5,Admin3!C110:O110)-SUMIF(Admin3!C8:O8,AR!BE5,Admin3!C106:O106)</f>
        <v>0</v>
      </c>
      <c r="AV18" s="1127"/>
      <c r="AW18" s="1127"/>
      <c r="AX18" s="1127"/>
      <c r="AY18" s="311"/>
      <c r="AZ18" s="311"/>
      <c r="BA18" s="311"/>
      <c r="BB18" s="1127">
        <f>SUMIF(Admin3!C8:O8,AR!BE5,Admin3!C114:O114)-SUMIF(Admin3!C8:O8,AR!BE5,Admin3!C106:O106)</f>
        <v>0</v>
      </c>
      <c r="BC18" s="1127"/>
      <c r="BD18" s="1127"/>
      <c r="BE18" s="1127"/>
    </row>
    <row r="19" spans="2:81" ht="15" customHeight="1" thickBot="1">
      <c r="E19" s="312" t="s">
        <v>41</v>
      </c>
      <c r="G19" s="327">
        <f>SUM(G16:G18)</f>
        <v>7</v>
      </c>
      <c r="I19" s="326"/>
      <c r="J19" s="326"/>
      <c r="K19" s="326"/>
      <c r="L19" s="326"/>
      <c r="M19" s="326"/>
      <c r="N19" s="326"/>
      <c r="O19" s="326"/>
      <c r="P19" s="326"/>
      <c r="Q19" s="326"/>
      <c r="R19" s="326"/>
      <c r="S19" s="326"/>
      <c r="T19" s="326"/>
      <c r="U19" s="326"/>
      <c r="V19" s="326"/>
      <c r="W19" s="326"/>
      <c r="X19" s="314" t="s">
        <v>290</v>
      </c>
      <c r="Y19" s="315"/>
      <c r="Z19" s="316"/>
      <c r="AA19" s="328"/>
      <c r="AB19" s="328"/>
      <c r="AE19" s="311"/>
      <c r="AF19" s="311"/>
      <c r="AG19" s="311"/>
      <c r="AH19" s="311"/>
      <c r="AJ19" s="320" t="s">
        <v>65</v>
      </c>
      <c r="AN19" s="1152">
        <f>SUM(AN17:AQ18)</f>
        <v>0</v>
      </c>
      <c r="AO19" s="1152"/>
      <c r="AP19" s="1152"/>
      <c r="AQ19" s="1152"/>
      <c r="AU19" s="1152">
        <f>SUM(AU17:AX18)</f>
        <v>0</v>
      </c>
      <c r="AV19" s="1152"/>
      <c r="AW19" s="1152"/>
      <c r="AX19" s="1152"/>
      <c r="BB19" s="1152">
        <f>SUM(BB17:BE18)</f>
        <v>0</v>
      </c>
      <c r="BC19" s="1152"/>
      <c r="BD19" s="1152"/>
      <c r="BE19" s="1152"/>
    </row>
    <row r="20" spans="2:81" ht="15" customHeight="1" thickTop="1" thickBot="1">
      <c r="B20" s="267"/>
      <c r="C20" s="267"/>
      <c r="D20" s="267"/>
      <c r="E20" s="312" t="s">
        <v>39</v>
      </c>
      <c r="G20" s="313">
        <f t="array" ref="G20">SUM(IF((Admin2!$C$6:$O$6=BE5)*(Admin2!$Q$9:$Q$83=BI2)*(Admin2!$B$9:$B$83="Annual Plan"),Admin2!$C$9:$O$83,0))</f>
        <v>7</v>
      </c>
      <c r="H20" s="326"/>
      <c r="I20" s="37" t="s">
        <v>284</v>
      </c>
      <c r="K20" s="326"/>
      <c r="L20" s="326"/>
      <c r="M20" s="329">
        <f>SUMIF(BJ4:BV4,BE5,BJ16:BV16)</f>
        <v>1</v>
      </c>
      <c r="T20" s="330" t="s">
        <v>291</v>
      </c>
      <c r="U20" s="326"/>
      <c r="V20" s="329">
        <f>SUM(K17:K18,P17:P18,U17:U18)</f>
        <v>1</v>
      </c>
      <c r="X20" s="314" t="s">
        <v>287</v>
      </c>
      <c r="Y20" s="315"/>
      <c r="Z20" s="316"/>
      <c r="AA20" s="314">
        <f>SUMIF(Admin4!$B$5:$B$298,"7973",Admin4!$D$5:$D$298)</f>
        <v>0</v>
      </c>
      <c r="AB20" s="314"/>
      <c r="AC20" s="326"/>
      <c r="AD20" s="326"/>
      <c r="AE20" s="305"/>
      <c r="AF20" s="305"/>
      <c r="AG20" s="305"/>
      <c r="AH20" s="305"/>
      <c r="BI20" s="272" t="s">
        <v>245</v>
      </c>
      <c r="BJ20" s="276"/>
      <c r="BK20" s="276"/>
      <c r="BL20" s="276"/>
      <c r="BM20" s="276"/>
      <c r="BN20" s="276"/>
      <c r="BO20" s="276"/>
      <c r="BP20" s="276"/>
      <c r="BQ20" s="276"/>
      <c r="BR20" s="276"/>
      <c r="BS20" s="276"/>
      <c r="BT20" s="276"/>
      <c r="BU20" s="276"/>
    </row>
    <row r="21" spans="2:81" ht="15" customHeight="1" thickTop="1" thickBot="1">
      <c r="B21" s="267"/>
      <c r="C21" s="267"/>
      <c r="D21" s="267"/>
      <c r="E21" s="312" t="s">
        <v>40</v>
      </c>
      <c r="F21" s="326"/>
      <c r="G21" s="327">
        <f t="array" ref="G21">SUM(IF((Admin2!$C$6:$O$6=BE5)*(Admin2!$Q$9:$Q$61=BI2)*(Admin2!$B$9:$B$61="Forecast"),Admin2!$C$9:$O$61,0))</f>
        <v>7</v>
      </c>
      <c r="H21" s="326"/>
      <c r="X21" s="314"/>
      <c r="Y21" s="315"/>
      <c r="Z21" s="316"/>
      <c r="AA21" s="314"/>
      <c r="AB21" s="314"/>
      <c r="AE21" s="302"/>
      <c r="AF21" s="302"/>
      <c r="AG21" s="302"/>
      <c r="AH21" s="302"/>
      <c r="AI21" s="311"/>
      <c r="AJ21" s="103" t="s">
        <v>23</v>
      </c>
      <c r="AK21" s="311"/>
      <c r="AL21" s="311"/>
      <c r="AM21" s="311"/>
      <c r="AN21" s="311"/>
      <c r="AO21" s="311"/>
      <c r="AP21" s="311"/>
      <c r="AQ21" s="311"/>
      <c r="AR21" s="311"/>
      <c r="AS21" s="311"/>
      <c r="AT21" s="311"/>
      <c r="AU21" s="311"/>
      <c r="AV21" s="311"/>
      <c r="AW21" s="311"/>
      <c r="AX21" s="311"/>
      <c r="AY21" s="311"/>
      <c r="AZ21" s="311"/>
      <c r="BA21" s="311"/>
      <c r="BB21" s="311"/>
      <c r="BC21" s="311"/>
      <c r="BD21" s="311"/>
      <c r="BE21" s="311"/>
      <c r="BI21" s="54" t="s">
        <v>292</v>
      </c>
      <c r="BJ21" s="1116" t="s">
        <v>382</v>
      </c>
      <c r="BK21" s="1116"/>
      <c r="BL21" s="1116"/>
      <c r="BM21" s="1116"/>
      <c r="BN21" s="1116"/>
      <c r="BO21" s="1116"/>
      <c r="BP21" s="1116"/>
      <c r="BQ21" s="1116"/>
      <c r="BR21" s="1116"/>
      <c r="BS21" s="1116"/>
      <c r="BT21" s="1116"/>
      <c r="BU21" s="1116"/>
    </row>
    <row r="22" spans="2:81" ht="15" customHeight="1" thickTop="1" thickBot="1">
      <c r="B22" s="267"/>
      <c r="C22" s="267"/>
      <c r="D22" s="267"/>
      <c r="E22" s="312" t="s">
        <v>294</v>
      </c>
      <c r="F22" s="326"/>
      <c r="G22" s="327">
        <f>$G$20-$G$19</f>
        <v>0</v>
      </c>
      <c r="H22" s="326"/>
      <c r="K22" s="326"/>
      <c r="L22" s="326"/>
      <c r="U22" s="326"/>
      <c r="V22" s="326"/>
      <c r="W22" s="326"/>
      <c r="X22" s="314" t="s">
        <v>295</v>
      </c>
      <c r="Y22" s="315"/>
      <c r="Z22" s="316"/>
      <c r="AA22" s="328"/>
      <c r="AB22" s="331"/>
      <c r="AE22" s="302"/>
      <c r="AF22" s="302"/>
      <c r="AG22" s="302"/>
      <c r="AH22" s="302"/>
      <c r="AI22" s="311"/>
      <c r="AJ22" s="320" t="s">
        <v>63</v>
      </c>
      <c r="AK22" s="311"/>
      <c r="AL22" s="311"/>
      <c r="AM22" s="311"/>
      <c r="AN22" s="1127">
        <f>SUMIF(Admin3!C8:O8,AR!BE5,Admin3!C118:O118)</f>
        <v>0</v>
      </c>
      <c r="AO22" s="1127"/>
      <c r="AP22" s="1127"/>
      <c r="AQ22" s="1127"/>
      <c r="AR22" s="311"/>
      <c r="AS22" s="311"/>
      <c r="AT22" s="311"/>
      <c r="AU22" s="1127">
        <f>SUMIF(Admin3!C8:O8,AR!BE5,Admin3!C122:O122)-SUMIF(Admin3!C8:O8,AR!BE5,Admin3!C118:O118)</f>
        <v>0</v>
      </c>
      <c r="AV22" s="1127"/>
      <c r="AW22" s="1127"/>
      <c r="AX22" s="1127"/>
      <c r="AY22" s="311"/>
      <c r="AZ22" s="311"/>
      <c r="BA22" s="311"/>
      <c r="BB22" s="1127">
        <f>SUMIF(Admin3!C8:O8,AR!BE5,Admin3!C126:O126)-SUMIF(Admin3!C8:O8,AR!BE5,Admin3!C118:O118)</f>
        <v>0</v>
      </c>
      <c r="BC22" s="1127"/>
      <c r="BD22" s="1127"/>
      <c r="BE22" s="1127"/>
      <c r="BI22" s="54" t="s">
        <v>296</v>
      </c>
      <c r="BJ22" s="1233" t="s">
        <v>383</v>
      </c>
      <c r="BK22" s="1233"/>
      <c r="BL22" s="1233"/>
      <c r="BM22" s="1233"/>
      <c r="BN22" s="1233"/>
      <c r="BO22" s="1233"/>
      <c r="BP22" s="1233"/>
      <c r="BQ22" s="1233"/>
      <c r="BR22" s="1233"/>
      <c r="BS22" s="1233"/>
      <c r="BT22" s="1233"/>
      <c r="BU22" s="1233"/>
    </row>
    <row r="23" spans="2:81" ht="15" customHeight="1" thickTop="1" thickBot="1">
      <c r="B23" s="267"/>
      <c r="C23" s="267"/>
      <c r="D23" s="267"/>
      <c r="E23" s="312" t="s">
        <v>298</v>
      </c>
      <c r="F23" s="326"/>
      <c r="G23" s="327">
        <f>$G$21-$G$19</f>
        <v>0</v>
      </c>
      <c r="H23" s="326"/>
      <c r="I23" s="96"/>
      <c r="J23" s="96"/>
      <c r="K23" s="326"/>
      <c r="L23" s="326"/>
      <c r="U23" s="326"/>
      <c r="V23" s="326"/>
      <c r="W23" s="326"/>
      <c r="X23" s="314" t="s">
        <v>299</v>
      </c>
      <c r="Y23" s="315"/>
      <c r="Z23" s="316"/>
      <c r="AA23" s="314">
        <f>SUMIF(Admin4!$L$5:$L$298,"7973",Admin4!$N$5:$N$298)</f>
        <v>0</v>
      </c>
      <c r="AB23" s="331"/>
      <c r="AE23" s="302"/>
      <c r="AF23" s="302"/>
      <c r="AG23" s="302"/>
      <c r="AH23" s="302"/>
      <c r="AI23" s="302"/>
      <c r="AJ23" s="320" t="s">
        <v>64</v>
      </c>
      <c r="AK23" s="311"/>
      <c r="AL23" s="311"/>
      <c r="AM23" s="311"/>
      <c r="AN23" s="1127">
        <f>SUMIF(Admin3!C8:O8,AR!BE5,Admin3!C119:O119)</f>
        <v>0</v>
      </c>
      <c r="AO23" s="1127"/>
      <c r="AP23" s="1127"/>
      <c r="AQ23" s="1127"/>
      <c r="AR23" s="311"/>
      <c r="AS23" s="311"/>
      <c r="AT23" s="311"/>
      <c r="AU23" s="1127">
        <f>SUMIF(Admin3!C8:O8,AR!BE5,Admin3!C123:O123)-SUMIF(Admin3!C8:O8,AR!BE5,Admin3!C119:O119)</f>
        <v>0</v>
      </c>
      <c r="AV23" s="1127"/>
      <c r="AW23" s="1127"/>
      <c r="AX23" s="1127"/>
      <c r="AY23" s="311"/>
      <c r="AZ23" s="311"/>
      <c r="BA23" s="311"/>
      <c r="BB23" s="1127">
        <f>SUMIF(Admin3!C8:O8,AR!BE5,Admin3!C127:O127)-SUMIF(Admin3!C8:O8,AR!BE5,Admin3!C119:O119)</f>
        <v>0</v>
      </c>
      <c r="BC23" s="1127"/>
      <c r="BD23" s="1127"/>
      <c r="BE23" s="1127"/>
      <c r="BI23" s="54" t="s">
        <v>300</v>
      </c>
      <c r="BJ23" s="1233" t="s">
        <v>384</v>
      </c>
      <c r="BK23" s="1233"/>
      <c r="BL23" s="1233"/>
      <c r="BM23" s="1233"/>
      <c r="BN23" s="1233"/>
      <c r="BO23" s="1233"/>
      <c r="BP23" s="1233"/>
      <c r="BQ23" s="1233"/>
      <c r="BR23" s="1233"/>
      <c r="BS23" s="1233"/>
      <c r="BT23" s="1233"/>
      <c r="BU23" s="1233"/>
    </row>
    <row r="24" spans="2:81" ht="15" customHeight="1" thickTop="1" thickBot="1">
      <c r="B24" s="267"/>
      <c r="C24" s="267"/>
      <c r="D24" s="267"/>
      <c r="E24" s="312"/>
      <c r="F24" s="326"/>
      <c r="G24" s="326"/>
      <c r="H24" s="326"/>
      <c r="I24" s="96"/>
      <c r="J24" s="96"/>
      <c r="K24" s="326"/>
      <c r="L24" s="326"/>
      <c r="U24" s="326"/>
      <c r="V24" s="326"/>
      <c r="W24" s="326"/>
      <c r="X24" s="239"/>
      <c r="Y24" s="239"/>
      <c r="Z24" s="240"/>
      <c r="AA24" s="239"/>
      <c r="AB24" s="241"/>
      <c r="AE24" s="302"/>
      <c r="AF24" s="302"/>
      <c r="AG24" s="302"/>
      <c r="AH24" s="302"/>
      <c r="AI24" s="302"/>
      <c r="AJ24" s="320" t="s">
        <v>65</v>
      </c>
      <c r="AK24" s="311"/>
      <c r="AL24" s="311"/>
      <c r="AM24" s="311"/>
      <c r="AN24" s="1152">
        <f>SUM(AN22:AQ23)</f>
        <v>0</v>
      </c>
      <c r="AO24" s="1152"/>
      <c r="AP24" s="1152"/>
      <c r="AQ24" s="1152"/>
      <c r="AR24" s="311"/>
      <c r="AS24" s="311"/>
      <c r="AT24" s="311"/>
      <c r="AU24" s="1152">
        <f>SUM(AU22:AX23)</f>
        <v>0</v>
      </c>
      <c r="AV24" s="1152"/>
      <c r="AW24" s="1152"/>
      <c r="AX24" s="1152"/>
      <c r="AY24" s="311"/>
      <c r="AZ24" s="311"/>
      <c r="BA24" s="311"/>
      <c r="BB24" s="1152">
        <f>SUM(BB22:BE23)</f>
        <v>0</v>
      </c>
      <c r="BC24" s="1152"/>
      <c r="BD24" s="1152"/>
      <c r="BE24" s="1152"/>
      <c r="BI24" s="277"/>
      <c r="BJ24" s="277"/>
      <c r="BK24" s="277"/>
      <c r="BL24" s="1148" t="s">
        <v>302</v>
      </c>
      <c r="BM24" s="1149"/>
      <c r="BN24" s="1149"/>
      <c r="BO24" s="1149"/>
      <c r="BP24" s="1151"/>
      <c r="BQ24" s="1148" t="s">
        <v>719</v>
      </c>
      <c r="BR24" s="1149"/>
      <c r="BS24" s="1149"/>
      <c r="BT24" s="1149"/>
      <c r="BU24" s="1150"/>
      <c r="BW24" s="1148" t="s">
        <v>303</v>
      </c>
      <c r="BX24" s="1149"/>
      <c r="BY24" s="1149"/>
      <c r="BZ24" s="1149"/>
      <c r="CA24" s="1149"/>
      <c r="CB24" s="1149"/>
      <c r="CC24" s="1150"/>
    </row>
    <row r="25" spans="2:81" ht="15" customHeight="1" thickTop="1">
      <c r="B25" s="267"/>
      <c r="C25" s="267"/>
      <c r="D25" s="267"/>
      <c r="E25" s="312"/>
      <c r="F25" s="326"/>
      <c r="G25" s="95">
        <f>G26-SUM($G$16:$G$18)</f>
        <v>0</v>
      </c>
      <c r="H25" s="326"/>
      <c r="I25" s="96" t="str">
        <f>IF(G25&lt;&gt;0,"There is a variance in reported ending EEs.","")</f>
        <v/>
      </c>
      <c r="J25" s="96"/>
      <c r="K25" s="326"/>
      <c r="L25" s="326"/>
      <c r="U25" s="326"/>
      <c r="V25" s="326"/>
      <c r="W25" s="326"/>
      <c r="X25" s="326"/>
      <c r="Y25" s="326"/>
      <c r="Z25" s="320"/>
      <c r="AA25" s="326"/>
      <c r="AB25" s="332"/>
      <c r="AE25" s="302"/>
      <c r="AF25" s="302"/>
      <c r="AG25" s="302"/>
      <c r="AH25" s="302"/>
      <c r="AI25" s="302"/>
      <c r="AJ25" s="320"/>
      <c r="AK25" s="311"/>
      <c r="AL25" s="311"/>
      <c r="AM25" s="311"/>
      <c r="AN25" s="333"/>
      <c r="AO25" s="333"/>
      <c r="AP25" s="333"/>
      <c r="AQ25" s="333"/>
      <c r="AR25" s="311"/>
      <c r="AS25" s="311"/>
      <c r="AT25" s="311"/>
      <c r="AU25" s="333"/>
      <c r="AV25" s="333"/>
      <c r="AW25" s="333"/>
      <c r="AX25" s="333"/>
      <c r="AY25" s="311"/>
      <c r="AZ25" s="311"/>
      <c r="BA25" s="311"/>
      <c r="BB25" s="333"/>
      <c r="BC25" s="333"/>
      <c r="BD25" s="333"/>
      <c r="BE25" s="333"/>
      <c r="BI25" s="636" t="s">
        <v>23</v>
      </c>
      <c r="BJ25" s="636" t="s">
        <v>37</v>
      </c>
      <c r="BK25" s="636" t="s">
        <v>304</v>
      </c>
      <c r="BL25" s="637" t="s">
        <v>305</v>
      </c>
      <c r="BM25" s="637" t="s">
        <v>310</v>
      </c>
      <c r="BN25" s="637" t="s">
        <v>311</v>
      </c>
      <c r="BO25" s="278" t="s">
        <v>312</v>
      </c>
      <c r="BP25" s="637" t="s">
        <v>313</v>
      </c>
      <c r="BQ25" s="637" t="s">
        <v>305</v>
      </c>
      <c r="BR25" s="637" t="s">
        <v>715</v>
      </c>
      <c r="BS25" s="637" t="s">
        <v>716</v>
      </c>
      <c r="BT25" s="278" t="s">
        <v>717</v>
      </c>
      <c r="BU25" s="637" t="s">
        <v>718</v>
      </c>
      <c r="BW25" s="279" t="s">
        <v>314</v>
      </c>
      <c r="BX25" s="279" t="s">
        <v>23</v>
      </c>
      <c r="BY25" s="279" t="s">
        <v>315</v>
      </c>
      <c r="BZ25" s="279" t="s">
        <v>122</v>
      </c>
      <c r="CA25" s="279" t="s">
        <v>316</v>
      </c>
      <c r="CB25" s="279" t="s">
        <v>317</v>
      </c>
      <c r="CC25" s="279" t="s">
        <v>318</v>
      </c>
    </row>
    <row r="26" spans="2:81" ht="15" customHeight="1">
      <c r="B26" s="267"/>
      <c r="C26" s="267"/>
      <c r="D26" s="267"/>
      <c r="E26" s="312"/>
      <c r="F26" s="326"/>
      <c r="G26" s="95">
        <f t="array" ref="G26">SUM(IF((Admin2!$C$6:$O$6=$BE$5)*(Admin2!$Q$9:$Q$61=$BI$2)*(Admin2!$B$9:$B$61="Ending EEs"),Admin2!$C$9:$O$61,0))</f>
        <v>7</v>
      </c>
      <c r="H26" s="326"/>
      <c r="I26" s="96" t="str">
        <f>IF(G26&lt;&gt;0,"Ending headcount per Kronos/HCMS.","")</f>
        <v>Ending headcount per Kronos/HCMS.</v>
      </c>
      <c r="J26" s="96"/>
      <c r="K26" s="326"/>
      <c r="L26" s="326"/>
      <c r="U26" s="326"/>
      <c r="V26" s="326"/>
      <c r="W26" s="326"/>
      <c r="X26" s="326"/>
      <c r="Y26" s="326"/>
      <c r="Z26" s="320"/>
      <c r="AA26" s="326"/>
      <c r="AB26" s="332"/>
      <c r="AE26" s="302"/>
      <c r="AF26" s="302"/>
      <c r="AG26" s="302"/>
      <c r="AH26" s="302"/>
      <c r="AI26" s="302"/>
      <c r="AJ26" s="320"/>
      <c r="AK26" s="311"/>
      <c r="AL26" s="311"/>
      <c r="AM26" s="311"/>
      <c r="AN26" s="333"/>
      <c r="AO26" s="333"/>
      <c r="AP26" s="333"/>
      <c r="AQ26" s="333"/>
      <c r="AR26" s="311"/>
      <c r="AS26" s="311"/>
      <c r="AT26" s="311"/>
      <c r="AU26" s="333"/>
      <c r="AV26" s="333"/>
      <c r="AW26" s="333"/>
      <c r="AX26" s="333"/>
      <c r="AY26" s="311"/>
      <c r="AZ26" s="311"/>
      <c r="BA26" s="311"/>
      <c r="BB26" s="333"/>
      <c r="BC26" s="333"/>
      <c r="BD26" s="333"/>
      <c r="BE26" s="333"/>
      <c r="BI26" s="638" t="s">
        <v>319</v>
      </c>
      <c r="BJ26" s="638">
        <v>1</v>
      </c>
      <c r="BK26" s="638" t="s">
        <v>320</v>
      </c>
      <c r="BL26" s="690">
        <v>0.219</v>
      </c>
      <c r="BM26" s="689">
        <v>0.219</v>
      </c>
      <c r="BN26" s="653">
        <f>IF(BM26="","",BL26/BM26)</f>
        <v>1</v>
      </c>
      <c r="BO26" s="289">
        <f>IF(SUM(BM26:BM28=0),0,SUM(BL26:BL29)/SUM(BM26:BM29))</f>
        <v>1</v>
      </c>
      <c r="BP26" s="641">
        <v>0.995</v>
      </c>
      <c r="BQ26" s="690">
        <v>0.217</v>
      </c>
      <c r="BR26" s="689">
        <v>0.217</v>
      </c>
      <c r="BS26" s="653">
        <f>IF(BR26="","",BQ26/BR26)</f>
        <v>1</v>
      </c>
      <c r="BT26" s="289">
        <f>IF(SUM(BR26:BR28=0),0,SUM(BQ26:BQ29)/SUM(BR26:BR29))</f>
        <v>1</v>
      </c>
      <c r="BU26" s="641">
        <v>0.995</v>
      </c>
      <c r="BX26" s="666" t="str">
        <f t="shared" ref="BX26:BX37" si="3">TEXT(CONCATENATE(CC26,"/01/20",CB26),"MMM")</f>
        <v>Oct</v>
      </c>
      <c r="BY26" s="643">
        <f>IF(CB26=$CB38,SUMIF($BI26:$BI37,$BX26,$BR26:$BR37),SUMIF($BI26:$BI37,$BX26,$BM26:$BM37))</f>
        <v>0.219</v>
      </c>
      <c r="BZ26" s="641">
        <f>IF(IF(CB26=CB38,SUMIF(BI26:BI37,$BX26,BU26:BU37),SUMIF(BI26:BI37,$BX26,BP26:BP37))=0,NA(),IF(CB26=CB38,SUMIF(BI26:BI37,$BX26,BU26:BU37),SUMIF(BI26:BI37,$BX26,BP26:BP37)))</f>
        <v>0.995</v>
      </c>
      <c r="CA26" s="644">
        <f>IF(IF(CB26=CB38,SUMIF(BI26:BI37,$BX26,BS26:BS37),SUMIF(BI26:BI37,$BX26,BN26:BN37))=0,NA(),IF(CB26=CB38,SUMIF(BI26:BI37,$BX26,BS26:BS37),SUMIF(BI26:BI37,$BX26,BN26:BN37)))</f>
        <v>1</v>
      </c>
      <c r="CB26" s="645">
        <v>23</v>
      </c>
      <c r="CC26" s="645">
        <f t="shared" ref="CC26:CC36" si="4">IF(CC27-1&lt;1,CC27+11,CC27-1)</f>
        <v>10</v>
      </c>
    </row>
    <row r="27" spans="2:81" ht="15" customHeight="1">
      <c r="B27" s="267"/>
      <c r="C27" s="267"/>
      <c r="D27" s="267"/>
      <c r="E27" s="312"/>
      <c r="F27" s="326"/>
      <c r="G27" s="312"/>
      <c r="H27" s="312"/>
      <c r="I27" s="312"/>
      <c r="J27" s="312"/>
      <c r="K27" s="326"/>
      <c r="L27" s="326"/>
      <c r="U27" s="326"/>
      <c r="V27" s="326"/>
      <c r="W27" s="326"/>
      <c r="X27" s="326"/>
      <c r="Y27" s="326"/>
      <c r="Z27" s="320"/>
      <c r="AA27" s="326"/>
      <c r="AB27" s="332"/>
      <c r="AE27" s="302"/>
      <c r="AF27" s="302"/>
      <c r="AG27" s="302"/>
      <c r="AH27" s="302"/>
      <c r="AI27" s="302"/>
      <c r="AJ27" s="320"/>
      <c r="AK27" s="311"/>
      <c r="AL27" s="311"/>
      <c r="AM27" s="311"/>
      <c r="AN27" s="333"/>
      <c r="AO27" s="333"/>
      <c r="AP27" s="333"/>
      <c r="AQ27" s="333"/>
      <c r="AR27" s="311"/>
      <c r="AS27" s="311"/>
      <c r="AT27" s="311"/>
      <c r="AU27" s="333"/>
      <c r="AV27" s="333"/>
      <c r="AW27" s="333"/>
      <c r="AX27" s="333"/>
      <c r="AY27" s="311"/>
      <c r="AZ27" s="311"/>
      <c r="BA27" s="311"/>
      <c r="BB27" s="333"/>
      <c r="BC27" s="333"/>
      <c r="BD27" s="333"/>
      <c r="BE27" s="333"/>
      <c r="BI27" s="638" t="s">
        <v>321</v>
      </c>
      <c r="BJ27" s="638">
        <v>2</v>
      </c>
      <c r="BK27" s="638" t="s">
        <v>320</v>
      </c>
      <c r="BL27" s="690">
        <v>0.22</v>
      </c>
      <c r="BM27" s="689">
        <v>0.22</v>
      </c>
      <c r="BN27" s="653">
        <f t="shared" ref="BN27:BN37" si="5">IF(BM27="","",BL27/BM27)</f>
        <v>1</v>
      </c>
      <c r="BO27" s="290"/>
      <c r="BP27" s="641">
        <v>0.995</v>
      </c>
      <c r="BQ27" s="690"/>
      <c r="BR27" s="689"/>
      <c r="BS27" s="653" t="str">
        <f t="shared" ref="BS27:BS37" si="6">IF(BR27="","",BQ27/BR27)</f>
        <v/>
      </c>
      <c r="BT27" s="290"/>
      <c r="BU27" s="641">
        <v>0.995</v>
      </c>
      <c r="BX27" s="666" t="str">
        <f t="shared" si="3"/>
        <v>Nov</v>
      </c>
      <c r="BY27" s="643">
        <f>IF(CB27=$CB38,SUMIF($BI26:$BI37,$BX27,$BR26:$BR37),SUMIF($BI26:$BI37,$BX27,$BM26:$BM37))</f>
        <v>0.22</v>
      </c>
      <c r="BZ27" s="641">
        <f>IF(IF(CB27=CB38,SUMIF(BI26:BI37,$BX27,BU26:BU37),SUMIF(BI26:BI37,$BX27,BP26:BP37))=0,NA(),IF(CB27=CB38,SUMIF(BI26:BI37,$BX27,BU26:BU37),SUMIF(BI26:BI37,$BX27,BP26:BP37)))</f>
        <v>0.995</v>
      </c>
      <c r="CA27" s="644">
        <f>IF(IF(CB27=CB38,SUMIF(BI26:BI37,$BX27,BS26:BS37),SUMIF(BI26:BI37,$BX27,BN26:BN37))=0,NA(),IF(CB27=CB38,SUMIF(BI26:BI37,$BX27,BS26:BS37),SUMIF(BI26:BI37,$BX27,BN26:BN37)))</f>
        <v>1</v>
      </c>
      <c r="CB27" s="645">
        <v>23</v>
      </c>
      <c r="CC27" s="645">
        <f t="shared" si="4"/>
        <v>11</v>
      </c>
    </row>
    <row r="28" spans="2:81" ht="15" customHeight="1">
      <c r="B28" s="267" t="s">
        <v>242</v>
      </c>
      <c r="C28" s="267"/>
      <c r="D28" s="267"/>
      <c r="E28" s="334"/>
      <c r="F28" s="326"/>
      <c r="G28" s="326"/>
      <c r="H28" s="326"/>
      <c r="I28" s="326"/>
      <c r="J28" s="326"/>
      <c r="K28" s="326"/>
      <c r="L28" s="326"/>
      <c r="M28" s="326"/>
      <c r="N28" s="326"/>
      <c r="O28" s="326"/>
      <c r="P28" s="326"/>
      <c r="Q28" s="326"/>
      <c r="R28" s="326"/>
      <c r="S28" s="326"/>
      <c r="T28" s="326"/>
      <c r="U28" s="326"/>
      <c r="V28" s="326"/>
      <c r="W28" s="326"/>
      <c r="X28" s="326"/>
      <c r="Y28" s="326"/>
      <c r="Z28" s="326"/>
      <c r="AA28" s="326"/>
      <c r="AB28" s="326"/>
      <c r="AE28" s="267" t="s">
        <v>242</v>
      </c>
      <c r="AF28" s="267"/>
      <c r="AG28" s="267"/>
      <c r="AH28" s="334"/>
      <c r="AI28" s="326"/>
      <c r="AJ28" s="326"/>
      <c r="AK28" s="326"/>
      <c r="AL28" s="326"/>
      <c r="AM28" s="326"/>
      <c r="AN28" s="326"/>
      <c r="AO28" s="326"/>
      <c r="AP28" s="326"/>
      <c r="AQ28" s="326"/>
      <c r="AR28" s="326"/>
      <c r="AS28" s="326"/>
      <c r="AT28" s="326"/>
      <c r="AU28" s="326"/>
      <c r="AV28" s="326"/>
      <c r="AW28" s="326"/>
      <c r="AX28" s="326"/>
      <c r="AY28" s="326"/>
      <c r="AZ28" s="326"/>
      <c r="BA28" s="326"/>
      <c r="BB28" s="326"/>
      <c r="BC28" s="326"/>
      <c r="BD28" s="326"/>
      <c r="BE28" s="326"/>
      <c r="BI28" s="638" t="s">
        <v>322</v>
      </c>
      <c r="BJ28" s="638">
        <v>3</v>
      </c>
      <c r="BK28" s="638" t="s">
        <v>320</v>
      </c>
      <c r="BL28" s="690">
        <v>0.254</v>
      </c>
      <c r="BM28" s="689">
        <v>0.254</v>
      </c>
      <c r="BN28" s="653">
        <f t="shared" si="5"/>
        <v>1</v>
      </c>
      <c r="BO28" s="290"/>
      <c r="BP28" s="641">
        <v>0.995</v>
      </c>
      <c r="BQ28" s="690"/>
      <c r="BR28" s="689"/>
      <c r="BS28" s="653" t="str">
        <f t="shared" si="6"/>
        <v/>
      </c>
      <c r="BT28" s="290"/>
      <c r="BU28" s="641">
        <v>0.995</v>
      </c>
      <c r="BX28" s="666" t="str">
        <f t="shared" si="3"/>
        <v>Dec</v>
      </c>
      <c r="BY28" s="643">
        <f>IF(CB28=$CB38,SUMIF($BI26:$BI37,$BX28,$BR26:$BR37),SUMIF($BI26:$BI37,$BX28,$BM26:$BM37))</f>
        <v>0.254</v>
      </c>
      <c r="BZ28" s="641">
        <f>IF(IF(CB28=CB38,SUMIF(BI26:BI37,$BX28,BU26:BU37),SUMIF(BI26:BI37,$BX28,BP26:BP37))=0,NA(),IF(CB28=CB38,SUMIF(BI26:BI37,$BX28,BU26:BU37),SUMIF(BI26:BI37,$BX28,BP26:BP37)))</f>
        <v>0.995</v>
      </c>
      <c r="CA28" s="644">
        <f>IF(IF(CB28=CB38,SUMIF(BI26:BI37,$BX28,BS26:BS37),SUMIF(BI26:BI37,$BX28,BN26:BN37))=0,NA(),IF(CB28=CB38,SUMIF(BI26:BI37,$BX28,BS26:BS37),SUMIF(BI26:BI37,$BX28,BN26:BN37)))</f>
        <v>1</v>
      </c>
      <c r="CB28" s="645">
        <v>23</v>
      </c>
      <c r="CC28" s="645">
        <f t="shared" si="4"/>
        <v>12</v>
      </c>
    </row>
    <row r="29" spans="2:81" ht="15" customHeight="1">
      <c r="B29" s="1137" t="s">
        <v>743</v>
      </c>
      <c r="C29" s="1138"/>
      <c r="D29" s="1138"/>
      <c r="E29" s="1138"/>
      <c r="F29" s="1138"/>
      <c r="G29" s="1138"/>
      <c r="H29" s="1138"/>
      <c r="I29" s="1138"/>
      <c r="J29" s="1138"/>
      <c r="K29" s="1138"/>
      <c r="L29" s="1138"/>
      <c r="M29" s="1138"/>
      <c r="N29" s="1138"/>
      <c r="O29" s="1138"/>
      <c r="P29" s="1138"/>
      <c r="Q29" s="1138"/>
      <c r="R29" s="1138"/>
      <c r="S29" s="1138"/>
      <c r="T29" s="1138"/>
      <c r="U29" s="1138"/>
      <c r="V29" s="1138"/>
      <c r="W29" s="1138"/>
      <c r="X29" s="1138"/>
      <c r="Y29" s="1138"/>
      <c r="Z29" s="1138"/>
      <c r="AA29" s="1138"/>
      <c r="AB29" s="1139"/>
      <c r="AE29" s="1137"/>
      <c r="AF29" s="1138"/>
      <c r="AG29" s="1138"/>
      <c r="AH29" s="1138"/>
      <c r="AI29" s="1138"/>
      <c r="AJ29" s="1138"/>
      <c r="AK29" s="1138"/>
      <c r="AL29" s="1138"/>
      <c r="AM29" s="1138"/>
      <c r="AN29" s="1138"/>
      <c r="AO29" s="1138"/>
      <c r="AP29" s="1138"/>
      <c r="AQ29" s="1138"/>
      <c r="AR29" s="1138"/>
      <c r="AS29" s="1138"/>
      <c r="AT29" s="1138"/>
      <c r="AU29" s="1138"/>
      <c r="AV29" s="1138"/>
      <c r="AW29" s="1138"/>
      <c r="AX29" s="1138"/>
      <c r="AY29" s="1138"/>
      <c r="AZ29" s="1138"/>
      <c r="BA29" s="1138"/>
      <c r="BB29" s="1138"/>
      <c r="BC29" s="1138"/>
      <c r="BD29" s="1138"/>
      <c r="BE29" s="1139"/>
      <c r="BI29" s="638" t="s">
        <v>323</v>
      </c>
      <c r="BJ29" s="638">
        <v>4</v>
      </c>
      <c r="BK29" s="638" t="s">
        <v>324</v>
      </c>
      <c r="BL29" s="690">
        <v>0.219</v>
      </c>
      <c r="BM29" s="690">
        <v>0.219</v>
      </c>
      <c r="BN29" s="653">
        <f t="shared" si="5"/>
        <v>1</v>
      </c>
      <c r="BO29" s="289">
        <f>IF(SUM(BM29:BM31=0),0,SUM(BL29:BL32)/SUM(BM29:BM32))</f>
        <v>1</v>
      </c>
      <c r="BP29" s="641">
        <v>0.995</v>
      </c>
      <c r="BQ29" s="690"/>
      <c r="BR29" s="690"/>
      <c r="BS29" s="653" t="str">
        <f t="shared" si="6"/>
        <v/>
      </c>
      <c r="BT29" s="289">
        <f>IF(SUM(BR29:BR31=0),0,SUM(BQ29:BQ32)/SUM(BR29:BR32))</f>
        <v>0</v>
      </c>
      <c r="BU29" s="641">
        <v>0.995</v>
      </c>
      <c r="BX29" s="666" t="str">
        <f t="shared" si="3"/>
        <v>Jan</v>
      </c>
      <c r="BY29" s="643">
        <f>IF(CB29=$CB38,SUMIF($BI26:$BI37,$BX29,$BR26:$BR37),SUMIF($BI26:$BI37,$BX29,$BM26:$BM37))</f>
        <v>0.219</v>
      </c>
      <c r="BZ29" s="641">
        <f>IF(IF(CB29=CB38,SUMIF(BI26:BI37,$BX29,BU26:BU37),SUMIF(BI26:BI37,$BX29,BP26:BP37))=0,NA(),IF(CB29=CB38,SUMIF(BI26:BI37,$BX29,BU26:BU37),SUMIF(BI26:BI37,$BX29,BP26:BP37)))</f>
        <v>0.995</v>
      </c>
      <c r="CA29" s="644">
        <f>IF(IF(CB29=CB38,SUMIF(BI26:BI37,$BX29,BS26:BS37),SUMIF(BI26:BI37,$BX29,BN26:BN37))=0,NA(),IF(CB29=CB38,SUMIF(BI26:BI37,$BX29,BS26:BS37),SUMIF(BI26:BI37,$BX29,BN26:BN37)))</f>
        <v>1</v>
      </c>
      <c r="CB29" s="645">
        <v>23</v>
      </c>
      <c r="CC29" s="645">
        <f t="shared" si="4"/>
        <v>1</v>
      </c>
    </row>
    <row r="30" spans="2:81" ht="15" customHeight="1">
      <c r="B30" s="1140"/>
      <c r="C30" s="1141"/>
      <c r="D30" s="1141"/>
      <c r="E30" s="1141"/>
      <c r="F30" s="1141"/>
      <c r="G30" s="1141"/>
      <c r="H30" s="1141"/>
      <c r="I30" s="1141"/>
      <c r="J30" s="1141"/>
      <c r="K30" s="1141"/>
      <c r="L30" s="1141"/>
      <c r="M30" s="1141"/>
      <c r="N30" s="1141"/>
      <c r="O30" s="1141"/>
      <c r="P30" s="1141"/>
      <c r="Q30" s="1141"/>
      <c r="R30" s="1141"/>
      <c r="S30" s="1141"/>
      <c r="T30" s="1141"/>
      <c r="U30" s="1141"/>
      <c r="V30" s="1141"/>
      <c r="W30" s="1141"/>
      <c r="X30" s="1141"/>
      <c r="Y30" s="1141"/>
      <c r="Z30" s="1141"/>
      <c r="AA30" s="1141"/>
      <c r="AB30" s="1142"/>
      <c r="AE30" s="1140"/>
      <c r="AF30" s="1141"/>
      <c r="AG30" s="1141"/>
      <c r="AH30" s="1141"/>
      <c r="AI30" s="1141"/>
      <c r="AJ30" s="1141"/>
      <c r="AK30" s="1141"/>
      <c r="AL30" s="1141"/>
      <c r="AM30" s="1141"/>
      <c r="AN30" s="1141"/>
      <c r="AO30" s="1141"/>
      <c r="AP30" s="1141"/>
      <c r="AQ30" s="1141"/>
      <c r="AR30" s="1141"/>
      <c r="AS30" s="1141"/>
      <c r="AT30" s="1141"/>
      <c r="AU30" s="1141"/>
      <c r="AV30" s="1141"/>
      <c r="AW30" s="1141"/>
      <c r="AX30" s="1141"/>
      <c r="AY30" s="1141"/>
      <c r="AZ30" s="1141"/>
      <c r="BA30" s="1141"/>
      <c r="BB30" s="1141"/>
      <c r="BC30" s="1141"/>
      <c r="BD30" s="1141"/>
      <c r="BE30" s="1142"/>
      <c r="BI30" s="638" t="s">
        <v>325</v>
      </c>
      <c r="BJ30" s="638">
        <v>5</v>
      </c>
      <c r="BK30" s="638" t="s">
        <v>324</v>
      </c>
      <c r="BL30" s="690">
        <v>0.23599999999999999</v>
      </c>
      <c r="BM30" s="822">
        <v>0.23599999999999999</v>
      </c>
      <c r="BN30" s="653">
        <f t="shared" si="5"/>
        <v>1</v>
      </c>
      <c r="BO30" s="290"/>
      <c r="BP30" s="641">
        <v>0.995</v>
      </c>
      <c r="BQ30" s="690"/>
      <c r="BR30" s="822"/>
      <c r="BS30" s="653" t="str">
        <f t="shared" si="6"/>
        <v/>
      </c>
      <c r="BT30" s="290"/>
      <c r="BU30" s="641">
        <v>0.995</v>
      </c>
      <c r="BX30" s="666" t="str">
        <f t="shared" si="3"/>
        <v>Feb</v>
      </c>
      <c r="BY30" s="643">
        <f>IF(CB30=$CB38,SUMIF($BI26:$BI37,$BX30,$BR26:$BR37),SUMIF($BI26:$BI37,$BX30,$BM26:$BM37))</f>
        <v>0.23599999999999999</v>
      </c>
      <c r="BZ30" s="641">
        <f>IF(IF(CB30=CB38,SUMIF(BI26:BI37,$BX30,BU26:BU37),SUMIF(BI26:BI37,$BX30,BP26:BP37))=0,NA(),IF(CB30=CB38,SUMIF(BI26:BI37,$BX30,BU26:BU37),SUMIF(BI26:BI37,$BX30,BP26:BP37)))</f>
        <v>0.995</v>
      </c>
      <c r="CA30" s="644">
        <f>IF(IF(CB30=CB38,SUMIF(BI26:BI37,$BX30,BS26:BS37),SUMIF(BI26:BI37,$BX30,BN26:BN37))=0,NA(),IF(CB30=CB38,SUMIF(BI26:BI37,$BX30,BS26:BS37),SUMIF(BI26:BI37,$BX30,BN26:BN37)))</f>
        <v>1</v>
      </c>
      <c r="CB30" s="645">
        <v>23</v>
      </c>
      <c r="CC30" s="645">
        <f t="shared" si="4"/>
        <v>2</v>
      </c>
    </row>
    <row r="31" spans="2:81" ht="15" customHeight="1">
      <c r="B31" s="1140"/>
      <c r="C31" s="1141"/>
      <c r="D31" s="1141"/>
      <c r="E31" s="1141"/>
      <c r="F31" s="1141"/>
      <c r="G31" s="1141"/>
      <c r="H31" s="1141"/>
      <c r="I31" s="1141"/>
      <c r="J31" s="1141"/>
      <c r="K31" s="1141"/>
      <c r="L31" s="1141"/>
      <c r="M31" s="1141"/>
      <c r="N31" s="1141"/>
      <c r="O31" s="1141"/>
      <c r="P31" s="1141"/>
      <c r="Q31" s="1141"/>
      <c r="R31" s="1141"/>
      <c r="S31" s="1141"/>
      <c r="T31" s="1141"/>
      <c r="U31" s="1141"/>
      <c r="V31" s="1141"/>
      <c r="W31" s="1141"/>
      <c r="X31" s="1141"/>
      <c r="Y31" s="1141"/>
      <c r="Z31" s="1141"/>
      <c r="AA31" s="1141"/>
      <c r="AB31" s="1142"/>
      <c r="AE31" s="1140"/>
      <c r="AF31" s="1141"/>
      <c r="AG31" s="1141"/>
      <c r="AH31" s="1141"/>
      <c r="AI31" s="1141"/>
      <c r="AJ31" s="1141"/>
      <c r="AK31" s="1141"/>
      <c r="AL31" s="1141"/>
      <c r="AM31" s="1141"/>
      <c r="AN31" s="1141"/>
      <c r="AO31" s="1141"/>
      <c r="AP31" s="1141"/>
      <c r="AQ31" s="1141"/>
      <c r="AR31" s="1141"/>
      <c r="AS31" s="1141"/>
      <c r="AT31" s="1141"/>
      <c r="AU31" s="1141"/>
      <c r="AV31" s="1141"/>
      <c r="AW31" s="1141"/>
      <c r="AX31" s="1141"/>
      <c r="AY31" s="1141"/>
      <c r="AZ31" s="1141"/>
      <c r="BA31" s="1141"/>
      <c r="BB31" s="1141"/>
      <c r="BC31" s="1141"/>
      <c r="BD31" s="1141"/>
      <c r="BE31" s="1142"/>
      <c r="BI31" s="638" t="s">
        <v>326</v>
      </c>
      <c r="BJ31" s="638">
        <v>6</v>
      </c>
      <c r="BK31" s="638" t="s">
        <v>324</v>
      </c>
      <c r="BL31" s="690">
        <v>0.26</v>
      </c>
      <c r="BM31" s="822">
        <v>0.26</v>
      </c>
      <c r="BN31" s="653">
        <f t="shared" si="5"/>
        <v>1</v>
      </c>
      <c r="BO31" s="290"/>
      <c r="BP31" s="641">
        <v>0.995</v>
      </c>
      <c r="BQ31" s="690"/>
      <c r="BR31" s="690"/>
      <c r="BS31" s="653" t="str">
        <f t="shared" si="6"/>
        <v/>
      </c>
      <c r="BT31" s="290"/>
      <c r="BU31" s="641">
        <v>0.995</v>
      </c>
      <c r="BX31" s="666" t="str">
        <f t="shared" si="3"/>
        <v>Mar</v>
      </c>
      <c r="BY31" s="643">
        <f>IF(CB31=$CB38,SUMIF($BI26:$BI37,$BX31,$BR26:$BR37),SUMIF($BI26:$BI37,$BX31,$BM26:$BM37))</f>
        <v>0.26</v>
      </c>
      <c r="BZ31" s="641">
        <f>IF(IF(CB31=CB38,SUMIF(BI26:BI37,$BX31,BU26:BU37),SUMIF(BI26:BI37,$BX31,BP26:BP37))=0,NA(),IF(CB31=CB38,SUMIF(BI26:BI37,$BX31,BU26:BU37),SUMIF(BI26:BI37,$BX31,BP26:BP37)))</f>
        <v>0.995</v>
      </c>
      <c r="CA31" s="644">
        <f>IF(IF(CB31=CB38,SUMIF(BI26:BI37,$BX31,BS26:BS37),SUMIF(BI26:BI37,$BX31,BN26:BN37))=0,NA(),IF(CB31=CB38,SUMIF(BI26:BI37,$BX31,BS26:BS37),SUMIF(BI26:BI37,$BX31,BN26:BN37)))</f>
        <v>1</v>
      </c>
      <c r="CB31" s="645">
        <v>23</v>
      </c>
      <c r="CC31" s="645">
        <f t="shared" si="4"/>
        <v>3</v>
      </c>
    </row>
    <row r="32" spans="2:81" ht="15" customHeight="1">
      <c r="B32" s="1143"/>
      <c r="C32" s="1144"/>
      <c r="D32" s="1144"/>
      <c r="E32" s="1144"/>
      <c r="F32" s="1144"/>
      <c r="G32" s="1144"/>
      <c r="H32" s="1144"/>
      <c r="I32" s="1144"/>
      <c r="J32" s="1144"/>
      <c r="K32" s="1144"/>
      <c r="L32" s="1144"/>
      <c r="M32" s="1144"/>
      <c r="N32" s="1144"/>
      <c r="O32" s="1144"/>
      <c r="P32" s="1144"/>
      <c r="Q32" s="1144"/>
      <c r="R32" s="1144"/>
      <c r="S32" s="1144"/>
      <c r="T32" s="1144"/>
      <c r="U32" s="1144"/>
      <c r="V32" s="1144"/>
      <c r="W32" s="1144"/>
      <c r="X32" s="1144"/>
      <c r="Y32" s="1144"/>
      <c r="Z32" s="1144"/>
      <c r="AA32" s="1144"/>
      <c r="AB32" s="1145"/>
      <c r="AE32" s="1143"/>
      <c r="AF32" s="1144"/>
      <c r="AG32" s="1144"/>
      <c r="AH32" s="1144"/>
      <c r="AI32" s="1144"/>
      <c r="AJ32" s="1144"/>
      <c r="AK32" s="1144"/>
      <c r="AL32" s="1144"/>
      <c r="AM32" s="1144"/>
      <c r="AN32" s="1144"/>
      <c r="AO32" s="1144"/>
      <c r="AP32" s="1144"/>
      <c r="AQ32" s="1144"/>
      <c r="AR32" s="1144"/>
      <c r="AS32" s="1144"/>
      <c r="AT32" s="1144"/>
      <c r="AU32" s="1144"/>
      <c r="AV32" s="1144"/>
      <c r="AW32" s="1144"/>
      <c r="AX32" s="1144"/>
      <c r="AY32" s="1144"/>
      <c r="AZ32" s="1144"/>
      <c r="BA32" s="1144"/>
      <c r="BB32" s="1144"/>
      <c r="BC32" s="1144"/>
      <c r="BD32" s="1144"/>
      <c r="BE32" s="1145"/>
      <c r="BI32" s="638" t="s">
        <v>327</v>
      </c>
      <c r="BJ32" s="638">
        <v>7</v>
      </c>
      <c r="BK32" s="638" t="s">
        <v>328</v>
      </c>
      <c r="BL32" s="690">
        <v>0.20300000000000001</v>
      </c>
      <c r="BM32" s="822">
        <v>0.20300000000000001</v>
      </c>
      <c r="BN32" s="653">
        <f t="shared" si="5"/>
        <v>1</v>
      </c>
      <c r="BO32" s="289">
        <f>IF(SUM(BM32:BM34=0),0,SUM(BL32:BL35)/SUM(BM32:BM35))</f>
        <v>1</v>
      </c>
      <c r="BP32" s="641">
        <v>0.995</v>
      </c>
      <c r="BQ32" s="690"/>
      <c r="BR32" s="690"/>
      <c r="BS32" s="653" t="str">
        <f t="shared" si="6"/>
        <v/>
      </c>
      <c r="BT32" s="289">
        <f>IF(SUM(BR32:BR34=0),0,SUM(BQ32:BQ35)/SUM(BR32:BR35))</f>
        <v>0</v>
      </c>
      <c r="BU32" s="641">
        <v>0.995</v>
      </c>
      <c r="BX32" s="666" t="str">
        <f t="shared" si="3"/>
        <v>Apr</v>
      </c>
      <c r="BY32" s="643">
        <f>IF(CB32=$CB38,SUMIF($BI26:$BI37,$BX32,$BR26:$BR37),SUMIF($BI26:$BI37,$BX32,$BM26:$BM37))</f>
        <v>0.20300000000000001</v>
      </c>
      <c r="BZ32" s="641">
        <f>IF(IF(CB32=CB38,SUMIF(BI26:BI37,$BX32,BU26:BU37),SUMIF(BI26:BI37,$BX32,BP26:BP37))=0,NA(),IF(CB32=CB38,SUMIF(BI26:BI37,$BX32,BU26:BU37),SUMIF(BI26:BI37,$BX32,BP26:BP37)))</f>
        <v>0.995</v>
      </c>
      <c r="CA32" s="644">
        <f>IF(IF(CB32=CB38,SUMIF(BI26:BI37,$BX32,BS26:BS37),SUMIF(BI26:BI37,$BX32,BN26:BN37))=0,NA(),IF(CB32=CB38,SUMIF(BI26:BI37,$BX32,BS26:BS37),SUMIF(BI26:BI37,$BX32,BN26:BN37)))</f>
        <v>1</v>
      </c>
      <c r="CB32" s="645">
        <v>23</v>
      </c>
      <c r="CC32" s="645">
        <f t="shared" si="4"/>
        <v>4</v>
      </c>
    </row>
    <row r="33" spans="1:81" ht="15" customHeight="1">
      <c r="BI33" s="638" t="s">
        <v>329</v>
      </c>
      <c r="BJ33" s="638">
        <v>8</v>
      </c>
      <c r="BK33" s="638" t="s">
        <v>328</v>
      </c>
      <c r="BL33" s="690">
        <v>0.189</v>
      </c>
      <c r="BM33" s="822">
        <v>0.189</v>
      </c>
      <c r="BN33" s="653">
        <f t="shared" si="5"/>
        <v>1</v>
      </c>
      <c r="BO33" s="290"/>
      <c r="BP33" s="641">
        <v>0.995</v>
      </c>
      <c r="BQ33" s="690"/>
      <c r="BR33" s="822"/>
      <c r="BS33" s="653" t="str">
        <f t="shared" si="6"/>
        <v/>
      </c>
      <c r="BT33" s="290"/>
      <c r="BU33" s="641">
        <v>0.995</v>
      </c>
      <c r="BX33" s="666" t="str">
        <f t="shared" si="3"/>
        <v>May</v>
      </c>
      <c r="BY33" s="643">
        <f>IF(CB33=$CB38,SUMIF($BI26:$BI37,$BX33,$BR26:$BR37),SUMIF($BI26:$BI37,$BX33,$BM26:$BM37))</f>
        <v>0.189</v>
      </c>
      <c r="BZ33" s="641">
        <f>IF(IF(CB33=CB38,SUMIF(BI26:BI37,$BX33,BU26:BU37),SUMIF(BI26:BI37,$BX33,BP26:BP37))=0,NA(),IF(CB33=CB38,SUMIF(BI26:BI37,$BX33,BU26:BU37),SUMIF(BI26:BI37,$BX33,BP26:BP37)))</f>
        <v>0.995</v>
      </c>
      <c r="CA33" s="644">
        <f>IF(IF(CB33=CB38,SUMIF(BI26:BI37,$BX33,BS26:BS37),SUMIF(BI26:BI37,$BX33,BN26:BN37))=0,NA(),IF(CB33=CB38,SUMIF(BI26:BI37,$BX33,BS26:BS37),SUMIF(BI26:BI37,$BX33,BN26:BN37)))</f>
        <v>1</v>
      </c>
      <c r="CB33" s="645">
        <v>23</v>
      </c>
      <c r="CC33" s="645">
        <f t="shared" si="4"/>
        <v>5</v>
      </c>
    </row>
    <row r="34" spans="1:81" ht="15" customHeight="1">
      <c r="B34" s="541" t="s">
        <v>330</v>
      </c>
      <c r="C34" s="542"/>
      <c r="D34" s="542"/>
      <c r="E34" s="542"/>
      <c r="F34" s="542"/>
      <c r="G34" s="543"/>
      <c r="H34" s="543"/>
      <c r="I34" s="543"/>
      <c r="J34" s="543"/>
      <c r="K34" s="543"/>
      <c r="L34" s="545"/>
      <c r="M34" s="542"/>
      <c r="N34" s="542"/>
      <c r="O34" s="532"/>
      <c r="P34" s="532"/>
      <c r="Q34" s="532"/>
      <c r="R34" s="532"/>
      <c r="S34" s="532"/>
      <c r="T34" s="532"/>
      <c r="U34" s="532"/>
      <c r="V34" s="532"/>
      <c r="W34" s="532"/>
      <c r="X34" s="532"/>
      <c r="Y34" s="532"/>
      <c r="Z34" s="532"/>
      <c r="AA34" s="532"/>
      <c r="AB34" s="532"/>
      <c r="AC34" s="532"/>
      <c r="AD34" s="532"/>
      <c r="AE34" s="532"/>
      <c r="AF34" s="532"/>
      <c r="AG34" s="532"/>
      <c r="AH34" s="532"/>
      <c r="AI34" s="532"/>
      <c r="AJ34" s="532"/>
      <c r="AK34" s="532"/>
      <c r="AL34" s="532"/>
      <c r="AM34" s="532"/>
      <c r="AN34" s="532"/>
      <c r="AO34" s="532"/>
      <c r="AP34" s="532"/>
      <c r="AQ34" s="532"/>
      <c r="AR34" s="532"/>
      <c r="AS34" s="532"/>
      <c r="AT34" s="532"/>
      <c r="AU34" s="532"/>
      <c r="AV34" s="532"/>
      <c r="AW34" s="532"/>
      <c r="AX34" s="532"/>
      <c r="AY34" s="532"/>
      <c r="AZ34" s="532"/>
      <c r="BA34" s="532"/>
      <c r="BB34" s="532"/>
      <c r="BC34" s="532"/>
      <c r="BD34" s="532"/>
      <c r="BE34" s="532"/>
      <c r="BI34" s="638" t="s">
        <v>331</v>
      </c>
      <c r="BJ34" s="638">
        <v>9</v>
      </c>
      <c r="BK34" s="638" t="s">
        <v>328</v>
      </c>
      <c r="BL34" s="690">
        <v>0.217</v>
      </c>
      <c r="BM34" s="822">
        <v>0.217</v>
      </c>
      <c r="BN34" s="653">
        <f t="shared" si="5"/>
        <v>1</v>
      </c>
      <c r="BO34" s="290"/>
      <c r="BP34" s="641">
        <v>0.995</v>
      </c>
      <c r="BQ34" s="690"/>
      <c r="BR34" s="822"/>
      <c r="BS34" s="653" t="str">
        <f t="shared" si="6"/>
        <v/>
      </c>
      <c r="BT34" s="290"/>
      <c r="BU34" s="641">
        <v>0.995</v>
      </c>
      <c r="BX34" s="666" t="str">
        <f t="shared" si="3"/>
        <v>Jun</v>
      </c>
      <c r="BY34" s="643">
        <f>IF(CB34=$CB38,SUMIF($BI26:$BI37,$BX34,$BR26:$BR37),SUMIF($BI26:$BI37,$BX34,$BM26:$BM37))</f>
        <v>0.217</v>
      </c>
      <c r="BZ34" s="641">
        <f>IF(IF(CB34=CB38,SUMIF(BI26:BI37,$BX34,BU26:BU37),SUMIF(BI26:BI37,$BX34,BP26:BP37))=0,NA(),IF(CB34=CB38,SUMIF(BI26:BI37,$BX34,BU26:BU37),SUMIF(BI26:BI37,$BX34,BP26:BP37)))</f>
        <v>0.995</v>
      </c>
      <c r="CA34" s="644">
        <f>IF(IF(CB34=CB38,SUMIF(BI26:BI37,$BX34,BS26:BS37),SUMIF(BI26:BI37,$BX34,BN26:BN37))=0,NA(),IF(CB34=CB38,SUMIF(BI26:BI37,$BX34,BS26:BS37),SUMIF(BI26:BI37,$BX34,BN26:BN37)))</f>
        <v>1</v>
      </c>
      <c r="CB34" s="645">
        <v>23</v>
      </c>
      <c r="CC34" s="645">
        <f t="shared" si="4"/>
        <v>6</v>
      </c>
    </row>
    <row r="35" spans="1:81" s="19" customFormat="1" ht="15" customHeight="1">
      <c r="B35" s="1124" t="s">
        <v>332</v>
      </c>
      <c r="C35" s="1124"/>
      <c r="D35" s="1124"/>
      <c r="E35" s="1124"/>
      <c r="F35" s="1124"/>
      <c r="G35" s="1124"/>
      <c r="H35" s="1124"/>
      <c r="I35" s="1124"/>
      <c r="J35" s="1124"/>
      <c r="K35" s="1124" t="s">
        <v>335</v>
      </c>
      <c r="L35" s="1124"/>
      <c r="M35" s="1124"/>
      <c r="N35" s="1124"/>
      <c r="O35" s="1124"/>
      <c r="P35" s="1124"/>
      <c r="Q35" s="1123" t="s">
        <v>713</v>
      </c>
      <c r="R35" s="1123"/>
      <c r="S35" s="1123"/>
      <c r="T35" s="1124" t="s">
        <v>712</v>
      </c>
      <c r="U35" s="1124"/>
      <c r="V35" s="1124"/>
      <c r="W35" s="1124"/>
      <c r="X35" s="1124"/>
      <c r="Y35" s="1124"/>
      <c r="Z35" s="1124"/>
      <c r="AA35" s="1124"/>
      <c r="AB35" s="1124"/>
      <c r="AC35" s="1153" t="s">
        <v>336</v>
      </c>
      <c r="AD35" s="1154"/>
      <c r="AE35" s="1154"/>
      <c r="AF35" s="1154"/>
      <c r="AG35" s="1154"/>
      <c r="AH35" s="1154"/>
      <c r="AI35" s="1154"/>
      <c r="AJ35" s="1154"/>
      <c r="AK35" s="1154"/>
      <c r="AL35" s="1154"/>
      <c r="AM35" s="1154"/>
      <c r="AN35" s="1154"/>
      <c r="AO35" s="1154"/>
      <c r="AP35" s="1154"/>
      <c r="AQ35" s="1154"/>
      <c r="AR35" s="1154"/>
      <c r="AS35" s="1154"/>
      <c r="AT35" s="1154"/>
      <c r="AU35" s="1154"/>
      <c r="AV35" s="1154"/>
      <c r="AW35" s="1154"/>
      <c r="AX35" s="1154"/>
      <c r="AY35" s="1154"/>
      <c r="AZ35" s="1154"/>
      <c r="BA35" s="1154"/>
      <c r="BB35" s="1154"/>
      <c r="BC35" s="1154"/>
      <c r="BD35" s="1154"/>
      <c r="BE35" s="1155"/>
      <c r="BH35" s="223"/>
      <c r="BI35" s="638" t="s">
        <v>337</v>
      </c>
      <c r="BJ35" s="638">
        <v>10</v>
      </c>
      <c r="BK35" s="638" t="s">
        <v>338</v>
      </c>
      <c r="BL35" s="690">
        <v>0.20200000000000001</v>
      </c>
      <c r="BM35" s="690">
        <v>0.20200000000000001</v>
      </c>
      <c r="BN35" s="653">
        <f t="shared" si="5"/>
        <v>1</v>
      </c>
      <c r="BO35" s="289">
        <f>IF(SUM(BM35:BM37=0),0,SUM(BL35:BL37)/SUM(BM35:BM37))</f>
        <v>1</v>
      </c>
      <c r="BP35" s="641">
        <v>0.995</v>
      </c>
      <c r="BQ35" s="690"/>
      <c r="BR35" s="690"/>
      <c r="BS35" s="653" t="str">
        <f t="shared" si="6"/>
        <v/>
      </c>
      <c r="BT35" s="289">
        <f>IF(SUM(BR35:BR37=0),0,SUM(BQ35:BQ38)/SUM(BR35:BR38))</f>
        <v>0</v>
      </c>
      <c r="BU35" s="641">
        <v>0.995</v>
      </c>
      <c r="BV35" s="270"/>
      <c r="BW35" s="6"/>
      <c r="BX35" s="666" t="str">
        <f t="shared" si="3"/>
        <v>Jul</v>
      </c>
      <c r="BY35" s="643">
        <f>IF(CB35=$CB38,SUMIF($BI26:$BI37,$BX35,$BR26:$BR37),SUMIF($BI26:$BI37,$BX35,$BM26:$BM37))</f>
        <v>0.20200000000000001</v>
      </c>
      <c r="BZ35" s="641">
        <f>IF(IF(CB35=CB38,SUMIF(BI26:BI37,$BX35,BU26:BU37),SUMIF(BI26:BI37,$BX35,BP26:BP37))=0,NA(),IF(CB35=CB38,SUMIF(BI26:BI37,$BX35,BU26:BU37),SUMIF(BI26:BI37,$BX35,BP26:BP37)))</f>
        <v>0.995</v>
      </c>
      <c r="CA35" s="644">
        <f>IF(IF(CB35=CB38,SUMIF(BI26:BI37,$BX35,BS26:BS37),SUMIF(BI26:BI37,$BX35,BN26:BN37))=0,NA(),IF(CB35=CB38,SUMIF(BI26:BI37,$BX35,BS26:BS37),SUMIF(BI26:BI37,$BX35,BN26:BN37)))</f>
        <v>1</v>
      </c>
      <c r="CB35" s="645">
        <v>23</v>
      </c>
      <c r="CC35" s="645">
        <f t="shared" si="4"/>
        <v>7</v>
      </c>
    </row>
    <row r="36" spans="1:81" ht="15" customHeight="1">
      <c r="B36" s="1124"/>
      <c r="C36" s="1124"/>
      <c r="D36" s="1124"/>
      <c r="E36" s="1124"/>
      <c r="F36" s="1124"/>
      <c r="G36" s="1124"/>
      <c r="H36" s="1124"/>
      <c r="I36" s="1124"/>
      <c r="J36" s="1124"/>
      <c r="K36" s="1124" t="s">
        <v>23</v>
      </c>
      <c r="L36" s="1124"/>
      <c r="M36" s="1124"/>
      <c r="N36" s="1124" t="s">
        <v>339</v>
      </c>
      <c r="O36" s="1124"/>
      <c r="P36" s="1124"/>
      <c r="Q36" s="1123"/>
      <c r="R36" s="1123"/>
      <c r="S36" s="1123"/>
      <c r="T36" s="1123" t="s">
        <v>340</v>
      </c>
      <c r="U36" s="1123"/>
      <c r="V36" s="1123"/>
      <c r="W36" s="1123" t="s">
        <v>341</v>
      </c>
      <c r="X36" s="1123"/>
      <c r="Y36" s="1123"/>
      <c r="Z36" s="1123" t="s">
        <v>342</v>
      </c>
      <c r="AA36" s="1123"/>
      <c r="AB36" s="1123"/>
      <c r="AC36" s="1156"/>
      <c r="AD36" s="1157"/>
      <c r="AE36" s="1157"/>
      <c r="AF36" s="1157"/>
      <c r="AG36" s="1157"/>
      <c r="AH36" s="1157"/>
      <c r="AI36" s="1157"/>
      <c r="AJ36" s="1157"/>
      <c r="AK36" s="1157"/>
      <c r="AL36" s="1157"/>
      <c r="AM36" s="1157"/>
      <c r="AN36" s="1157"/>
      <c r="AO36" s="1157"/>
      <c r="AP36" s="1157"/>
      <c r="AQ36" s="1157"/>
      <c r="AR36" s="1157"/>
      <c r="AS36" s="1157"/>
      <c r="AT36" s="1157"/>
      <c r="AU36" s="1157"/>
      <c r="AV36" s="1157"/>
      <c r="AW36" s="1157"/>
      <c r="AX36" s="1157"/>
      <c r="AY36" s="1157"/>
      <c r="AZ36" s="1157"/>
      <c r="BA36" s="1157"/>
      <c r="BB36" s="1157"/>
      <c r="BC36" s="1157"/>
      <c r="BD36" s="1157"/>
      <c r="BE36" s="1158"/>
      <c r="BH36" s="223"/>
      <c r="BI36" s="638" t="s">
        <v>343</v>
      </c>
      <c r="BJ36" s="638">
        <v>11</v>
      </c>
      <c r="BK36" s="638" t="s">
        <v>338</v>
      </c>
      <c r="BL36" s="690">
        <v>0.193</v>
      </c>
      <c r="BM36" s="690">
        <v>0.193</v>
      </c>
      <c r="BN36" s="653">
        <f t="shared" si="5"/>
        <v>1</v>
      </c>
      <c r="BO36" s="290"/>
      <c r="BP36" s="641">
        <v>0.995</v>
      </c>
      <c r="BQ36" s="690"/>
      <c r="BR36" s="690"/>
      <c r="BS36" s="653" t="str">
        <f t="shared" si="6"/>
        <v/>
      </c>
      <c r="BT36" s="290"/>
      <c r="BU36" s="641">
        <v>0.995</v>
      </c>
      <c r="BX36" s="666" t="str">
        <f t="shared" si="3"/>
        <v>Aug</v>
      </c>
      <c r="BY36" s="643">
        <f>IF(CB36=$CB38,SUMIF($BI26:$BI37,$BX36,$BR26:$BR37),SUMIF($BI26:$BI37,$BX36,$BM26:$BM37))</f>
        <v>0.193</v>
      </c>
      <c r="BZ36" s="641">
        <f>IF(IF(CB36=CB38,SUMIF(BI26:BI37,$BX36,BU26:BU37),SUMIF(BI26:BI37,$BX36,BP26:BP37))=0,NA(),IF(CB36=CB38,SUMIF(BI26:BI37,$BX36,BU26:BU37),SUMIF(BI26:BI37,$BX36,BP26:BP37)))</f>
        <v>0.995</v>
      </c>
      <c r="CA36" s="644">
        <f>IF(IF(CB36=CB38,SUMIF(BI26:BI37,$BX36,BS26:BS37),SUMIF(BI26:BI37,$BX36,BN26:BN37))=0,NA(),IF(CB36=CB38,SUMIF(BI26:BI37,$BX36,BS26:BS37),SUMIF(BI26:BI37,$BX36,BN26:BN37)))</f>
        <v>1</v>
      </c>
      <c r="CB36" s="645">
        <v>23</v>
      </c>
      <c r="CC36" s="645">
        <f t="shared" si="4"/>
        <v>8</v>
      </c>
    </row>
    <row r="37" spans="1:81" ht="15" customHeight="1">
      <c r="B37" s="1124"/>
      <c r="C37" s="1124"/>
      <c r="D37" s="1124"/>
      <c r="E37" s="1124"/>
      <c r="F37" s="1124"/>
      <c r="G37" s="1124"/>
      <c r="H37" s="1124"/>
      <c r="I37" s="1124"/>
      <c r="J37" s="1124"/>
      <c r="K37" s="1124"/>
      <c r="L37" s="1124"/>
      <c r="M37" s="1124"/>
      <c r="N37" s="1124"/>
      <c r="O37" s="1124"/>
      <c r="P37" s="1124"/>
      <c r="Q37" s="1123"/>
      <c r="R37" s="1123"/>
      <c r="S37" s="1123"/>
      <c r="T37" s="1123"/>
      <c r="U37" s="1123"/>
      <c r="V37" s="1123"/>
      <c r="W37" s="1123"/>
      <c r="X37" s="1123"/>
      <c r="Y37" s="1123"/>
      <c r="Z37" s="1123"/>
      <c r="AA37" s="1123"/>
      <c r="AB37" s="1123"/>
      <c r="AC37" s="1159"/>
      <c r="AD37" s="1160"/>
      <c r="AE37" s="1160"/>
      <c r="AF37" s="1160"/>
      <c r="AG37" s="1160"/>
      <c r="AH37" s="1160"/>
      <c r="AI37" s="1160"/>
      <c r="AJ37" s="1160"/>
      <c r="AK37" s="1160"/>
      <c r="AL37" s="1160"/>
      <c r="AM37" s="1160"/>
      <c r="AN37" s="1160"/>
      <c r="AO37" s="1160"/>
      <c r="AP37" s="1160"/>
      <c r="AQ37" s="1160"/>
      <c r="AR37" s="1160"/>
      <c r="AS37" s="1160"/>
      <c r="AT37" s="1160"/>
      <c r="AU37" s="1160"/>
      <c r="AV37" s="1160"/>
      <c r="AW37" s="1160"/>
      <c r="AX37" s="1160"/>
      <c r="AY37" s="1160"/>
      <c r="AZ37" s="1160"/>
      <c r="BA37" s="1160"/>
      <c r="BB37" s="1160"/>
      <c r="BC37" s="1160"/>
      <c r="BD37" s="1160"/>
      <c r="BE37" s="1161"/>
      <c r="BH37" s="223"/>
      <c r="BI37" s="638" t="s">
        <v>344</v>
      </c>
      <c r="BJ37" s="638">
        <v>12</v>
      </c>
      <c r="BK37" s="638" t="s">
        <v>338</v>
      </c>
      <c r="BL37" s="690">
        <v>0.249</v>
      </c>
      <c r="BM37" s="822">
        <v>0.249</v>
      </c>
      <c r="BN37" s="653">
        <f t="shared" si="5"/>
        <v>1</v>
      </c>
      <c r="BO37" s="290"/>
      <c r="BP37" s="641">
        <v>0.995</v>
      </c>
      <c r="BQ37" s="690"/>
      <c r="BR37" s="822"/>
      <c r="BS37" s="653" t="str">
        <f t="shared" si="6"/>
        <v/>
      </c>
      <c r="BT37" s="290"/>
      <c r="BU37" s="641">
        <v>0.995</v>
      </c>
      <c r="BX37" s="666" t="str">
        <f t="shared" si="3"/>
        <v>Sep</v>
      </c>
      <c r="BY37" s="643">
        <f>IF(CB37=$CB38,SUMIF($BI26:$BI37,$BX37,$BR26:$BR37),SUMIF($BI26:$BI37,$BX37,$BM26:$BM37))</f>
        <v>0.249</v>
      </c>
      <c r="BZ37" s="641">
        <f>IF(IF(CB37=CB38,SUMIF(BI26:BI37,$BX37,BU26:BU37),SUMIF(BI26:BI37,$BX37,BP26:BP37))=0,NA(),IF(CB37=CB38,SUMIF(BI26:BI37,$BX37,BU26:BU37),SUMIF(BI26:BI37,$BX37,BP26:BP37)))</f>
        <v>0.995</v>
      </c>
      <c r="CA37" s="644">
        <f>IF(IF(CB37=CB38,SUMIF(BI26:BI37,$BX37,BS26:BS37),SUMIF(BI26:BI37,$BX37,BN26:BN37))=0,NA(),IF(CB37=CB38,SUMIF(BI26:BI37,$BX37,BS26:BS37),SUMIF(BI26:BI37,$BX37,BN26:BN37)))</f>
        <v>1</v>
      </c>
      <c r="CB37" s="645">
        <v>23</v>
      </c>
      <c r="CC37" s="645">
        <f>IF(CC38-1&lt;1,CC38+11,CC38-1)</f>
        <v>9</v>
      </c>
    </row>
    <row r="38" spans="1:81" ht="45" customHeight="1">
      <c r="B38" s="1126" t="s">
        <v>385</v>
      </c>
      <c r="C38" s="1126"/>
      <c r="D38" s="1126"/>
      <c r="E38" s="1126"/>
      <c r="F38" s="1126"/>
      <c r="G38" s="1126"/>
      <c r="H38" s="1126"/>
      <c r="I38" s="1126"/>
      <c r="J38" s="1126"/>
      <c r="K38" s="1125">
        <f>SUMIF(GL!$BJ$26:$BJ$37,Cover!$M$36,GL!$BN$26:$BN$37)</f>
        <v>1</v>
      </c>
      <c r="L38" s="1125"/>
      <c r="M38" s="1125"/>
      <c r="N38" s="1125">
        <f>SUMIF(GL!$BK$26:$BK$37,Cover!$M$35,GL!$BO$26:$BO$37)</f>
        <v>1</v>
      </c>
      <c r="O38" s="1125"/>
      <c r="P38" s="1125"/>
      <c r="Q38" s="1288">
        <f>SUMIF(GL!$BJ$26:$BJ$37,Cover!$M$36,GL!$BU$26:$BU$37)</f>
        <v>0.995</v>
      </c>
      <c r="R38" s="1288"/>
      <c r="S38" s="1288"/>
      <c r="T38" s="1125">
        <f>IF(Cover!$M$36=1,SUMIF($BJ$26:$BJ$37,12,$BN$26:$BN$37),SUMIF(GL!$BJ$26:$BJ$37,Cover!$M$36-1,GL!$BS$26:$BS$37))</f>
        <v>1</v>
      </c>
      <c r="U38" s="1125"/>
      <c r="V38" s="1125"/>
      <c r="W38" s="1125">
        <f>SUMIF(GL!$BJ$26:$BJ$37,Cover!$M$36,GL!$BS$26:$BS$37)</f>
        <v>1</v>
      </c>
      <c r="X38" s="1125"/>
      <c r="Y38" s="1125"/>
      <c r="Z38" s="1125">
        <f>SUMIF(GL!$BK$26:$BK$37,Cover!$M$35,GL!$BT$26:$BT$37)</f>
        <v>1</v>
      </c>
      <c r="AA38" s="1125"/>
      <c r="AB38" s="1125"/>
      <c r="AC38" s="1291" t="s">
        <v>744</v>
      </c>
      <c r="AD38" s="1292"/>
      <c r="AE38" s="1292"/>
      <c r="AF38" s="1292"/>
      <c r="AG38" s="1292"/>
      <c r="AH38" s="1292"/>
      <c r="AI38" s="1292"/>
      <c r="AJ38" s="1292"/>
      <c r="AK38" s="1292"/>
      <c r="AL38" s="1292"/>
      <c r="AM38" s="1292"/>
      <c r="AN38" s="1292"/>
      <c r="AO38" s="1292"/>
      <c r="AP38" s="1292"/>
      <c r="AQ38" s="1292"/>
      <c r="AR38" s="1292"/>
      <c r="AS38" s="1292"/>
      <c r="AT38" s="1292"/>
      <c r="AU38" s="1292"/>
      <c r="AV38" s="1292"/>
      <c r="AW38" s="1292"/>
      <c r="AX38" s="1292"/>
      <c r="AY38" s="1292"/>
      <c r="AZ38" s="1292"/>
      <c r="BA38" s="1292"/>
      <c r="BB38" s="1292"/>
      <c r="BC38" s="1292"/>
      <c r="BD38" s="1292"/>
      <c r="BE38" s="1293"/>
      <c r="BH38" s="160">
        <f>IF(Q38=0,4,IF(W38=0,0,IF(Q38="","",IF(W38&gt;=Q38,1,IF(W38&lt;Q38*0.9,3,2)))))</f>
        <v>1</v>
      </c>
      <c r="BJ38" s="277"/>
      <c r="BK38" s="277"/>
      <c r="BL38" s="277"/>
      <c r="BM38" s="277"/>
      <c r="BN38" s="277"/>
      <c r="BO38" s="277"/>
      <c r="BP38" s="277"/>
      <c r="BQ38" s="277"/>
      <c r="BR38" s="277"/>
      <c r="BS38" s="277"/>
      <c r="BT38" s="277"/>
      <c r="BW38" s="667" t="str">
        <f>Cover!$M$34</f>
        <v>OCT FY-24</v>
      </c>
      <c r="BX38" s="666" t="str">
        <f>TEXT(CONCATENATE(CC38,"/01/20",CB38),"MMM")</f>
        <v>Oct</v>
      </c>
      <c r="BY38" s="643">
        <f>SUMIF($BI26:$BI37,$BX38,$BR26:$BR37)</f>
        <v>0.217</v>
      </c>
      <c r="BZ38" s="641">
        <f>IF(IF(CB38=CB38,SUMIF(BI26:BI37,$BX38,BU26:BU37),SUMIF(BI26:BI37,$BX38,BP26:BP37))=0,NA(),IF(CB38=CB38,SUMIF(BI26:BI37,$BX38,BU26:BU37),SUMIF(BI26:BI37,$BX38,BP26:BP37)))</f>
        <v>0.995</v>
      </c>
      <c r="CA38" s="644">
        <f>IF(SUMIF($BI26:$BI37,$BX38,$BS26:$BS37)=0,NA(),SUMIF($BI26:$BI37,$BX38,$BS26:$BS37))</f>
        <v>1</v>
      </c>
      <c r="CB38" s="645">
        <v>24</v>
      </c>
      <c r="CC38" s="645">
        <f>MONTH(DATEVALUE(LEFT(BW38,3)&amp;" 1"))</f>
        <v>10</v>
      </c>
    </row>
    <row r="39" spans="1:81" ht="45" customHeight="1">
      <c r="B39" s="1177" t="s">
        <v>386</v>
      </c>
      <c r="C39" s="1178"/>
      <c r="D39" s="1178"/>
      <c r="E39" s="1178"/>
      <c r="F39" s="1178"/>
      <c r="G39" s="1178"/>
      <c r="H39" s="1178"/>
      <c r="I39" s="1178"/>
      <c r="J39" s="1178"/>
      <c r="K39" s="1290">
        <f>SUMIF(GL!$BJ$46:$BJ$57,Cover!$M$36,GL!$BN$46:$BN$57)</f>
        <v>54.035388127853885</v>
      </c>
      <c r="L39" s="1290"/>
      <c r="M39" s="1290"/>
      <c r="N39" s="1258">
        <f>SUMIF(GL!$BK$46:$BK$57,Cover!$M$35,GL!$BO$46:$BO$57)</f>
        <v>50.599206349206341</v>
      </c>
      <c r="O39" s="1258"/>
      <c r="P39" s="1258"/>
      <c r="Q39" s="1287">
        <f>SUMIF(GL!$BJ$46:$BJ$57,Cover!$M$36,GL!$BU$46:$BU$57)</f>
        <v>0</v>
      </c>
      <c r="R39" s="1287"/>
      <c r="S39" s="1287"/>
      <c r="T39" s="1258">
        <f>IF(Cover!$M$36=1,SUMIF($BJ$46:$BJ$57,12,$BN$46:$BN$57),SUMIF(GL!$BJ$46:$BJ$57,Cover!$M$36-1,GL!$BS$46:$BS$57))</f>
        <v>50.172690763052209</v>
      </c>
      <c r="U39" s="1258"/>
      <c r="V39" s="1258"/>
      <c r="W39" s="1258">
        <f>SUMIF(GL!$BJ$46:$BJ$57,Cover!$M$36,GL!$BS$46:$BS$57)</f>
        <v>45.34001152073732</v>
      </c>
      <c r="X39" s="1258"/>
      <c r="Y39" s="1258"/>
      <c r="Z39" s="1258">
        <f>SUMIF(GL!$BK$46:$BK$57,Cover!$M$35,GL!$BT$46:$BT$57)</f>
        <v>45.34001152073732</v>
      </c>
      <c r="AA39" s="1258"/>
      <c r="AB39" s="1258"/>
      <c r="AC39" s="1294" t="s">
        <v>745</v>
      </c>
      <c r="AD39" s="1295"/>
      <c r="AE39" s="1295"/>
      <c r="AF39" s="1295"/>
      <c r="AG39" s="1295"/>
      <c r="AH39" s="1295"/>
      <c r="AI39" s="1295"/>
      <c r="AJ39" s="1295"/>
      <c r="AK39" s="1295"/>
      <c r="AL39" s="1295"/>
      <c r="AM39" s="1295"/>
      <c r="AN39" s="1295"/>
      <c r="AO39" s="1295"/>
      <c r="AP39" s="1295"/>
      <c r="AQ39" s="1295"/>
      <c r="AR39" s="1295"/>
      <c r="AS39" s="1295"/>
      <c r="AT39" s="1295"/>
      <c r="AU39" s="1295"/>
      <c r="AV39" s="1295"/>
      <c r="AW39" s="1295"/>
      <c r="AX39" s="1295"/>
      <c r="AY39" s="1295"/>
      <c r="AZ39" s="1295"/>
      <c r="BA39" s="1295"/>
      <c r="BB39" s="1295"/>
      <c r="BC39" s="1295"/>
      <c r="BD39" s="1295"/>
      <c r="BE39" s="1296"/>
      <c r="BH39" s="160">
        <f t="shared" ref="BH39:BH40" si="7">IF(Q39=0,4,IF(W39=0,0,IF(Q39="","",IF(W39&gt;=Q39,1,IF(W39&lt;Q39*0.9,3,2)))))</f>
        <v>4</v>
      </c>
      <c r="BI39" s="6"/>
      <c r="BJ39" s="6"/>
      <c r="BK39" s="6"/>
      <c r="BL39" s="6"/>
      <c r="BM39" s="6"/>
      <c r="BN39" s="6"/>
      <c r="BO39" s="6"/>
      <c r="BP39" s="6"/>
      <c r="BQ39" s="6"/>
      <c r="BR39" s="6"/>
      <c r="BS39" s="6"/>
      <c r="BT39" s="6"/>
      <c r="BU39" s="6"/>
    </row>
    <row r="40" spans="1:81" customFormat="1" ht="45" customHeight="1">
      <c r="A40" s="6"/>
      <c r="B40" s="1126" t="s">
        <v>387</v>
      </c>
      <c r="C40" s="1298"/>
      <c r="D40" s="1298"/>
      <c r="E40" s="1298"/>
      <c r="F40" s="1298"/>
      <c r="G40" s="1298"/>
      <c r="H40" s="1298"/>
      <c r="I40" s="1298"/>
      <c r="J40" s="1298"/>
      <c r="K40" s="1125">
        <f>SUMIF(GL!$BJ$65:$BJ$76,Cover!$M$36,GL!$BN$65:$BN$76)</f>
        <v>1</v>
      </c>
      <c r="L40" s="1125"/>
      <c r="M40" s="1125"/>
      <c r="N40" s="1125">
        <f>SUMIF(GL!$BK$65:$BK$76,Cover!$M$35,GL!$BO$65:$BO$76)</f>
        <v>1</v>
      </c>
      <c r="O40" s="1125"/>
      <c r="P40" s="1125"/>
      <c r="Q40" s="1297">
        <f>SUMIF(GL!$BJ$65:$BJ$76,Cover!$M$36,GL!$BU$65:$BU$76)</f>
        <v>0</v>
      </c>
      <c r="R40" s="1297"/>
      <c r="S40" s="1297"/>
      <c r="T40" s="1125">
        <f>IF(Cover!$M$36=1,SUMIF($BJ$65:$BJ$76,12,$BN$65:$BN$76),SUMIF(GL!$BJ$65:$BJ$76,Cover!$M$36-1,GL!$BS$65:$BS$76))</f>
        <v>1</v>
      </c>
      <c r="U40" s="1125"/>
      <c r="V40" s="1125"/>
      <c r="W40" s="1125">
        <f>SUMIF(GL!$BJ$65:$BJ$76,Cover!$M$36,GL!$BS$65:$BS$76)</f>
        <v>1</v>
      </c>
      <c r="X40" s="1125"/>
      <c r="Y40" s="1125"/>
      <c r="Z40" s="1125">
        <f>SUMIF(GL!$BK$65:$BK$76,Cover!$M$35,GL!$BT$65:$BT$76)</f>
        <v>1</v>
      </c>
      <c r="AA40" s="1125"/>
      <c r="AB40" s="1125"/>
      <c r="AC40" s="1291" t="s">
        <v>746</v>
      </c>
      <c r="AD40" s="1292"/>
      <c r="AE40" s="1292"/>
      <c r="AF40" s="1292"/>
      <c r="AG40" s="1292"/>
      <c r="AH40" s="1292"/>
      <c r="AI40" s="1292"/>
      <c r="AJ40" s="1292"/>
      <c r="AK40" s="1292"/>
      <c r="AL40" s="1292"/>
      <c r="AM40" s="1292"/>
      <c r="AN40" s="1292"/>
      <c r="AO40" s="1292"/>
      <c r="AP40" s="1292"/>
      <c r="AQ40" s="1292"/>
      <c r="AR40" s="1292"/>
      <c r="AS40" s="1292"/>
      <c r="AT40" s="1292"/>
      <c r="AU40" s="1292"/>
      <c r="AV40" s="1292"/>
      <c r="AW40" s="1292"/>
      <c r="AX40" s="1292"/>
      <c r="AY40" s="1292"/>
      <c r="AZ40" s="1292"/>
      <c r="BA40" s="1292"/>
      <c r="BB40" s="1292"/>
      <c r="BC40" s="1292"/>
      <c r="BD40" s="1292"/>
      <c r="BE40" s="1293"/>
      <c r="BF40" s="6"/>
      <c r="BH40" s="160">
        <f t="shared" si="7"/>
        <v>4</v>
      </c>
      <c r="BI40" s="6"/>
      <c r="BJ40" s="6"/>
      <c r="BK40" s="6"/>
      <c r="BL40" s="6"/>
      <c r="BM40" s="6"/>
      <c r="BN40" s="6"/>
      <c r="BO40" s="6"/>
      <c r="BP40" s="6"/>
      <c r="BQ40" s="6"/>
      <c r="BR40" s="6"/>
      <c r="BS40" s="6"/>
      <c r="BT40" s="6"/>
      <c r="BU40" s="6"/>
      <c r="BV40" s="270"/>
      <c r="BW40" s="6"/>
      <c r="BX40" s="6"/>
      <c r="BY40" s="6"/>
      <c r="BZ40" s="6"/>
      <c r="CA40" s="6"/>
      <c r="CB40" s="6"/>
      <c r="CC40" s="6"/>
    </row>
    <row r="41" spans="1:81" ht="15" customHeight="1">
      <c r="B41" s="336"/>
      <c r="C41" s="336"/>
      <c r="D41" s="336"/>
      <c r="E41" s="336"/>
      <c r="F41" s="336"/>
      <c r="G41" s="336"/>
      <c r="H41" s="336"/>
      <c r="I41" s="336"/>
      <c r="J41" s="336"/>
      <c r="K41" s="336"/>
      <c r="L41" s="336"/>
      <c r="M41" s="336"/>
      <c r="N41" s="336"/>
      <c r="O41" s="336"/>
      <c r="P41" s="336"/>
      <c r="Q41" s="336"/>
      <c r="R41" s="336"/>
      <c r="S41" s="336"/>
      <c r="T41" s="336"/>
      <c r="U41" s="336"/>
      <c r="V41" s="336"/>
      <c r="W41" s="336"/>
      <c r="X41" s="336"/>
      <c r="Y41" s="336"/>
      <c r="Z41" s="336"/>
      <c r="AA41" s="336"/>
      <c r="AB41" s="336"/>
      <c r="AC41" s="336"/>
      <c r="AD41" s="336"/>
      <c r="AE41" s="336"/>
      <c r="AF41" s="336"/>
      <c r="AG41" s="336"/>
      <c r="AH41" s="336"/>
      <c r="AI41" s="336"/>
      <c r="AJ41" s="336"/>
      <c r="AK41" s="336"/>
      <c r="AL41" s="336"/>
      <c r="AM41" s="336"/>
      <c r="AN41" s="336"/>
      <c r="AO41" s="336"/>
      <c r="AP41" s="336"/>
      <c r="AQ41" s="336"/>
      <c r="AR41" s="336"/>
      <c r="AS41" s="336"/>
      <c r="AT41" s="336"/>
      <c r="AU41" s="336"/>
      <c r="AV41" s="336"/>
      <c r="AW41" s="336"/>
      <c r="AX41" s="336"/>
      <c r="AY41" s="336"/>
      <c r="AZ41" s="336"/>
      <c r="BA41" s="336"/>
      <c r="BB41" s="336"/>
      <c r="BC41" s="336"/>
      <c r="BD41" s="336"/>
      <c r="BE41" s="336"/>
      <c r="BI41" s="54" t="s">
        <v>292</v>
      </c>
      <c r="BJ41" s="287" t="s">
        <v>388</v>
      </c>
      <c r="BK41" s="287"/>
      <c r="BL41" s="287"/>
      <c r="BM41" s="287"/>
      <c r="BN41" s="287"/>
      <c r="BO41" s="287"/>
      <c r="BP41" s="287"/>
      <c r="BQ41" s="287"/>
      <c r="BR41" s="287"/>
      <c r="BS41" s="287"/>
      <c r="BT41" s="287"/>
      <c r="BU41" s="287"/>
    </row>
    <row r="42" spans="1:81" ht="15" customHeight="1">
      <c r="A42"/>
      <c r="B42" s="531" t="s">
        <v>350</v>
      </c>
      <c r="C42" s="533"/>
      <c r="D42" s="533"/>
      <c r="E42" s="533"/>
      <c r="F42" s="533"/>
      <c r="G42" s="532"/>
      <c r="H42" s="532"/>
      <c r="I42" s="532"/>
      <c r="J42" s="532"/>
      <c r="K42" s="532"/>
      <c r="L42" s="539"/>
      <c r="M42" s="533"/>
      <c r="N42" s="533"/>
      <c r="O42" s="532"/>
      <c r="P42" s="532"/>
      <c r="Q42" s="532"/>
      <c r="R42" s="532"/>
      <c r="S42" s="532"/>
      <c r="T42" s="532"/>
      <c r="U42" s="532"/>
      <c r="V42" s="532"/>
      <c r="W42" s="532"/>
      <c r="X42" s="532"/>
      <c r="Y42" s="532"/>
      <c r="Z42" s="532"/>
      <c r="AA42" s="532"/>
      <c r="AB42" s="532"/>
      <c r="AC42" s="532"/>
      <c r="AD42" s="532"/>
      <c r="AE42" s="532"/>
      <c r="AF42" s="532"/>
      <c r="AG42" s="532"/>
      <c r="AH42" s="532"/>
      <c r="AI42" s="532"/>
      <c r="AJ42" s="532"/>
      <c r="AK42" s="532"/>
      <c r="AL42" s="532"/>
      <c r="AM42" s="532"/>
      <c r="AN42" s="532"/>
      <c r="AO42" s="532"/>
      <c r="AP42" s="532"/>
      <c r="AQ42" s="532"/>
      <c r="AR42" s="532"/>
      <c r="AS42" s="532"/>
      <c r="AT42" s="532"/>
      <c r="AU42" s="532"/>
      <c r="AV42" s="532"/>
      <c r="AW42" s="532"/>
      <c r="AX42" s="532"/>
      <c r="AY42" s="532"/>
      <c r="AZ42" s="532"/>
      <c r="BA42" s="532"/>
      <c r="BB42" s="532"/>
      <c r="BC42" s="532"/>
      <c r="BD42" s="532"/>
      <c r="BE42" s="532"/>
      <c r="BF42"/>
      <c r="BI42" s="54" t="s">
        <v>296</v>
      </c>
      <c r="BJ42" s="283"/>
      <c r="BK42" s="283"/>
      <c r="BL42" s="283"/>
      <c r="BM42" s="283"/>
      <c r="BN42" s="283"/>
      <c r="BO42" s="283"/>
      <c r="BP42" s="283"/>
      <c r="BQ42" s="283"/>
      <c r="BR42" s="283"/>
      <c r="BS42" s="283"/>
      <c r="BT42" s="283"/>
      <c r="BU42" s="283"/>
    </row>
    <row r="43" spans="1:81" ht="15" customHeight="1" thickBot="1">
      <c r="F43" s="337"/>
      <c r="G43" s="338"/>
      <c r="BI43" s="54" t="s">
        <v>300</v>
      </c>
      <c r="BJ43" s="283"/>
      <c r="BK43" s="283"/>
      <c r="BL43" s="283"/>
      <c r="BM43" s="283"/>
      <c r="BN43" s="283"/>
      <c r="BO43" s="283"/>
      <c r="BP43" s="283"/>
      <c r="BQ43" s="283"/>
      <c r="BR43" s="283"/>
      <c r="BS43" s="283"/>
      <c r="BT43" s="283"/>
      <c r="BU43" s="283"/>
    </row>
    <row r="44" spans="1:81" ht="15" customHeight="1" thickBot="1">
      <c r="B44" s="52"/>
      <c r="F44" s="337"/>
      <c r="G44" s="338"/>
      <c r="AD44" s="336"/>
      <c r="BI44" s="277"/>
      <c r="BJ44" s="277"/>
      <c r="BK44" s="277"/>
      <c r="BL44" s="1148" t="s">
        <v>302</v>
      </c>
      <c r="BM44" s="1149"/>
      <c r="BN44" s="1149"/>
      <c r="BO44" s="1149"/>
      <c r="BP44" s="1151"/>
      <c r="BQ44" s="1148" t="s">
        <v>719</v>
      </c>
      <c r="BR44" s="1149"/>
      <c r="BS44" s="1149"/>
      <c r="BT44" s="1149"/>
      <c r="BU44" s="1150"/>
      <c r="BW44" s="1148" t="s">
        <v>303</v>
      </c>
      <c r="BX44" s="1149"/>
      <c r="BY44" s="1149"/>
      <c r="BZ44" s="1149"/>
      <c r="CA44" s="1149"/>
      <c r="CB44" s="1149"/>
      <c r="CC44" s="1150"/>
    </row>
    <row r="45" spans="1:81" ht="15" customHeight="1">
      <c r="BI45" s="636" t="s">
        <v>23</v>
      </c>
      <c r="BJ45" s="636" t="s">
        <v>37</v>
      </c>
      <c r="BK45" s="636" t="s">
        <v>304</v>
      </c>
      <c r="BL45" s="637" t="s">
        <v>305</v>
      </c>
      <c r="BM45" s="637" t="s">
        <v>310</v>
      </c>
      <c r="BN45" s="637" t="s">
        <v>311</v>
      </c>
      <c r="BO45" s="278" t="s">
        <v>312</v>
      </c>
      <c r="BP45" s="637" t="s">
        <v>313</v>
      </c>
      <c r="BQ45" s="637" t="s">
        <v>305</v>
      </c>
      <c r="BR45" s="637" t="s">
        <v>715</v>
      </c>
      <c r="BS45" s="637" t="s">
        <v>716</v>
      </c>
      <c r="BT45" s="278" t="s">
        <v>717</v>
      </c>
      <c r="BU45" s="637" t="s">
        <v>718</v>
      </c>
      <c r="BW45" s="279" t="s">
        <v>314</v>
      </c>
      <c r="BX45" s="279" t="s">
        <v>23</v>
      </c>
      <c r="BY45" s="279" t="s">
        <v>315</v>
      </c>
      <c r="BZ45" s="279" t="s">
        <v>122</v>
      </c>
      <c r="CA45" s="279" t="s">
        <v>316</v>
      </c>
      <c r="CB45" s="279" t="s">
        <v>317</v>
      </c>
      <c r="CC45" s="279" t="s">
        <v>318</v>
      </c>
    </row>
    <row r="46" spans="1:81" ht="15" customHeight="1">
      <c r="BI46" s="638" t="s">
        <v>319</v>
      </c>
      <c r="BJ46" s="638">
        <v>1</v>
      </c>
      <c r="BK46" s="638" t="s">
        <v>320</v>
      </c>
      <c r="BL46" s="690">
        <v>11.83375</v>
      </c>
      <c r="BM46" s="689">
        <v>0.219</v>
      </c>
      <c r="BN46" s="653">
        <f>IF(BM46="","",BL46/BM46)</f>
        <v>54.035388127853885</v>
      </c>
      <c r="BO46" s="289">
        <f>IF(SUM(BM46:BM48=0),0,SUM(BL46:BL48)/SUM(BM46:BM48))</f>
        <v>50.599206349206341</v>
      </c>
      <c r="BP46" s="641"/>
      <c r="BQ46" s="690">
        <v>9.8387824999999989</v>
      </c>
      <c r="BR46" s="689">
        <v>0.217</v>
      </c>
      <c r="BS46" s="653">
        <f>IF(BR46="","",BQ46/BR46)</f>
        <v>45.34001152073732</v>
      </c>
      <c r="BT46" s="289">
        <f>IF(SUM(BR46:BR48=0),0,SUM(BQ46:BQ48)/SUM(BR46:BR48))</f>
        <v>45.34001152073732</v>
      </c>
      <c r="BU46" s="655"/>
      <c r="BX46" s="666" t="str">
        <f t="shared" ref="BX46:BX57" si="8">TEXT(CONCATENATE(CC46,"/01/20",CB46),"MMM")</f>
        <v>Oct</v>
      </c>
      <c r="BY46" s="643">
        <f>IF(CB46=$CB58,SUMIF($BI46:$BI57,$BX46,$BR46:$BR57),SUMIF($BI46:$BI57,$BX46,$BM46:$BM57))</f>
        <v>0.219</v>
      </c>
      <c r="BZ46" s="668" t="e">
        <f>IF(IF(CB46=CB58,SUMIF(BI46:BI57,$BX46,BU46:BU57),SUMIF(BI46:BI57,$BX46,BP46:BP57))=0,NA(),IF(CB46=CB58,SUMIF(BI46:BI57,$BX46,BU46:BU57),SUMIF(BI46:BI57,$BX46,BP46:BP57)))</f>
        <v>#N/A</v>
      </c>
      <c r="CA46" s="664">
        <f>IF(IF(CB46=CB58,SUMIF(BI46:BI57,$BX46,BS46:BS57),SUMIF(BI46:BI57,$BX46,BN46:BN57))=0,NA(),IF(CB46=CB58,SUMIF(BI46:BI57,$BX46,BS46:BS57),SUMIF(BI46:BI57,$BX46,BN46:BN57)))</f>
        <v>54.035388127853885</v>
      </c>
      <c r="CB46" s="645">
        <f>CB26</f>
        <v>23</v>
      </c>
      <c r="CC46" s="645">
        <f t="shared" ref="CC46:CC56" si="9">IF(CC47-1&lt;1,CC47+11,CC47-1)</f>
        <v>10</v>
      </c>
    </row>
    <row r="47" spans="1:81" ht="15" customHeight="1">
      <c r="BI47" s="638" t="s">
        <v>321</v>
      </c>
      <c r="BJ47" s="638">
        <v>2</v>
      </c>
      <c r="BK47" s="638" t="s">
        <v>320</v>
      </c>
      <c r="BL47" s="690">
        <v>13.000249999999999</v>
      </c>
      <c r="BM47" s="689">
        <v>0.22</v>
      </c>
      <c r="BN47" s="653">
        <f t="shared" ref="BN47:BN57" si="10">IF(BM47="","",BL47/BM47)</f>
        <v>59.092045454545449</v>
      </c>
      <c r="BO47" s="290"/>
      <c r="BP47" s="641"/>
      <c r="BQ47" s="690"/>
      <c r="BR47" s="689"/>
      <c r="BS47" s="653" t="str">
        <f t="shared" ref="BS47:BS57" si="11">IF(BR47="","",BQ47/BR47)</f>
        <v/>
      </c>
      <c r="BT47" s="290"/>
      <c r="BU47" s="655"/>
      <c r="BX47" s="666" t="str">
        <f t="shared" si="8"/>
        <v>Nov</v>
      </c>
      <c r="BY47" s="643">
        <f>IF(CB47=$CB58,SUMIF($BI46:$BI57,$BX47,$BR46:$BR57),SUMIF($BI46:$BI57,$BX47,$BM46:$BM57))</f>
        <v>0.22</v>
      </c>
      <c r="BZ47" s="668" t="e">
        <f>IF(IF(CB47=CB58,SUMIF(BI46:BI57,$BX47,BU46:BU57),SUMIF(BI46:BI57,$BX47,BP46:BP57))=0,NA(),IF(CB47=CB58,SUMIF(BI46:BI57,$BX47,BU46:BU57),SUMIF(BI46:BI57,$BX47,BP46:BP57)))</f>
        <v>#N/A</v>
      </c>
      <c r="CA47" s="664">
        <f>IF(IF(CB47=CB58,SUMIF(BI46:BI57,$BX47,BS46:BS57),SUMIF(BI46:BI57,$BX47,BN46:BN57))=0,NA(),IF(CB47=CB58,SUMIF(BI46:BI57,$BX47,BS46:BS57),SUMIF(BI46:BI57,$BX47,BN46:BN57)))</f>
        <v>59.092045454545449</v>
      </c>
      <c r="CB47" s="645">
        <f t="shared" ref="CB47:CB58" si="12">CB27</f>
        <v>23</v>
      </c>
      <c r="CC47" s="645">
        <f t="shared" si="9"/>
        <v>11</v>
      </c>
    </row>
    <row r="48" spans="1:81" ht="15" customHeight="1">
      <c r="BI48" s="638" t="s">
        <v>322</v>
      </c>
      <c r="BJ48" s="638">
        <v>3</v>
      </c>
      <c r="BK48" s="638" t="s">
        <v>320</v>
      </c>
      <c r="BL48" s="690">
        <v>10.231249999999999</v>
      </c>
      <c r="BM48" s="689">
        <v>0.254</v>
      </c>
      <c r="BN48" s="653">
        <f t="shared" si="10"/>
        <v>40.280511811023622</v>
      </c>
      <c r="BO48" s="290"/>
      <c r="BP48" s="641"/>
      <c r="BQ48" s="690"/>
      <c r="BR48" s="689"/>
      <c r="BS48" s="653" t="str">
        <f t="shared" si="11"/>
        <v/>
      </c>
      <c r="BT48" s="290"/>
      <c r="BU48" s="655"/>
      <c r="BX48" s="666" t="str">
        <f t="shared" si="8"/>
        <v>Dec</v>
      </c>
      <c r="BY48" s="643">
        <f>IF(CB48=$CB58,SUMIF($BI46:$BI57,$BX48,$BR46:$BR57),SUMIF($BI46:$BI57,$BX48,$BM46:$BM57))</f>
        <v>0.254</v>
      </c>
      <c r="BZ48" s="668" t="e">
        <f>IF(IF(CB48=CB58,SUMIF(BI46:BI57,$BX48,BU46:BU57),SUMIF(BI46:BI57,$BX48,BP46:BP57))=0,NA(),IF(CB48=CB58,SUMIF(BI46:BI57,$BX48,BU46:BU57),SUMIF(BI46:BI57,$BX48,BP46:BP57)))</f>
        <v>#N/A</v>
      </c>
      <c r="CA48" s="664">
        <f>IF(IF(CB48=CB58,SUMIF(BI46:BI57,$BX48,BS46:BS57),SUMIF(BI46:BI57,$BX48,BN46:BN57))=0,NA(),IF(CB48=CB58,SUMIF(BI46:BI57,$BX48,BS46:BS57),SUMIF(BI46:BI57,$BX48,BN46:BN57)))</f>
        <v>40.280511811023622</v>
      </c>
      <c r="CB48" s="645">
        <f t="shared" si="12"/>
        <v>23</v>
      </c>
      <c r="CC48" s="645">
        <f t="shared" si="9"/>
        <v>12</v>
      </c>
    </row>
    <row r="49" spans="2:81" ht="15" customHeight="1">
      <c r="BI49" s="638" t="s">
        <v>323</v>
      </c>
      <c r="BJ49" s="638">
        <v>4</v>
      </c>
      <c r="BK49" s="638" t="s">
        <v>324</v>
      </c>
      <c r="BL49" s="690">
        <v>11.682</v>
      </c>
      <c r="BM49" s="689">
        <v>0.219</v>
      </c>
      <c r="BN49" s="653">
        <f t="shared" si="10"/>
        <v>53.342465753424662</v>
      </c>
      <c r="BO49" s="289">
        <f>IF(SUM(BM49:BM51=0),0,SUM(BL49:BL51)/SUM(BM49:BM51))</f>
        <v>50.980419580419586</v>
      </c>
      <c r="BP49" s="641"/>
      <c r="BQ49" s="690"/>
      <c r="BR49" s="689"/>
      <c r="BS49" s="653" t="str">
        <f t="shared" si="11"/>
        <v/>
      </c>
      <c r="BT49" s="289">
        <f>IF(SUM(BR49:BR51=0),0,SUM(BQ49:BQ51)/SUM(BR49:BR51))</f>
        <v>0</v>
      </c>
      <c r="BU49" s="655"/>
      <c r="BX49" s="666" t="str">
        <f t="shared" si="8"/>
        <v>Jan</v>
      </c>
      <c r="BY49" s="643">
        <f>IF(CB49=$CB58,SUMIF($BI46:$BI57,$BX49,$BR46:$BR57),SUMIF($BI46:$BI57,$BX49,$BM46:$BM57))</f>
        <v>0.219</v>
      </c>
      <c r="BZ49" s="668" t="e">
        <f>IF(IF(CB49=CB58,SUMIF(BI46:BI57,$BX49,BU46:BU57),SUMIF(BI46:BI57,$BX49,BP46:BP57))=0,NA(),IF(CB49=CB58,SUMIF(BI46:BI57,$BX49,BU46:BU57),SUMIF(BI46:BI57,$BX49,BP46:BP57)))</f>
        <v>#N/A</v>
      </c>
      <c r="CA49" s="664">
        <f>IF(IF(CB49=CB58,SUMIF(BI46:BI57,$BX49,BS46:BS57),SUMIF(BI46:BI57,$BX49,BN46:BN57))=0,NA(),IF(CB49=CB58,SUMIF(BI46:BI57,$BX49,BS46:BS57),SUMIF(BI46:BI57,$BX49,BN46:BN57)))</f>
        <v>53.342465753424662</v>
      </c>
      <c r="CB49" s="645">
        <f t="shared" si="12"/>
        <v>23</v>
      </c>
      <c r="CC49" s="645">
        <f t="shared" si="9"/>
        <v>1</v>
      </c>
    </row>
    <row r="50" spans="2:81" ht="15" customHeight="1">
      <c r="BI50" s="638" t="s">
        <v>325</v>
      </c>
      <c r="BJ50" s="638">
        <v>5</v>
      </c>
      <c r="BK50" s="638" t="s">
        <v>324</v>
      </c>
      <c r="BL50" s="690">
        <v>11.0855</v>
      </c>
      <c r="BM50" s="822">
        <v>0.23599999999999999</v>
      </c>
      <c r="BN50" s="653">
        <f t="shared" si="10"/>
        <v>46.972457627118644</v>
      </c>
      <c r="BO50" s="290"/>
      <c r="BP50" s="641"/>
      <c r="BQ50" s="690"/>
      <c r="BR50" s="822"/>
      <c r="BS50" s="653" t="str">
        <f t="shared" si="11"/>
        <v/>
      </c>
      <c r="BT50" s="290"/>
      <c r="BU50" s="655"/>
      <c r="BX50" s="666" t="str">
        <f t="shared" si="8"/>
        <v>Feb</v>
      </c>
      <c r="BY50" s="643">
        <f>IF(CB50=$CB58,SUMIF($BI46:$BI57,$BX50,$BR46:$BR57),SUMIF($BI46:$BI57,$BX50,$BM46:$BM57))</f>
        <v>0.23599999999999999</v>
      </c>
      <c r="BZ50" s="668" t="e">
        <f>IF(IF(CB50=CB58,SUMIF(BI46:BI57,$BX50,BU46:BU57),SUMIF(BI46:BI57,$BX50,BP46:BP57))=0,NA(),IF(CB50=CB58,SUMIF(BI46:BI57,$BX50,BU46:BU57),SUMIF(BI46:BI57,$BX50,BP46:BP57)))</f>
        <v>#N/A</v>
      </c>
      <c r="CA50" s="664">
        <f>IF(IF(CB50=CB58,SUMIF(BI46:BI57,$BX50,BS46:BS57),SUMIF(BI46:BI57,$BX50,BN46:BN57))=0,NA(),IF(CB50=CB58,SUMIF(BI46:BI57,$BX50,BS46:BS57),SUMIF(BI46:BI57,$BX50,BN46:BN57)))</f>
        <v>46.972457627118644</v>
      </c>
      <c r="CB50" s="645">
        <f t="shared" si="12"/>
        <v>23</v>
      </c>
      <c r="CC50" s="645">
        <f t="shared" si="9"/>
        <v>2</v>
      </c>
    </row>
    <row r="51" spans="2:81" ht="15" customHeight="1">
      <c r="BI51" s="638" t="s">
        <v>326</v>
      </c>
      <c r="BJ51" s="638">
        <v>6</v>
      </c>
      <c r="BK51" s="638" t="s">
        <v>324</v>
      </c>
      <c r="BL51" s="823">
        <v>13.6835</v>
      </c>
      <c r="BM51" s="822">
        <v>0.26</v>
      </c>
      <c r="BN51" s="653">
        <f t="shared" si="10"/>
        <v>52.628846153846155</v>
      </c>
      <c r="BO51" s="290"/>
      <c r="BP51" s="641"/>
      <c r="BQ51" s="690"/>
      <c r="BR51" s="822"/>
      <c r="BS51" s="653" t="str">
        <f t="shared" si="11"/>
        <v/>
      </c>
      <c r="BT51" s="290"/>
      <c r="BU51" s="655"/>
      <c r="BX51" s="666" t="str">
        <f t="shared" si="8"/>
        <v>Mar</v>
      </c>
      <c r="BY51" s="643">
        <f>IF(CB51=$CB58,SUMIF($BI46:$BI57,$BX51,$BR46:$BR57),SUMIF($BI46:$BI57,$BX51,$BM46:$BM57))</f>
        <v>0.26</v>
      </c>
      <c r="BZ51" s="668" t="e">
        <f>IF(IF(CB51=CB58,SUMIF(BI46:BI57,$BX51,BU46:BU57),SUMIF(BI46:BI57,$BX51,BP46:BP57))=0,NA(),IF(CB51=CB58,SUMIF(BI46:BI57,$BX51,BU46:BU57),SUMIF(BI46:BI57,$BX51,BP46:BP57)))</f>
        <v>#N/A</v>
      </c>
      <c r="CA51" s="664">
        <f>IF(IF(CB51=CB58,SUMIF(BI46:BI57,$BX51,BS46:BS57),SUMIF(BI46:BI57,$BX51,BN46:BN57))=0,NA(),IF(CB51=CB58,SUMIF(BI46:BI57,$BX51,BS46:BS57),SUMIF(BI46:BI57,$BX51,BN46:BN57)))</f>
        <v>52.628846153846155</v>
      </c>
      <c r="CB51" s="645">
        <f t="shared" si="12"/>
        <v>23</v>
      </c>
      <c r="CC51" s="645">
        <f t="shared" si="9"/>
        <v>3</v>
      </c>
    </row>
    <row r="52" spans="2:81" ht="15" customHeight="1">
      <c r="BI52" s="638" t="s">
        <v>327</v>
      </c>
      <c r="BJ52" s="638">
        <v>7</v>
      </c>
      <c r="BK52" s="638" t="s">
        <v>328</v>
      </c>
      <c r="BL52" s="823">
        <v>9.7125000000000004</v>
      </c>
      <c r="BM52" s="822">
        <v>0.20300000000000001</v>
      </c>
      <c r="BN52" s="653">
        <f t="shared" si="10"/>
        <v>47.844827586206897</v>
      </c>
      <c r="BO52" s="289">
        <f>IF(SUM(BM52:BM54=0),0,SUM(BL52:BL54)/SUM(BM52:BM54))</f>
        <v>46.885467980295566</v>
      </c>
      <c r="BP52" s="641"/>
      <c r="BQ52" s="690"/>
      <c r="BR52" s="822"/>
      <c r="BS52" s="653" t="str">
        <f t="shared" si="11"/>
        <v/>
      </c>
      <c r="BT52" s="289">
        <f>IF(SUM(BR52:BR54=0),0,SUM(BQ52:BQ54)/SUM(BR52:BR54))</f>
        <v>0</v>
      </c>
      <c r="BU52" s="655"/>
      <c r="BX52" s="666" t="str">
        <f t="shared" si="8"/>
        <v>Apr</v>
      </c>
      <c r="BY52" s="643">
        <f>IF(CB52=$CB58,SUMIF($BI46:$BI57,$BX52,$BR46:$BR57),SUMIF($BI46:$BI57,$BX52,$BM46:$BM57))</f>
        <v>0.20300000000000001</v>
      </c>
      <c r="BZ52" s="668" t="e">
        <f>IF(IF(CB52=CB58,SUMIF(BI46:BI57,$BX52,BU46:BU57),SUMIF(BI46:BI57,$BX52,BP46:BP57))=0,NA(),IF(CB52=CB58,SUMIF(BI46:BI57,$BX52,BU46:BU57),SUMIF(BI46:BI57,$BX52,BP46:BP57)))</f>
        <v>#N/A</v>
      </c>
      <c r="CA52" s="664">
        <f>IF(IF(CB52=CB58,SUMIF(BI46:BI57,$BX52,BS46:BS57),SUMIF(BI46:BI57,$BX52,BN46:BN57))=0,NA(),IF(CB52=CB58,SUMIF(BI46:BI57,$BX52,BS46:BS57),SUMIF(BI46:BI57,$BX52,BN46:BN57)))</f>
        <v>47.844827586206897</v>
      </c>
      <c r="CB52" s="645">
        <f t="shared" si="12"/>
        <v>23</v>
      </c>
      <c r="CC52" s="645">
        <f t="shared" si="9"/>
        <v>4</v>
      </c>
    </row>
    <row r="53" spans="2:81" ht="15" customHeight="1">
      <c r="BI53" s="638" t="s">
        <v>329</v>
      </c>
      <c r="BJ53" s="638">
        <v>8</v>
      </c>
      <c r="BK53" s="638" t="s">
        <v>328</v>
      </c>
      <c r="BL53" s="690">
        <v>7.8452500000000001</v>
      </c>
      <c r="BM53" s="822">
        <v>0.189</v>
      </c>
      <c r="BN53" s="653">
        <f t="shared" si="10"/>
        <v>41.50925925925926</v>
      </c>
      <c r="BO53" s="290"/>
      <c r="BP53" s="641"/>
      <c r="BQ53" s="690"/>
      <c r="BR53" s="822"/>
      <c r="BS53" s="653" t="str">
        <f t="shared" si="11"/>
        <v/>
      </c>
      <c r="BT53" s="290"/>
      <c r="BU53" s="655"/>
      <c r="BX53" s="666" t="str">
        <f t="shared" si="8"/>
        <v>May</v>
      </c>
      <c r="BY53" s="643">
        <f>IF(CB53=$CB58,SUMIF($BI46:$BI57,$BX53,$BR46:$BR57),SUMIF($BI46:$BI57,$BX53,$BM46:$BM57))</f>
        <v>0.189</v>
      </c>
      <c r="BZ53" s="668" t="e">
        <f>IF(IF(CB53=CB58,SUMIF(BI46:BI57,$BX53,BU46:BU57),SUMIF(BI46:BI57,$BX53,BP46:BP57))=0,NA(),IF(CB53=CB58,SUMIF(BI46:BI57,$BX53,BU46:BU57),SUMIF(BI46:BI57,$BX53,BP46:BP57)))</f>
        <v>#N/A</v>
      </c>
      <c r="CA53" s="664">
        <f>IF(IF(CB53=CB58,SUMIF(BI46:BI57,$BX53,BS46:BS57),SUMIF(BI46:BI57,$BX53,BN46:BN57))=0,NA(),IF(CB53=CB58,SUMIF(BI46:BI57,$BX53,BS46:BS57),SUMIF(BI46:BI57,$BX53,BN46:BN57)))</f>
        <v>41.50925925925926</v>
      </c>
      <c r="CB53" s="645">
        <f t="shared" si="12"/>
        <v>23</v>
      </c>
      <c r="CC53" s="645">
        <f t="shared" si="9"/>
        <v>5</v>
      </c>
    </row>
    <row r="54" spans="2:81" ht="15" customHeight="1">
      <c r="BI54" s="638" t="s">
        <v>331</v>
      </c>
      <c r="BJ54" s="638">
        <v>9</v>
      </c>
      <c r="BK54" s="638" t="s">
        <v>328</v>
      </c>
      <c r="BL54" s="690">
        <v>10.9955</v>
      </c>
      <c r="BM54" s="822">
        <v>0.217</v>
      </c>
      <c r="BN54" s="653">
        <f t="shared" si="10"/>
        <v>50.670506912442399</v>
      </c>
      <c r="BO54" s="290"/>
      <c r="BP54" s="641"/>
      <c r="BQ54" s="690"/>
      <c r="BR54" s="822"/>
      <c r="BS54" s="653" t="str">
        <f t="shared" si="11"/>
        <v/>
      </c>
      <c r="BT54" s="290"/>
      <c r="BU54" s="655"/>
      <c r="BX54" s="666" t="str">
        <f t="shared" si="8"/>
        <v>Jun</v>
      </c>
      <c r="BY54" s="643">
        <f>IF(CB54=$CB58,SUMIF($BI46:$BI57,$BX54,$BR46:$BR57),SUMIF($BI46:$BI57,$BX54,$BM46:$BM57))</f>
        <v>0.217</v>
      </c>
      <c r="BZ54" s="668" t="e">
        <f>IF(IF(CB54=CB58,SUMIF(BI46:BI57,$BX54,BU46:BU57),SUMIF(BI46:BI57,$BX54,BP46:BP57))=0,NA(),IF(CB54=CB58,SUMIF(BI46:BI57,$BX54,BU46:BU57),SUMIF(BI46:BI57,$BX54,BP46:BP57)))</f>
        <v>#N/A</v>
      </c>
      <c r="CA54" s="664">
        <f>IF(IF(CB54=CB58,SUMIF(BI46:BI57,$BX54,BS46:BS57),SUMIF(BI46:BI57,$BX54,BN46:BN57))=0,NA(),IF(CB54=CB58,SUMIF(BI46:BI57,$BX54,BS46:BS57),SUMIF(BI46:BI57,$BX54,BN46:BN57)))</f>
        <v>50.670506912442399</v>
      </c>
      <c r="CB54" s="645">
        <f t="shared" si="12"/>
        <v>23</v>
      </c>
      <c r="CC54" s="645">
        <f t="shared" si="9"/>
        <v>6</v>
      </c>
    </row>
    <row r="55" spans="2:81" ht="15" customHeight="1">
      <c r="BI55" s="638" t="s">
        <v>337</v>
      </c>
      <c r="BJ55" s="638">
        <v>10</v>
      </c>
      <c r="BK55" s="638" t="s">
        <v>338</v>
      </c>
      <c r="BL55" s="690">
        <v>11.305792499999999</v>
      </c>
      <c r="BM55" s="822">
        <v>0.20200000000000001</v>
      </c>
      <c r="BN55" s="653">
        <f t="shared" si="10"/>
        <v>55.96926980198019</v>
      </c>
      <c r="BO55" s="289">
        <f>IF(SUM(BM55:BM57=0),0,SUM(BL55:BL57)/SUM(BM55:BM57))</f>
        <v>51.953093944099386</v>
      </c>
      <c r="BP55" s="641"/>
      <c r="BQ55" s="690"/>
      <c r="BR55" s="822"/>
      <c r="BS55" s="653" t="str">
        <f t="shared" si="11"/>
        <v/>
      </c>
      <c r="BT55" s="289">
        <f>IF(SUM(BR55:BR57=0),0,SUM(BQ55:BQ57)/SUM(BR55:BR57))</f>
        <v>0</v>
      </c>
      <c r="BU55" s="655"/>
      <c r="BX55" s="666" t="str">
        <f t="shared" si="8"/>
        <v>Jul</v>
      </c>
      <c r="BY55" s="643">
        <f>IF(CB55=$CB58,SUMIF($BI46:$BI57,$BX55,$BR46:$BR57),SUMIF($BI46:$BI57,$BX55,$BM46:$BM57))</f>
        <v>0.20200000000000001</v>
      </c>
      <c r="BZ55" s="668" t="e">
        <f>IF(IF(CB55=CB58,SUMIF(BI46:BI57,$BX55,BU46:BU57),SUMIF(BI46:BI57,$BX55,BP46:BP57))=0,NA(),IF(CB55=CB58,SUMIF(BI46:BI57,$BX55,BU46:BU57),SUMIF(BI46:BI57,$BX55,BP46:BP57)))</f>
        <v>#N/A</v>
      </c>
      <c r="CA55" s="664">
        <f>IF(IF(CB55=CB58,SUMIF(BI46:BI57,$BX55,BS46:BS57),SUMIF(BI46:BI57,$BX55,BN46:BN57))=0,NA(),IF(CB55=CB58,SUMIF(BI46:BI57,$BX55,BS46:BS57),SUMIF(BI46:BI57,$BX55,BN46:BN57)))</f>
        <v>55.96926980198019</v>
      </c>
      <c r="CB55" s="645">
        <f t="shared" si="12"/>
        <v>23</v>
      </c>
      <c r="CC55" s="645">
        <f t="shared" si="9"/>
        <v>7</v>
      </c>
    </row>
    <row r="56" spans="2:81" ht="15" customHeight="1">
      <c r="BI56" s="638" t="s">
        <v>343</v>
      </c>
      <c r="BJ56" s="638">
        <v>11</v>
      </c>
      <c r="BK56" s="638" t="s">
        <v>338</v>
      </c>
      <c r="BL56" s="690">
        <v>9.6590000000000007</v>
      </c>
      <c r="BM56" s="822">
        <v>0.193</v>
      </c>
      <c r="BN56" s="653">
        <f t="shared" si="10"/>
        <v>50.046632124352335</v>
      </c>
      <c r="BO56" s="290"/>
      <c r="BP56" s="641"/>
      <c r="BQ56" s="690"/>
      <c r="BR56" s="822"/>
      <c r="BS56" s="653" t="str">
        <f t="shared" si="11"/>
        <v/>
      </c>
      <c r="BT56" s="290"/>
      <c r="BU56" s="655"/>
      <c r="BX56" s="666" t="str">
        <f t="shared" si="8"/>
        <v>Aug</v>
      </c>
      <c r="BY56" s="643">
        <f>IF(CB56=$CB58,SUMIF($BI46:$BI57,$BX56,$BR46:$BR57),SUMIF($BI46:$BI57,$BX56,$BM46:$BM57))</f>
        <v>0.193</v>
      </c>
      <c r="BZ56" s="668" t="e">
        <f>IF(IF(CB56=CB58,SUMIF(BI46:BI57,$BX56,BU46:BU57),SUMIF(BI46:BI57,$BX56,BP46:BP57))=0,NA(),IF(CB56=CB58,SUMIF(BI46:BI57,$BX56,BU46:BU57),SUMIF(BI46:BI57,$BX56,BP46:BP57)))</f>
        <v>#N/A</v>
      </c>
      <c r="CA56" s="664">
        <f>IF(IF(CB56=CB58,SUMIF(BI46:BI57,$BX56,BS46:BS57),SUMIF(BI46:BI57,$BX56,BN46:BN57))=0,NA(),IF(CB56=CB58,SUMIF(BI46:BI57,$BX56,BS46:BS57),SUMIF(BI46:BI57,$BX56,BN46:BN57)))</f>
        <v>50.046632124352335</v>
      </c>
      <c r="CB56" s="645">
        <f t="shared" si="12"/>
        <v>23</v>
      </c>
      <c r="CC56" s="645">
        <f t="shared" si="9"/>
        <v>8</v>
      </c>
    </row>
    <row r="57" spans="2:81" ht="15" customHeight="1">
      <c r="BI57" s="638" t="s">
        <v>344</v>
      </c>
      <c r="BJ57" s="638">
        <v>12</v>
      </c>
      <c r="BK57" s="638" t="s">
        <v>338</v>
      </c>
      <c r="BL57" s="690">
        <v>12.493</v>
      </c>
      <c r="BM57" s="822">
        <v>0.249</v>
      </c>
      <c r="BN57" s="653">
        <f t="shared" si="10"/>
        <v>50.172690763052209</v>
      </c>
      <c r="BO57" s="290"/>
      <c r="BP57" s="641"/>
      <c r="BQ57" s="690"/>
      <c r="BR57" s="822"/>
      <c r="BS57" s="653" t="str">
        <f t="shared" si="11"/>
        <v/>
      </c>
      <c r="BT57" s="290"/>
      <c r="BU57" s="655"/>
      <c r="BV57" s="6"/>
      <c r="BX57" s="666" t="str">
        <f t="shared" si="8"/>
        <v>Sep</v>
      </c>
      <c r="BY57" s="643">
        <f>IF(CB57=$CB58,SUMIF($BI46:$BI57,$BX57,$BR46:$BR57),SUMIF($BI46:$BI57,$BX57,$BM46:$BM57))</f>
        <v>0.249</v>
      </c>
      <c r="BZ57" s="668" t="e">
        <f>IF(IF(CB57=CB58,SUMIF(BI46:BI57,$BX57,BU46:BU57),SUMIF(BI46:BI57,$BX57,BP46:BP57))=0,NA(),IF(CB57=CB58,SUMIF(BI46:BI57,$BX57,BU46:BU57),SUMIF(BI46:BI57,$BX57,BP46:BP57)))</f>
        <v>#N/A</v>
      </c>
      <c r="CA57" s="664">
        <f>IF(IF(CB57=CB58,SUMIF(BI46:BI57,$BX57,BS46:BS57),SUMIF(BI46:BI57,$BX57,BN46:BN57))=0,NA(),IF(CB57=CB58,SUMIF(BI46:BI57,$BX57,BS46:BS57),SUMIF(BI46:BI57,$BX57,BN46:BN57)))</f>
        <v>50.172690763052209</v>
      </c>
      <c r="CB57" s="645">
        <f t="shared" si="12"/>
        <v>23</v>
      </c>
      <c r="CC57" s="645">
        <f>IF(CC58-1&lt;1,CC58+11,CC58-1)</f>
        <v>9</v>
      </c>
    </row>
    <row r="58" spans="2:81" ht="15" customHeight="1">
      <c r="BJ58" s="6"/>
      <c r="BK58" s="6"/>
      <c r="BL58" s="6"/>
      <c r="BM58" s="6"/>
      <c r="BN58" s="6"/>
      <c r="BO58" s="6"/>
      <c r="BP58" s="6"/>
      <c r="BQ58" s="6"/>
      <c r="BR58" s="6"/>
      <c r="BS58" s="6"/>
      <c r="BT58" s="6"/>
      <c r="BU58" s="6"/>
      <c r="BV58" s="6"/>
      <c r="BW58" s="667" t="str">
        <f>Cover!$M$34</f>
        <v>OCT FY-24</v>
      </c>
      <c r="BX58" s="666" t="str">
        <f>TEXT(CONCATENATE(CC58,"/01/20",CB58),"MMM")</f>
        <v>Oct</v>
      </c>
      <c r="BY58" s="643">
        <f>SUMIF($BI46:$BI57,$BX58,$BR46:$BR57)</f>
        <v>0.217</v>
      </c>
      <c r="BZ58" s="668" t="e">
        <f>IF(IF(CB58=CB58,SUMIF(BI46:BI57,$BX58,BU46:BU57),SUMIF(BI46:BI57,$BX58,BP46:BP57))=0,NA(),IF(CB58=CB58,SUMIF(BI46:BI57,$BX58,BU46:BU57),SUMIF(BI46:BI57,$BX58,BP46:BP57)))</f>
        <v>#N/A</v>
      </c>
      <c r="CA58" s="664">
        <f>IF(SUMIF($BI46:$BI57,$BX58,$BS46:$BS57)=0,NA(),SUMIF($BI46:$BI57,$BX58,$BS46:$BS57))</f>
        <v>45.34001152073732</v>
      </c>
      <c r="CB58" s="645">
        <f t="shared" si="12"/>
        <v>24</v>
      </c>
      <c r="CC58" s="645">
        <f>MONTH(DATEVALUE(LEFT(BW58,3)&amp;" 1"))</f>
        <v>10</v>
      </c>
    </row>
    <row r="59" spans="2:81" ht="15" customHeight="1">
      <c r="BJ59" s="6"/>
      <c r="BK59" s="6"/>
      <c r="BL59" s="6"/>
      <c r="BM59" s="6"/>
      <c r="BN59" s="6"/>
      <c r="BO59" s="6"/>
      <c r="BP59" s="6"/>
      <c r="BQ59" s="6"/>
      <c r="BR59" s="6"/>
      <c r="BS59" s="6"/>
      <c r="BT59" s="6"/>
      <c r="BU59" s="6"/>
      <c r="BV59" s="6"/>
    </row>
    <row r="60" spans="2:81" ht="15" customHeight="1">
      <c r="BI60" s="54" t="s">
        <v>292</v>
      </c>
      <c r="BJ60" s="287" t="s">
        <v>387</v>
      </c>
      <c r="BK60" s="287"/>
      <c r="BL60" s="287"/>
      <c r="BM60" s="287"/>
      <c r="BN60" s="287"/>
      <c r="BO60" s="287"/>
      <c r="BP60" s="287"/>
      <c r="BQ60" s="287"/>
      <c r="BR60" s="287"/>
      <c r="BS60" s="287"/>
      <c r="BT60" s="287"/>
      <c r="BU60" s="287"/>
      <c r="BV60" s="6"/>
    </row>
    <row r="61" spans="2:81" ht="15" customHeight="1">
      <c r="B61" s="267" t="s">
        <v>242</v>
      </c>
      <c r="C61" s="267"/>
      <c r="D61" s="267"/>
      <c r="E61" s="334"/>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E61" s="267" t="s">
        <v>242</v>
      </c>
      <c r="AF61" s="267"/>
      <c r="AG61" s="267"/>
      <c r="AH61" s="334"/>
      <c r="AI61" s="326"/>
      <c r="AJ61" s="326"/>
      <c r="AK61" s="326"/>
      <c r="AL61" s="326"/>
      <c r="AM61" s="326"/>
      <c r="AN61" s="326"/>
      <c r="AO61" s="326"/>
      <c r="AP61" s="326"/>
      <c r="AQ61" s="326"/>
      <c r="AR61" s="326"/>
      <c r="AS61" s="326"/>
      <c r="AT61" s="326"/>
      <c r="AU61" s="326"/>
      <c r="AV61" s="326"/>
      <c r="AW61" s="326"/>
      <c r="AX61" s="326"/>
      <c r="AY61" s="326"/>
      <c r="AZ61" s="326"/>
      <c r="BA61" s="326"/>
      <c r="BB61" s="326"/>
      <c r="BC61" s="326"/>
      <c r="BD61" s="326"/>
      <c r="BE61" s="326"/>
      <c r="BI61" s="54" t="s">
        <v>296</v>
      </c>
      <c r="BJ61" s="287" t="s">
        <v>389</v>
      </c>
      <c r="BK61" s="287"/>
      <c r="BL61" s="287"/>
      <c r="BM61" s="287"/>
      <c r="BN61" s="287"/>
      <c r="BO61" s="287"/>
      <c r="BP61" s="287"/>
      <c r="BQ61" s="287"/>
      <c r="BR61" s="287"/>
      <c r="BS61" s="287"/>
      <c r="BT61" s="287"/>
      <c r="BU61" s="287"/>
      <c r="BV61" s="6"/>
    </row>
    <row r="62" spans="2:81" ht="15" customHeight="1" thickBot="1">
      <c r="B62" s="1137" t="str">
        <f>AC38</f>
        <v>Self Reported</v>
      </c>
      <c r="C62" s="1138"/>
      <c r="D62" s="1138"/>
      <c r="E62" s="1138"/>
      <c r="F62" s="1138"/>
      <c r="G62" s="1138"/>
      <c r="H62" s="1138"/>
      <c r="I62" s="1138"/>
      <c r="J62" s="1138"/>
      <c r="K62" s="1138"/>
      <c r="L62" s="1138"/>
      <c r="M62" s="1138"/>
      <c r="N62" s="1138"/>
      <c r="O62" s="1138"/>
      <c r="P62" s="1138"/>
      <c r="Q62" s="1138"/>
      <c r="R62" s="1138"/>
      <c r="S62" s="1138"/>
      <c r="T62" s="1138"/>
      <c r="U62" s="1138"/>
      <c r="V62" s="1138"/>
      <c r="W62" s="1138"/>
      <c r="X62" s="1138"/>
      <c r="Y62" s="1138"/>
      <c r="Z62" s="1138"/>
      <c r="AA62" s="1138"/>
      <c r="AB62" s="1139"/>
      <c r="AE62" s="1137" t="str">
        <f>AC39</f>
        <v>Cost per entry down versus prior month due September being a 5 week period.  Down versus prior year due to us not being fully staffed in FY24 but we were in FY23</v>
      </c>
      <c r="AF62" s="1138"/>
      <c r="AG62" s="1138"/>
      <c r="AH62" s="1138"/>
      <c r="AI62" s="1138"/>
      <c r="AJ62" s="1138"/>
      <c r="AK62" s="1138"/>
      <c r="AL62" s="1138"/>
      <c r="AM62" s="1138"/>
      <c r="AN62" s="1138"/>
      <c r="AO62" s="1138"/>
      <c r="AP62" s="1138"/>
      <c r="AQ62" s="1138"/>
      <c r="AR62" s="1138"/>
      <c r="AS62" s="1138"/>
      <c r="AT62" s="1138"/>
      <c r="AU62" s="1138"/>
      <c r="AV62" s="1138"/>
      <c r="AW62" s="1138"/>
      <c r="AX62" s="1138"/>
      <c r="AY62" s="1138"/>
      <c r="AZ62" s="1138"/>
      <c r="BA62" s="1138"/>
      <c r="BB62" s="1138"/>
      <c r="BC62" s="1138"/>
      <c r="BD62" s="1138"/>
      <c r="BE62" s="1139"/>
      <c r="BI62" s="54" t="s">
        <v>300</v>
      </c>
      <c r="BJ62" s="287" t="s">
        <v>390</v>
      </c>
      <c r="BK62" s="287"/>
      <c r="BL62" s="287"/>
      <c r="BM62" s="287"/>
      <c r="BN62" s="287"/>
      <c r="BO62" s="287"/>
      <c r="BP62" s="287"/>
      <c r="BQ62" s="287"/>
      <c r="BR62" s="287"/>
      <c r="BS62" s="287"/>
      <c r="BT62" s="287"/>
      <c r="BU62" s="287"/>
      <c r="BV62" s="6"/>
    </row>
    <row r="63" spans="2:81" ht="15" customHeight="1" thickBot="1">
      <c r="B63" s="1140"/>
      <c r="C63" s="1141"/>
      <c r="D63" s="1141"/>
      <c r="E63" s="1141"/>
      <c r="F63" s="1141"/>
      <c r="G63" s="1141"/>
      <c r="H63" s="1141"/>
      <c r="I63" s="1141"/>
      <c r="J63" s="1141"/>
      <c r="K63" s="1141"/>
      <c r="L63" s="1141"/>
      <c r="M63" s="1141"/>
      <c r="N63" s="1141"/>
      <c r="O63" s="1141"/>
      <c r="P63" s="1141"/>
      <c r="Q63" s="1141"/>
      <c r="R63" s="1141"/>
      <c r="S63" s="1141"/>
      <c r="T63" s="1141"/>
      <c r="U63" s="1141"/>
      <c r="V63" s="1141"/>
      <c r="W63" s="1141"/>
      <c r="X63" s="1141"/>
      <c r="Y63" s="1141"/>
      <c r="Z63" s="1141"/>
      <c r="AA63" s="1141"/>
      <c r="AB63" s="1142"/>
      <c r="AE63" s="1140"/>
      <c r="AF63" s="1141"/>
      <c r="AG63" s="1141"/>
      <c r="AH63" s="1141"/>
      <c r="AI63" s="1141"/>
      <c r="AJ63" s="1141"/>
      <c r="AK63" s="1141"/>
      <c r="AL63" s="1141"/>
      <c r="AM63" s="1141"/>
      <c r="AN63" s="1141"/>
      <c r="AO63" s="1141"/>
      <c r="AP63" s="1141"/>
      <c r="AQ63" s="1141"/>
      <c r="AR63" s="1141"/>
      <c r="AS63" s="1141"/>
      <c r="AT63" s="1141"/>
      <c r="AU63" s="1141"/>
      <c r="AV63" s="1141"/>
      <c r="AW63" s="1141"/>
      <c r="AX63" s="1141"/>
      <c r="AY63" s="1141"/>
      <c r="AZ63" s="1141"/>
      <c r="BA63" s="1141"/>
      <c r="BB63" s="1141"/>
      <c r="BC63" s="1141"/>
      <c r="BD63" s="1141"/>
      <c r="BE63" s="1142"/>
      <c r="BI63" s="277"/>
      <c r="BJ63" s="277"/>
      <c r="BK63" s="277"/>
      <c r="BL63" s="1148" t="s">
        <v>302</v>
      </c>
      <c r="BM63" s="1149"/>
      <c r="BN63" s="1149"/>
      <c r="BO63" s="1149"/>
      <c r="BP63" s="1151"/>
      <c r="BQ63" s="1148" t="s">
        <v>719</v>
      </c>
      <c r="BR63" s="1149"/>
      <c r="BS63" s="1149"/>
      <c r="BT63" s="1149"/>
      <c r="BU63" s="1150"/>
      <c r="BV63" s="6"/>
      <c r="BW63" s="1148" t="s">
        <v>303</v>
      </c>
      <c r="BX63" s="1149"/>
      <c r="BY63" s="1149"/>
      <c r="BZ63" s="1149"/>
      <c r="CA63" s="1149"/>
      <c r="CB63" s="1149"/>
      <c r="CC63" s="1150"/>
    </row>
    <row r="64" spans="2:81" ht="15" customHeight="1">
      <c r="B64" s="1140"/>
      <c r="C64" s="1141"/>
      <c r="D64" s="1141"/>
      <c r="E64" s="1141"/>
      <c r="F64" s="1141"/>
      <c r="G64" s="1141"/>
      <c r="H64" s="1141"/>
      <c r="I64" s="1141"/>
      <c r="J64" s="1141"/>
      <c r="K64" s="1141"/>
      <c r="L64" s="1141"/>
      <c r="M64" s="1141"/>
      <c r="N64" s="1141"/>
      <c r="O64" s="1141"/>
      <c r="P64" s="1141"/>
      <c r="Q64" s="1141"/>
      <c r="R64" s="1141"/>
      <c r="S64" s="1141"/>
      <c r="T64" s="1141"/>
      <c r="U64" s="1141"/>
      <c r="V64" s="1141"/>
      <c r="W64" s="1141"/>
      <c r="X64" s="1141"/>
      <c r="Y64" s="1141"/>
      <c r="Z64" s="1141"/>
      <c r="AA64" s="1141"/>
      <c r="AB64" s="1142"/>
      <c r="AE64" s="1140"/>
      <c r="AF64" s="1141"/>
      <c r="AG64" s="1141"/>
      <c r="AH64" s="1141"/>
      <c r="AI64" s="1141"/>
      <c r="AJ64" s="1141"/>
      <c r="AK64" s="1141"/>
      <c r="AL64" s="1141"/>
      <c r="AM64" s="1141"/>
      <c r="AN64" s="1141"/>
      <c r="AO64" s="1141"/>
      <c r="AP64" s="1141"/>
      <c r="AQ64" s="1141"/>
      <c r="AR64" s="1141"/>
      <c r="AS64" s="1141"/>
      <c r="AT64" s="1141"/>
      <c r="AU64" s="1141"/>
      <c r="AV64" s="1141"/>
      <c r="AW64" s="1141"/>
      <c r="AX64" s="1141"/>
      <c r="AY64" s="1141"/>
      <c r="AZ64" s="1141"/>
      <c r="BA64" s="1141"/>
      <c r="BB64" s="1141"/>
      <c r="BC64" s="1141"/>
      <c r="BD64" s="1141"/>
      <c r="BE64" s="1142"/>
      <c r="BI64" s="636" t="s">
        <v>23</v>
      </c>
      <c r="BJ64" s="636" t="s">
        <v>37</v>
      </c>
      <c r="BK64" s="636" t="s">
        <v>304</v>
      </c>
      <c r="BL64" s="637" t="s">
        <v>305</v>
      </c>
      <c r="BM64" s="637" t="s">
        <v>310</v>
      </c>
      <c r="BN64" s="637" t="s">
        <v>311</v>
      </c>
      <c r="BO64" s="278" t="s">
        <v>312</v>
      </c>
      <c r="BP64" s="637" t="s">
        <v>313</v>
      </c>
      <c r="BQ64" s="637" t="s">
        <v>305</v>
      </c>
      <c r="BR64" s="637" t="s">
        <v>715</v>
      </c>
      <c r="BS64" s="637" t="s">
        <v>716</v>
      </c>
      <c r="BT64" s="278" t="s">
        <v>717</v>
      </c>
      <c r="BU64" s="637" t="s">
        <v>718</v>
      </c>
      <c r="BV64" s="6"/>
      <c r="BW64" s="279" t="s">
        <v>314</v>
      </c>
      <c r="BX64" s="279" t="s">
        <v>23</v>
      </c>
      <c r="BY64" s="279" t="s">
        <v>315</v>
      </c>
      <c r="BZ64" s="279" t="s">
        <v>122</v>
      </c>
      <c r="CA64" s="279" t="s">
        <v>316</v>
      </c>
      <c r="CB64" s="279" t="s">
        <v>317</v>
      </c>
      <c r="CC64" s="279" t="s">
        <v>318</v>
      </c>
    </row>
    <row r="65" spans="1:81" customFormat="1" ht="15" customHeight="1">
      <c r="A65" s="6"/>
      <c r="B65" s="1143"/>
      <c r="C65" s="1144"/>
      <c r="D65" s="1144"/>
      <c r="E65" s="1144"/>
      <c r="F65" s="1144"/>
      <c r="G65" s="1144"/>
      <c r="H65" s="1144"/>
      <c r="I65" s="1144"/>
      <c r="J65" s="1144"/>
      <c r="K65" s="1144"/>
      <c r="L65" s="1144"/>
      <c r="M65" s="1144"/>
      <c r="N65" s="1144"/>
      <c r="O65" s="1144"/>
      <c r="P65" s="1144"/>
      <c r="Q65" s="1144"/>
      <c r="R65" s="1144"/>
      <c r="S65" s="1144"/>
      <c r="T65" s="1144"/>
      <c r="U65" s="1144"/>
      <c r="V65" s="1144"/>
      <c r="W65" s="1144"/>
      <c r="X65" s="1144"/>
      <c r="Y65" s="1144"/>
      <c r="Z65" s="1144"/>
      <c r="AA65" s="1144"/>
      <c r="AB65" s="1145"/>
      <c r="AC65" s="37"/>
      <c r="AD65" s="37"/>
      <c r="AE65" s="1143"/>
      <c r="AF65" s="1144"/>
      <c r="AG65" s="1144"/>
      <c r="AH65" s="1144"/>
      <c r="AI65" s="1144"/>
      <c r="AJ65" s="1144"/>
      <c r="AK65" s="1144"/>
      <c r="AL65" s="1144"/>
      <c r="AM65" s="1144"/>
      <c r="AN65" s="1144"/>
      <c r="AO65" s="1144"/>
      <c r="AP65" s="1144"/>
      <c r="AQ65" s="1144"/>
      <c r="AR65" s="1144"/>
      <c r="AS65" s="1144"/>
      <c r="AT65" s="1144"/>
      <c r="AU65" s="1144"/>
      <c r="AV65" s="1144"/>
      <c r="AW65" s="1144"/>
      <c r="AX65" s="1144"/>
      <c r="AY65" s="1144"/>
      <c r="AZ65" s="1144"/>
      <c r="BA65" s="1144"/>
      <c r="BB65" s="1144"/>
      <c r="BC65" s="1144"/>
      <c r="BD65" s="1144"/>
      <c r="BE65" s="1145"/>
      <c r="BF65" s="6"/>
      <c r="BI65" s="638" t="s">
        <v>319</v>
      </c>
      <c r="BJ65" s="638">
        <v>1</v>
      </c>
      <c r="BK65" s="638" t="s">
        <v>320</v>
      </c>
      <c r="BL65" s="690">
        <v>0.69499999999999995</v>
      </c>
      <c r="BM65" s="690">
        <v>0.69499999999999995</v>
      </c>
      <c r="BN65" s="842">
        <f>IF(BM65="","",BL65/BM65)</f>
        <v>1</v>
      </c>
      <c r="BO65" s="833">
        <f>IF(SUM(BM65:BM67=0),0,SUM(BL65:BL67)/SUM(BM65:BM67))</f>
        <v>1</v>
      </c>
      <c r="BP65" s="641"/>
      <c r="BQ65" s="690">
        <v>0.77700000000000002</v>
      </c>
      <c r="BR65" s="690">
        <v>0.77700000000000002</v>
      </c>
      <c r="BS65" s="842">
        <f>IF(BR65="","",BQ65/BR65)</f>
        <v>1</v>
      </c>
      <c r="BT65" s="833">
        <f>IF(SUM(BR65:BR67=0),0,SUM(BQ65:BQ67)/SUM(BR65:BR67))</f>
        <v>1</v>
      </c>
      <c r="BU65" s="641"/>
      <c r="BV65" s="6"/>
      <c r="BW65" s="6"/>
      <c r="BX65" s="666" t="str">
        <f t="shared" ref="BX65:BX76" si="13">TEXT(CONCATENATE(CC65,"/01/20",CB65),"MMM")</f>
        <v>Oct</v>
      </c>
      <c r="BY65" s="643">
        <f>IF(CB65=$CB77,SUMIF($BI65:$BI76,$BX65,$BR65:$BR76),SUMIF($BI65:$BI76,$BX65,$BM65:$BM76))</f>
        <v>0.69499999999999995</v>
      </c>
      <c r="BZ65" s="641" t="e">
        <f>IF(IF(CB65=CB77,SUMIF(BI65:BI76,$BX65,BU65:BU76),SUMIF(BI65:BI76,$BX65,BP65:BP76))=0,NA(),IF(CB65=CB77,SUMIF(BI65:BI76,$BX65,BU65:BU76),SUMIF(BI65:BI76,$BX65,BP65:BP76)))</f>
        <v>#N/A</v>
      </c>
      <c r="CA65" s="644">
        <f>IF(IF(CB65=CB77,SUMIF(BI65:BI76,$BX65,BS65:BS76),SUMIF(BI65:BI76,$BX65,BN65:BN76))=0,NA(),IF(CB65=CB77,SUMIF(BI65:BI76,$BX65,BS65:BS76),SUMIF(BI65:BI76,$BX65,BN65:BN76)))</f>
        <v>1</v>
      </c>
      <c r="CB65" s="645">
        <f>CB46</f>
        <v>23</v>
      </c>
      <c r="CC65" s="645">
        <f t="shared" ref="CC65:CC75" si="14">IF(CC66-1&lt;1,CC66+11,CC66-1)</f>
        <v>10</v>
      </c>
    </row>
    <row r="66" spans="1:81" customFormat="1" ht="15" customHeight="1">
      <c r="A66" s="6"/>
      <c r="B66" s="1289"/>
      <c r="C66" s="1289"/>
      <c r="D66" s="1289"/>
      <c r="E66" s="1289"/>
      <c r="F66" s="1289"/>
      <c r="G66" s="1289"/>
      <c r="H66" s="1289"/>
      <c r="I66" s="1289"/>
      <c r="J66" s="1289"/>
      <c r="K66" s="1289"/>
      <c r="L66" s="1289"/>
      <c r="M66" s="1289"/>
      <c r="N66" s="1289"/>
      <c r="O66" s="1289"/>
      <c r="P66" s="1289"/>
      <c r="Q66" s="1289"/>
      <c r="R66" s="1289"/>
      <c r="S66" s="1289"/>
      <c r="T66" s="1289"/>
      <c r="U66" s="1289"/>
      <c r="V66" s="1289"/>
      <c r="W66" s="1289"/>
      <c r="X66" s="1289"/>
      <c r="Y66" s="1289"/>
      <c r="Z66" s="1289"/>
      <c r="AA66" s="1289"/>
      <c r="AB66" s="1289"/>
      <c r="AC66" s="336"/>
      <c r="AD66" s="1289"/>
      <c r="AE66" s="1289"/>
      <c r="AF66" s="1289"/>
      <c r="AG66" s="1289"/>
      <c r="AH66" s="1289"/>
      <c r="AI66" s="1289"/>
      <c r="AJ66" s="1289"/>
      <c r="AK66" s="1289"/>
      <c r="AL66" s="1289"/>
      <c r="AM66" s="1289"/>
      <c r="AN66" s="1289"/>
      <c r="AO66" s="1289"/>
      <c r="AP66" s="1289"/>
      <c r="AQ66" s="1289"/>
      <c r="AR66" s="1289"/>
      <c r="AS66" s="1289"/>
      <c r="AT66" s="1289"/>
      <c r="AU66" s="1289"/>
      <c r="AV66" s="1289"/>
      <c r="AW66" s="1289"/>
      <c r="AX66" s="1289"/>
      <c r="AY66" s="1289"/>
      <c r="AZ66" s="1289"/>
      <c r="BA66" s="1289"/>
      <c r="BB66" s="1289"/>
      <c r="BC66" s="1289"/>
      <c r="BD66" s="1289"/>
      <c r="BE66" s="336"/>
      <c r="BF66" s="6"/>
      <c r="BI66" s="638" t="s">
        <v>321</v>
      </c>
      <c r="BJ66" s="638">
        <v>2</v>
      </c>
      <c r="BK66" s="638" t="s">
        <v>320</v>
      </c>
      <c r="BL66" s="690">
        <v>0.38500000000000001</v>
      </c>
      <c r="BM66" s="690">
        <v>0.38500000000000001</v>
      </c>
      <c r="BN66" s="842">
        <f t="shared" ref="BN66:BN76" si="15">IF(BM66="","",BL66/BM66)</f>
        <v>1</v>
      </c>
      <c r="BO66" s="290"/>
      <c r="BP66" s="641"/>
      <c r="BQ66" s="690"/>
      <c r="BR66" s="690"/>
      <c r="BS66" s="842" t="str">
        <f t="shared" ref="BS66:BS76" si="16">IF(BR66="","",BQ66/BR66)</f>
        <v/>
      </c>
      <c r="BT66" s="290"/>
      <c r="BU66" s="641"/>
      <c r="BV66" s="6"/>
      <c r="BW66" s="6"/>
      <c r="BX66" s="666" t="str">
        <f t="shared" si="13"/>
        <v>Nov</v>
      </c>
      <c r="BY66" s="643">
        <f>IF(CB66=$CB77,SUMIF($BI65:$BI76,$BX66,$BR65:$BR76),SUMIF($BI65:$BI76,$BX66,$BM65:$BM76))</f>
        <v>0.38500000000000001</v>
      </c>
      <c r="BZ66" s="641" t="e">
        <f>IF(IF(CB66=CB77,SUMIF(BI65:BI76,$BX66,BU65:BU76),SUMIF(BI65:BI76,$BX66,BP65:BP76))=0,NA(),IF(CB66=CB77,SUMIF(BI65:BI76,$BX66,BU65:BU76),SUMIF(BI65:BI76,$BX66,BP65:BP76)))</f>
        <v>#N/A</v>
      </c>
      <c r="CA66" s="644">
        <f>IF(IF(CB66=CB77,SUMIF(BI65:BI76,$BX66,BS65:BS76),SUMIF(BI65:BI76,$BX66,BN65:BN76))=0,NA(),IF(CB66=CB77,SUMIF(BI65:BI76,$BX66,BS65:BS76),SUMIF(BI65:BI76,$BX66,BN65:BN76)))</f>
        <v>1</v>
      </c>
      <c r="CB66" s="645">
        <f t="shared" ref="CB66:CB77" si="17">CB47</f>
        <v>23</v>
      </c>
      <c r="CC66" s="645">
        <f>IF(CC67-1&lt;1,CC67+11,CC67-1)</f>
        <v>11</v>
      </c>
    </row>
    <row r="67" spans="1:81" ht="15" customHeight="1">
      <c r="A67"/>
      <c r="B67" s="336"/>
      <c r="C67" s="336"/>
      <c r="D67" s="336"/>
      <c r="E67" s="336"/>
      <c r="F67" s="336"/>
      <c r="G67" s="336"/>
      <c r="H67" s="336"/>
      <c r="I67" s="336"/>
      <c r="J67" s="336"/>
      <c r="K67" s="336"/>
      <c r="L67" s="336"/>
      <c r="M67" s="336"/>
      <c r="N67" s="336"/>
      <c r="O67" s="336"/>
      <c r="P67" s="336"/>
      <c r="Q67" s="336"/>
      <c r="R67" s="336"/>
      <c r="S67" s="336"/>
      <c r="T67" s="336"/>
      <c r="U67" s="336"/>
      <c r="V67" s="336"/>
      <c r="W67" s="336"/>
      <c r="X67" s="336"/>
      <c r="Y67" s="336"/>
      <c r="Z67" s="336"/>
      <c r="AA67" s="336"/>
      <c r="AB67" s="336"/>
      <c r="AC67" s="336"/>
      <c r="AD67" s="336"/>
      <c r="AE67" s="336"/>
      <c r="AF67" s="336"/>
      <c r="AG67" s="336"/>
      <c r="AH67" s="336"/>
      <c r="AI67" s="336"/>
      <c r="AJ67" s="336"/>
      <c r="AK67" s="336"/>
      <c r="AL67" s="336"/>
      <c r="AM67" s="336"/>
      <c r="AN67" s="336"/>
      <c r="AO67" s="336"/>
      <c r="AP67" s="336"/>
      <c r="AQ67" s="336"/>
      <c r="AR67" s="336"/>
      <c r="AS67" s="336"/>
      <c r="AT67" s="336"/>
      <c r="AU67" s="336"/>
      <c r="AV67" s="336"/>
      <c r="AW67" s="336"/>
      <c r="AX67" s="336"/>
      <c r="AY67" s="336"/>
      <c r="AZ67" s="336"/>
      <c r="BA67" s="336"/>
      <c r="BB67" s="336"/>
      <c r="BC67" s="336"/>
      <c r="BD67" s="336"/>
      <c r="BE67" s="336"/>
      <c r="BF67"/>
      <c r="BI67" s="638" t="s">
        <v>322</v>
      </c>
      <c r="BJ67" s="638">
        <v>3</v>
      </c>
      <c r="BK67" s="638" t="s">
        <v>320</v>
      </c>
      <c r="BL67" s="690">
        <v>0.70699999999999996</v>
      </c>
      <c r="BM67" s="690">
        <v>0.70699999999999996</v>
      </c>
      <c r="BN67" s="842">
        <f t="shared" si="15"/>
        <v>1</v>
      </c>
      <c r="BO67" s="290"/>
      <c r="BP67" s="641"/>
      <c r="BQ67" s="690"/>
      <c r="BR67" s="690"/>
      <c r="BS67" s="842" t="str">
        <f t="shared" si="16"/>
        <v/>
      </c>
      <c r="BT67" s="290"/>
      <c r="BU67" s="641"/>
      <c r="BV67" s="6"/>
      <c r="BX67" s="666" t="str">
        <f t="shared" si="13"/>
        <v>Dec</v>
      </c>
      <c r="BY67" s="643">
        <f>IF(CB67=$CB77,SUMIF($BI65:$BI76,$BX67,$BR65:$BR76),SUMIF($BI65:$BI76,$BX67,$BM65:$BM76))</f>
        <v>0.70699999999999996</v>
      </c>
      <c r="BZ67" s="641" t="e">
        <f>IF(IF(CB67=CB77,SUMIF(BI65:BI76,$BX67,BU65:BU76),SUMIF(BI65:BI76,$BX67,BP65:BP76))=0,NA(),IF(CB67=CB77,SUMIF(BI65:BI76,$BX67,BU65:BU76),SUMIF(BI65:BI76,$BX67,BP65:BP76)))</f>
        <v>#N/A</v>
      </c>
      <c r="CA67" s="644">
        <f>IF(IF(CB67=CB77,SUMIF(BI65:BI76,$BX67,BS65:BS76),SUMIF(BI65:BI76,$BX67,BN65:BN76))=0,NA(),IF(CB67=CB77,SUMIF(BI65:BI76,$BX67,BS65:BS76),SUMIF(BI65:BI76,$BX67,BN65:BN76)))</f>
        <v>1</v>
      </c>
      <c r="CB67" s="645">
        <f t="shared" si="17"/>
        <v>23</v>
      </c>
      <c r="CC67" s="645">
        <f t="shared" si="14"/>
        <v>12</v>
      </c>
    </row>
    <row r="68" spans="1:81" ht="15" customHeight="1">
      <c r="A68"/>
      <c r="BF68"/>
      <c r="BI68" s="638" t="s">
        <v>323</v>
      </c>
      <c r="BJ68" s="638">
        <v>4</v>
      </c>
      <c r="BK68" s="638" t="s">
        <v>324</v>
      </c>
      <c r="BL68" s="690">
        <v>0.40300000000000002</v>
      </c>
      <c r="BM68" s="690">
        <v>0.40300000000000002</v>
      </c>
      <c r="BN68" s="842">
        <f t="shared" si="15"/>
        <v>1</v>
      </c>
      <c r="BO68" s="833">
        <f>IF(SUM(BM68:BM70=0),0,SUM(BL68:BL70)/SUM(BM68:BM70))</f>
        <v>1</v>
      </c>
      <c r="BP68" s="641"/>
      <c r="BQ68" s="690"/>
      <c r="BR68" s="690"/>
      <c r="BS68" s="842" t="str">
        <f t="shared" si="16"/>
        <v/>
      </c>
      <c r="BT68" s="833">
        <f>IF(SUM(BR68:BR70=0),0,SUM(BQ68:BQ70)/SUM(BR68:BR70))</f>
        <v>0</v>
      </c>
      <c r="BU68" s="641"/>
      <c r="BV68" s="6"/>
      <c r="BX68" s="666" t="str">
        <f t="shared" si="13"/>
        <v>Jan</v>
      </c>
      <c r="BY68" s="643">
        <f>IF(CB68=$CB77,SUMIF($BI65:$BI76,$BX68,$BR65:$BR76),SUMIF($BI65:$BI76,$BX68,$BM65:$BM76))</f>
        <v>0.40300000000000002</v>
      </c>
      <c r="BZ68" s="641" t="e">
        <f>IF(IF(CB68=CB77,SUMIF(BI65:BI76,$BX68,BU65:BU76),SUMIF(BI65:BI76,$BX68,BP65:BP76))=0,NA(),IF(CB68=CB77,SUMIF(BI65:BI76,$BX68,BU65:BU76),SUMIF(BI65:BI76,$BX68,BP65:BP76)))</f>
        <v>#N/A</v>
      </c>
      <c r="CA68" s="644">
        <f>IF(IF(CB68=CB77,SUMIF(BI65:BI76,$BX68,BS65:BS76),SUMIF(BI65:BI76,$BX68,BN65:BN76))=0,NA(),IF(CB68=CB77,SUMIF(BI65:BI76,$BX68,BS65:BS76),SUMIF(BI65:BI76,$BX68,BN65:BN76)))</f>
        <v>1</v>
      </c>
      <c r="CB68" s="645">
        <f t="shared" si="17"/>
        <v>23</v>
      </c>
      <c r="CC68" s="645">
        <f t="shared" si="14"/>
        <v>1</v>
      </c>
    </row>
    <row r="69" spans="1:81" ht="15" customHeight="1">
      <c r="BI69" s="638" t="s">
        <v>325</v>
      </c>
      <c r="BJ69" s="638">
        <v>5</v>
      </c>
      <c r="BK69" s="638" t="s">
        <v>324</v>
      </c>
      <c r="BL69" s="690">
        <v>0.41199999999999998</v>
      </c>
      <c r="BM69" s="690">
        <v>0.41199999999999998</v>
      </c>
      <c r="BN69" s="842">
        <f t="shared" si="15"/>
        <v>1</v>
      </c>
      <c r="BO69" s="290"/>
      <c r="BP69" s="641"/>
      <c r="BQ69" s="690"/>
      <c r="BR69" s="690"/>
      <c r="BS69" s="842" t="str">
        <f t="shared" si="16"/>
        <v/>
      </c>
      <c r="BT69" s="290"/>
      <c r="BU69" s="641"/>
      <c r="BV69" s="6"/>
      <c r="BX69" s="666" t="str">
        <f t="shared" si="13"/>
        <v>Feb</v>
      </c>
      <c r="BY69" s="643">
        <f>IF(CB69=$CB77,SUMIF($BI65:$BI76,$BX69,$BR65:$BR76),SUMIF($BI65:$BI76,$BX69,$BM65:$BM76))</f>
        <v>0.41199999999999998</v>
      </c>
      <c r="BZ69" s="641" t="e">
        <f>IF(IF(CB69=CB77,SUMIF(BI65:BI76,$BX69,BU65:BU76),SUMIF(BI65:BI76,$BX69,BP65:BP76))=0,NA(),IF(CB69=CB77,SUMIF(BI65:BI76,$BX69,BU65:BU76),SUMIF(BI65:BI76,$BX69,BP65:BP76)))</f>
        <v>#N/A</v>
      </c>
      <c r="CA69" s="644">
        <f>IF(IF(CB69=CB77,SUMIF(BI65:BI76,$BX69,BS65:BS76),SUMIF(BI65:BI76,$BX69,BN65:BN76))=0,NA(),IF(CB69=CB77,SUMIF(BI65:BI76,$BX69,BS65:BS76),SUMIF(BI65:BI76,$BX69,BN65:BN76)))</f>
        <v>1</v>
      </c>
      <c r="CB69" s="645">
        <f t="shared" si="17"/>
        <v>23</v>
      </c>
      <c r="CC69" s="645">
        <f t="shared" si="14"/>
        <v>2</v>
      </c>
    </row>
    <row r="70" spans="1:81" ht="15" customHeight="1">
      <c r="BI70" s="638" t="s">
        <v>326</v>
      </c>
      <c r="BJ70" s="638">
        <v>6</v>
      </c>
      <c r="BK70" s="638" t="s">
        <v>324</v>
      </c>
      <c r="BL70" s="690">
        <v>0.69</v>
      </c>
      <c r="BM70" s="690">
        <v>0.69</v>
      </c>
      <c r="BN70" s="842">
        <f t="shared" si="15"/>
        <v>1</v>
      </c>
      <c r="BO70" s="290"/>
      <c r="BP70" s="641"/>
      <c r="BQ70" s="690"/>
      <c r="BR70" s="690"/>
      <c r="BS70" s="842" t="str">
        <f t="shared" si="16"/>
        <v/>
      </c>
      <c r="BT70" s="290"/>
      <c r="BU70" s="641"/>
      <c r="BV70" s="6"/>
      <c r="BX70" s="666" t="str">
        <f t="shared" si="13"/>
        <v>Mar</v>
      </c>
      <c r="BY70" s="643">
        <f>IF(CB70=$CB77,SUMIF($BI65:$BI76,$BX70,$BR65:$BR76),SUMIF($BI65:$BI76,$BX70,$BM65:$BM76))</f>
        <v>0.69</v>
      </c>
      <c r="BZ70" s="641" t="e">
        <f>IF(IF(CB70=CB77,SUMIF(BI65:BI76,$BX70,BU65:BU76),SUMIF(BI65:BI76,$BX70,BP65:BP76))=0,NA(),IF(CB70=CB77,SUMIF(BI65:BI76,$BX70,BU65:BU76),SUMIF(BI65:BI76,$BX70,BP65:BP76)))</f>
        <v>#N/A</v>
      </c>
      <c r="CA70" s="644">
        <f>IF(IF(CB70=CB77,SUMIF(BI65:BI76,$BX70,BS65:BS76),SUMIF(BI65:BI76,$BX70,BN65:BN76))=0,NA(),IF(CB70=CB77,SUMIF(BI65:BI76,$BX70,BS65:BS76),SUMIF(BI65:BI76,$BX70,BN65:BN76)))</f>
        <v>1</v>
      </c>
      <c r="CB70" s="645">
        <f t="shared" si="17"/>
        <v>23</v>
      </c>
      <c r="CC70" s="645">
        <f t="shared" si="14"/>
        <v>3</v>
      </c>
    </row>
    <row r="71" spans="1:81" ht="15" customHeight="1">
      <c r="BI71" s="638" t="s">
        <v>327</v>
      </c>
      <c r="BJ71" s="638">
        <v>7</v>
      </c>
      <c r="BK71" s="638" t="s">
        <v>328</v>
      </c>
      <c r="BL71" s="690">
        <v>0.41</v>
      </c>
      <c r="BM71" s="690">
        <v>0.41</v>
      </c>
      <c r="BN71" s="842">
        <f t="shared" si="15"/>
        <v>1</v>
      </c>
      <c r="BO71" s="833">
        <f>IF(SUM(BM71:BM73=0),0,SUM(BL71:BL73)/SUM(BM71:BM73))</f>
        <v>1</v>
      </c>
      <c r="BP71" s="641"/>
      <c r="BQ71" s="690"/>
      <c r="BR71" s="690"/>
      <c r="BS71" s="842" t="str">
        <f t="shared" si="16"/>
        <v/>
      </c>
      <c r="BT71" s="833">
        <f>IF(SUM(BR71:BR73=0),0,SUM(BQ71:BQ73)/SUM(BR71:BR73))</f>
        <v>0</v>
      </c>
      <c r="BU71" s="641"/>
      <c r="BV71" s="6"/>
      <c r="BX71" s="666" t="str">
        <f t="shared" si="13"/>
        <v>Apr</v>
      </c>
      <c r="BY71" s="643">
        <f>IF(CB71=$CB77,SUMIF($BI65:$BI76,$BX71,$BR65:$BR76),SUMIF($BI65:$BI76,$BX71,$BM65:$BM76))</f>
        <v>0.41</v>
      </c>
      <c r="BZ71" s="641" t="e">
        <f>IF(IF(CB71=CB77,SUMIF(BI65:BI76,$BX71,BU65:BU76),SUMIF(BI65:BI76,$BX71,BP65:BP76))=0,NA(),IF(CB71=CB77,SUMIF(BI65:BI76,$BX71,BU65:BU76),SUMIF(BI65:BI76,$BX71,BP65:BP76)))</f>
        <v>#N/A</v>
      </c>
      <c r="CA71" s="644">
        <f>IF(IF(CB71=CB77,SUMIF(BI65:BI76,$BX71,BS65:BS76),SUMIF(BI65:BI76,$BX71,BN65:BN76))=0,NA(),IF(CB71=CB77,SUMIF(BI65:BI76,$BX71,BS65:BS76),SUMIF(BI65:BI76,$BX71,BN65:BN76)))</f>
        <v>1</v>
      </c>
      <c r="CB71" s="645">
        <f t="shared" si="17"/>
        <v>23</v>
      </c>
      <c r="CC71" s="645">
        <f t="shared" si="14"/>
        <v>4</v>
      </c>
    </row>
    <row r="72" spans="1:81" ht="15" customHeight="1">
      <c r="BI72" s="638" t="s">
        <v>329</v>
      </c>
      <c r="BJ72" s="638">
        <v>8</v>
      </c>
      <c r="BK72" s="638" t="s">
        <v>328</v>
      </c>
      <c r="BL72" s="690">
        <v>0.38200000000000001</v>
      </c>
      <c r="BM72" s="690">
        <v>0.38200000000000001</v>
      </c>
      <c r="BN72" s="842">
        <f t="shared" si="15"/>
        <v>1</v>
      </c>
      <c r="BO72" s="290"/>
      <c r="BP72" s="641"/>
      <c r="BQ72" s="690"/>
      <c r="BR72" s="690"/>
      <c r="BS72" s="842" t="str">
        <f t="shared" si="16"/>
        <v/>
      </c>
      <c r="BT72" s="290"/>
      <c r="BU72" s="641"/>
      <c r="BV72" s="6"/>
      <c r="BX72" s="666" t="str">
        <f t="shared" si="13"/>
        <v>May</v>
      </c>
      <c r="BY72" s="643">
        <f>IF(CB72=$CB77,SUMIF($BI65:$BI76,$BX72,$BR65:$BR76),SUMIF($BI65:$BI76,$BX72,$BM65:$BM76))</f>
        <v>0.38200000000000001</v>
      </c>
      <c r="BZ72" s="641" t="e">
        <f>IF(IF(CB72=CB77,SUMIF(BI65:BI76,$BX72,BU65:BU76),SUMIF(BI65:BI76,$BX72,BP65:BP76))=0,NA(),IF(CB72=CB77,SUMIF(BI65:BI76,$BX72,BU65:BU76),SUMIF(BI65:BI76,$BX72,BP65:BP76)))</f>
        <v>#N/A</v>
      </c>
      <c r="CA72" s="644">
        <f>IF(IF(CB72=CB77,SUMIF(BI65:BI76,$BX72,BS65:BS76),SUMIF(BI65:BI76,$BX72,BN65:BN76))=0,NA(),IF(CB72=CB77,SUMIF(BI65:BI76,$BX72,BS65:BS76),SUMIF(BI65:BI76,$BX72,BN65:BN76)))</f>
        <v>1</v>
      </c>
      <c r="CB72" s="645">
        <f t="shared" si="17"/>
        <v>23</v>
      </c>
      <c r="CC72" s="645">
        <f t="shared" si="14"/>
        <v>5</v>
      </c>
    </row>
    <row r="73" spans="1:81" ht="15" customHeight="1">
      <c r="BI73" s="638" t="s">
        <v>331</v>
      </c>
      <c r="BJ73" s="638">
        <v>9</v>
      </c>
      <c r="BK73" s="638" t="s">
        <v>328</v>
      </c>
      <c r="BL73" s="690">
        <v>0.747</v>
      </c>
      <c r="BM73" s="690">
        <v>0.747</v>
      </c>
      <c r="BN73" s="842">
        <f t="shared" si="15"/>
        <v>1</v>
      </c>
      <c r="BO73" s="290"/>
      <c r="BP73" s="641"/>
      <c r="BQ73" s="690"/>
      <c r="BR73" s="690"/>
      <c r="BS73" s="842" t="str">
        <f t="shared" si="16"/>
        <v/>
      </c>
      <c r="BT73" s="290"/>
      <c r="BU73" s="641"/>
      <c r="BV73" s="6"/>
      <c r="BX73" s="666" t="str">
        <f t="shared" si="13"/>
        <v>Jun</v>
      </c>
      <c r="BY73" s="643">
        <f>IF(CB73=$CB77,SUMIF($BI65:$BI76,$BX73,$BR65:$BR76),SUMIF($BI65:$BI76,$BX73,$BM65:$BM76))</f>
        <v>0.747</v>
      </c>
      <c r="BZ73" s="641" t="e">
        <f>IF(IF(CB73=CB77,SUMIF(BI65:BI76,$BX73,BU65:BU76),SUMIF(BI65:BI76,$BX73,BP65:BP76))=0,NA(),IF(CB73=CB77,SUMIF(BI65:BI76,$BX73,BU65:BU76),SUMIF(BI65:BI76,$BX73,BP65:BP76)))</f>
        <v>#N/A</v>
      </c>
      <c r="CA73" s="644">
        <f>IF(IF(CB73=CB77,SUMIF(BI65:BI76,$BX73,BS65:BS76),SUMIF(BI65:BI76,$BX73,BN65:BN76))=0,NA(),IF(CB73=CB77,SUMIF(BI65:BI76,$BX73,BS65:BS76),SUMIF(BI65:BI76,$BX73,BN65:BN76)))</f>
        <v>1</v>
      </c>
      <c r="CB73" s="645">
        <f t="shared" si="17"/>
        <v>23</v>
      </c>
      <c r="CC73" s="645">
        <f t="shared" si="14"/>
        <v>6</v>
      </c>
    </row>
    <row r="74" spans="1:81" ht="15" customHeight="1">
      <c r="BI74" s="638" t="s">
        <v>337</v>
      </c>
      <c r="BJ74" s="638">
        <v>10</v>
      </c>
      <c r="BK74" s="638" t="s">
        <v>338</v>
      </c>
      <c r="BL74" s="690">
        <v>0.26500000000000001</v>
      </c>
      <c r="BM74" s="690">
        <v>0.26500000000000001</v>
      </c>
      <c r="BN74" s="842">
        <f t="shared" si="15"/>
        <v>1</v>
      </c>
      <c r="BO74" s="833">
        <f>IF(SUM(BM74:BM76=0),0,SUM(BL74:BL76)/SUM(BM74:BM76))</f>
        <v>1</v>
      </c>
      <c r="BP74" s="641"/>
      <c r="BQ74" s="690"/>
      <c r="BR74" s="690"/>
      <c r="BS74" s="842" t="str">
        <f t="shared" si="16"/>
        <v/>
      </c>
      <c r="BT74" s="833">
        <f>IF(SUM(BR74:BR76=0),0,SUM(BQ74:BQ76)/SUM(BR74:BR76))</f>
        <v>0</v>
      </c>
      <c r="BU74" s="641"/>
      <c r="BV74" s="6"/>
      <c r="BX74" s="666" t="str">
        <f t="shared" si="13"/>
        <v>Jul</v>
      </c>
      <c r="BY74" s="643">
        <f>IF(CB74=$CB77,SUMIF($BI65:$BI76,$BX74,$BR65:$BR76),SUMIF($BI65:$BI76,$BX74,$BM65:$BM76))</f>
        <v>0.26500000000000001</v>
      </c>
      <c r="BZ74" s="641" t="e">
        <f>IF(IF(CB74=CB77,SUMIF(BI65:BI76,$BX74,BU65:BU76),SUMIF(BI65:BI76,$BX74,BP65:BP76))=0,NA(),IF(CB74=CB77,SUMIF(BI65:BI76,$BX74,BU65:BU76),SUMIF(BI65:BI76,$BX74,BP65:BP76)))</f>
        <v>#N/A</v>
      </c>
      <c r="CA74" s="644">
        <f>IF(IF(CB74=CB77,SUMIF(BI65:BI76,$BX74,BS65:BS76),SUMIF(BI65:BI76,$BX74,BN65:BN76))=0,NA(),IF(CB74=CB77,SUMIF(BI65:BI76,$BX74,BS65:BS76),SUMIF(BI65:BI76,$BX74,BN65:BN76)))</f>
        <v>1</v>
      </c>
      <c r="CB74" s="645">
        <f t="shared" si="17"/>
        <v>23</v>
      </c>
      <c r="CC74" s="645">
        <f t="shared" si="14"/>
        <v>7</v>
      </c>
    </row>
    <row r="75" spans="1:81" ht="15" customHeight="1">
      <c r="BI75" s="638" t="s">
        <v>343</v>
      </c>
      <c r="BJ75" s="638">
        <v>11</v>
      </c>
      <c r="BK75" s="638" t="s">
        <v>338</v>
      </c>
      <c r="BL75" s="690">
        <v>0.23100000000000001</v>
      </c>
      <c r="BM75" s="690">
        <v>0.23100000000000001</v>
      </c>
      <c r="BN75" s="842">
        <f t="shared" si="15"/>
        <v>1</v>
      </c>
      <c r="BO75" s="290"/>
      <c r="BP75" s="641"/>
      <c r="BQ75" s="690"/>
      <c r="BR75" s="690"/>
      <c r="BS75" s="842" t="str">
        <f t="shared" si="16"/>
        <v/>
      </c>
      <c r="BT75" s="290"/>
      <c r="BU75" s="641"/>
      <c r="BV75" s="6"/>
      <c r="BX75" s="666" t="str">
        <f t="shared" si="13"/>
        <v>Aug</v>
      </c>
      <c r="BY75" s="643">
        <f>IF(CB75=$CB77,SUMIF($BI65:$BI76,$BX75,$BR65:$BR76),SUMIF($BI65:$BI76,$BX75,$BM65:$BM76))</f>
        <v>0.23100000000000001</v>
      </c>
      <c r="BZ75" s="641" t="e">
        <f>IF(IF(CB75=CB77,SUMIF(BI65:BI76,$BX75,BU65:BU76),SUMIF(BI65:BI76,$BX75,BP65:BP76))=0,NA(),IF(CB75=CB77,SUMIF(BI65:BI76,$BX75,BU65:BU76),SUMIF(BI65:BI76,$BX75,BP65:BP76)))</f>
        <v>#N/A</v>
      </c>
      <c r="CA75" s="644">
        <f>IF(IF(CB75=CB77,SUMIF(BI65:BI76,$BX75,BS65:BS76),SUMIF(BI65:BI76,$BX75,BN65:BN76))=0,NA(),IF(CB75=CB77,SUMIF(BI65:BI76,$BX75,BS65:BS76),SUMIF(BI65:BI76,$BX75,BN65:BN76)))</f>
        <v>1</v>
      </c>
      <c r="CB75" s="645">
        <f t="shared" si="17"/>
        <v>23</v>
      </c>
      <c r="CC75" s="645">
        <f t="shared" si="14"/>
        <v>8</v>
      </c>
    </row>
    <row r="76" spans="1:81" ht="15" customHeight="1">
      <c r="BI76" s="638" t="s">
        <v>344</v>
      </c>
      <c r="BJ76" s="638">
        <v>12</v>
      </c>
      <c r="BK76" s="638" t="s">
        <v>338</v>
      </c>
      <c r="BL76" s="690">
        <v>0.64500000000000002</v>
      </c>
      <c r="BM76" s="690">
        <v>0.64500000000000002</v>
      </c>
      <c r="BN76" s="842">
        <f t="shared" si="15"/>
        <v>1</v>
      </c>
      <c r="BO76" s="290"/>
      <c r="BP76" s="641"/>
      <c r="BQ76" s="690"/>
      <c r="BR76" s="690"/>
      <c r="BS76" s="842" t="str">
        <f t="shared" si="16"/>
        <v/>
      </c>
      <c r="BT76" s="290"/>
      <c r="BU76" s="641"/>
      <c r="BV76" s="6"/>
      <c r="BX76" s="666" t="str">
        <f t="shared" si="13"/>
        <v>Sep</v>
      </c>
      <c r="BY76" s="643">
        <f>IF(CB76=$CB77,SUMIF($BI65:$BI76,$BX76,$BR65:$BR76),SUMIF($BI65:$BI76,$BX76,$BM65:$BM76))</f>
        <v>0.64500000000000002</v>
      </c>
      <c r="BZ76" s="641" t="e">
        <f>IF(IF(CB76=CB77,SUMIF(BI65:BI76,$BX76,BU65:BU76),SUMIF(BI65:BI76,$BX76,BP65:BP76))=0,NA(),IF(CB76=CB77,SUMIF(BI65:BI76,$BX76,BU65:BU76),SUMIF(BI65:BI76,$BX76,BP65:BP76)))</f>
        <v>#N/A</v>
      </c>
      <c r="CA76" s="644">
        <f>IF(IF(CB76=CB77,SUMIF(BI65:BI76,$BX76,BS65:BS76),SUMIF(BI65:BI76,$BX76,BN65:BN76))=0,NA(),IF(CB76=CB77,SUMIF(BI65:BI76,$BX76,BS65:BS76),SUMIF(BI65:BI76,$BX76,BN65:BN76)))</f>
        <v>1</v>
      </c>
      <c r="CB76" s="645">
        <f t="shared" si="17"/>
        <v>23</v>
      </c>
      <c r="CC76" s="645">
        <f>IF(CC77-1&lt;1,CC77+11,CC77-1)</f>
        <v>9</v>
      </c>
    </row>
    <row r="77" spans="1:81" ht="15" customHeight="1">
      <c r="BJ77" s="6"/>
      <c r="BK77" s="6"/>
      <c r="BL77" s="6"/>
      <c r="BM77" s="6"/>
      <c r="BN77" s="6"/>
      <c r="BO77" s="6"/>
      <c r="BP77" s="6"/>
      <c r="BQ77" s="6"/>
      <c r="BR77" s="6"/>
      <c r="BS77" s="6"/>
      <c r="BT77" s="6"/>
      <c r="BU77" s="6"/>
      <c r="BV77" s="6"/>
      <c r="BW77" s="667" t="str">
        <f>Cover!$M$34</f>
        <v>OCT FY-24</v>
      </c>
      <c r="BX77" s="666" t="str">
        <f>TEXT(CONCATENATE(CC77,"/01/20",CB77),"MMM")</f>
        <v>Oct</v>
      </c>
      <c r="BY77" s="643">
        <f>SUMIF($BI65:$BI76,$BX77,$BR65:$BR76)</f>
        <v>0.77700000000000002</v>
      </c>
      <c r="BZ77" s="641" t="e">
        <f>IF(IF(CB77=CB77,SUMIF(BI65:BI76,$BX77,BU65:BU76),SUMIF(BI65:BI76,$BX77,BP65:BP76))=0,NA(),IF(CB77=CB77,SUMIF(BI65:BI76,$BX77,BU65:BU76),SUMIF(BI65:BI76,$BX77,BP65:BP76)))</f>
        <v>#N/A</v>
      </c>
      <c r="CA77" s="644">
        <f>IF(SUMIF($BI65:$BI76,$BX77,$BS65:$BS76)=0,NA(),SUMIF($BI65:$BI76,$BX77,$BS65:$BS76))</f>
        <v>1</v>
      </c>
      <c r="CB77" s="645">
        <f t="shared" si="17"/>
        <v>24</v>
      </c>
      <c r="CC77" s="645">
        <f>MONTH(DATEVALUE(LEFT(BW77,3)&amp;" 1"))</f>
        <v>10</v>
      </c>
    </row>
    <row r="78" spans="1:81" ht="15" customHeight="1">
      <c r="BJ78" s="6"/>
      <c r="BK78" s="6"/>
      <c r="BL78" s="6"/>
      <c r="BM78" s="6"/>
      <c r="BN78" s="6"/>
      <c r="BO78" s="6"/>
      <c r="BP78" s="6"/>
      <c r="BQ78" s="6"/>
      <c r="BR78" s="6"/>
      <c r="BS78" s="6"/>
      <c r="BT78" s="6"/>
      <c r="BU78" s="6"/>
      <c r="BV78" s="6"/>
    </row>
    <row r="84" spans="2:28" ht="15" customHeight="1">
      <c r="B84" s="267" t="s">
        <v>242</v>
      </c>
      <c r="C84" s="267"/>
      <c r="D84" s="267"/>
      <c r="E84" s="334"/>
      <c r="F84" s="326"/>
      <c r="G84" s="326"/>
      <c r="H84" s="326"/>
      <c r="I84" s="326"/>
      <c r="J84" s="326"/>
      <c r="K84" s="326"/>
      <c r="L84" s="326"/>
      <c r="M84" s="326"/>
      <c r="N84" s="326"/>
      <c r="O84" s="326"/>
      <c r="P84" s="326"/>
      <c r="Q84" s="326"/>
      <c r="R84" s="326"/>
      <c r="S84" s="326"/>
      <c r="T84" s="326"/>
      <c r="U84" s="326"/>
      <c r="V84" s="326"/>
      <c r="W84" s="326"/>
      <c r="X84" s="326"/>
      <c r="Y84" s="326"/>
      <c r="Z84" s="326"/>
      <c r="AA84" s="326"/>
      <c r="AB84" s="326"/>
    </row>
    <row r="85" spans="2:28" ht="15" customHeight="1">
      <c r="B85" s="1137" t="str">
        <f>AC40</f>
        <v>100% prepared and reviewed</v>
      </c>
      <c r="C85" s="1138"/>
      <c r="D85" s="1138"/>
      <c r="E85" s="1138"/>
      <c r="F85" s="1138"/>
      <c r="G85" s="1138"/>
      <c r="H85" s="1138"/>
      <c r="I85" s="1138"/>
      <c r="J85" s="1138"/>
      <c r="K85" s="1138"/>
      <c r="L85" s="1138"/>
      <c r="M85" s="1138"/>
      <c r="N85" s="1138"/>
      <c r="O85" s="1138"/>
      <c r="P85" s="1138"/>
      <c r="Q85" s="1138"/>
      <c r="R85" s="1138"/>
      <c r="S85" s="1138"/>
      <c r="T85" s="1138"/>
      <c r="U85" s="1138"/>
      <c r="V85" s="1138"/>
      <c r="W85" s="1138"/>
      <c r="X85" s="1138"/>
      <c r="Y85" s="1138"/>
      <c r="Z85" s="1138"/>
      <c r="AA85" s="1138"/>
      <c r="AB85" s="1139"/>
    </row>
    <row r="86" spans="2:28" ht="15" customHeight="1">
      <c r="B86" s="1140"/>
      <c r="C86" s="1141"/>
      <c r="D86" s="1141"/>
      <c r="E86" s="1141"/>
      <c r="F86" s="1141"/>
      <c r="G86" s="1141"/>
      <c r="H86" s="1141"/>
      <c r="I86" s="1141"/>
      <c r="J86" s="1141"/>
      <c r="K86" s="1141"/>
      <c r="L86" s="1141"/>
      <c r="M86" s="1141"/>
      <c r="N86" s="1141"/>
      <c r="O86" s="1141"/>
      <c r="P86" s="1141"/>
      <c r="Q86" s="1141"/>
      <c r="R86" s="1141"/>
      <c r="S86" s="1141"/>
      <c r="T86" s="1141"/>
      <c r="U86" s="1141"/>
      <c r="V86" s="1141"/>
      <c r="W86" s="1141"/>
      <c r="X86" s="1141"/>
      <c r="Y86" s="1141"/>
      <c r="Z86" s="1141"/>
      <c r="AA86" s="1141"/>
      <c r="AB86" s="1142"/>
    </row>
    <row r="87" spans="2:28" ht="15" customHeight="1">
      <c r="B87" s="1140"/>
      <c r="C87" s="1141"/>
      <c r="D87" s="1141"/>
      <c r="E87" s="1141"/>
      <c r="F87" s="1141"/>
      <c r="G87" s="1141"/>
      <c r="H87" s="1141"/>
      <c r="I87" s="1141"/>
      <c r="J87" s="1141"/>
      <c r="K87" s="1141"/>
      <c r="L87" s="1141"/>
      <c r="M87" s="1141"/>
      <c r="N87" s="1141"/>
      <c r="O87" s="1141"/>
      <c r="P87" s="1141"/>
      <c r="Q87" s="1141"/>
      <c r="R87" s="1141"/>
      <c r="S87" s="1141"/>
      <c r="T87" s="1141"/>
      <c r="U87" s="1141"/>
      <c r="V87" s="1141"/>
      <c r="W87" s="1141"/>
      <c r="X87" s="1141"/>
      <c r="Y87" s="1141"/>
      <c r="Z87" s="1141"/>
      <c r="AA87" s="1141"/>
      <c r="AB87" s="1142"/>
    </row>
    <row r="88" spans="2:28" ht="15" customHeight="1">
      <c r="B88" s="1143"/>
      <c r="C88" s="1144"/>
      <c r="D88" s="1144"/>
      <c r="E88" s="1144"/>
      <c r="F88" s="1144"/>
      <c r="G88" s="1144"/>
      <c r="H88" s="1144"/>
      <c r="I88" s="1144"/>
      <c r="J88" s="1144"/>
      <c r="K88" s="1144"/>
      <c r="L88" s="1144"/>
      <c r="M88" s="1144"/>
      <c r="N88" s="1144"/>
      <c r="O88" s="1144"/>
      <c r="P88" s="1144"/>
      <c r="Q88" s="1144"/>
      <c r="R88" s="1144"/>
      <c r="S88" s="1144"/>
      <c r="T88" s="1144"/>
      <c r="U88" s="1144"/>
      <c r="V88" s="1144"/>
      <c r="W88" s="1144"/>
      <c r="X88" s="1144"/>
      <c r="Y88" s="1144"/>
      <c r="Z88" s="1144"/>
      <c r="AA88" s="1144"/>
      <c r="AB88" s="1145"/>
    </row>
  </sheetData>
  <mergeCells count="88">
    <mergeCell ref="B8:AB11"/>
    <mergeCell ref="AE8:BE11"/>
    <mergeCell ref="BB18:BE18"/>
    <mergeCell ref="BW24:CC24"/>
    <mergeCell ref="BW44:CC44"/>
    <mergeCell ref="Q40:S40"/>
    <mergeCell ref="T40:V40"/>
    <mergeCell ref="AN19:AQ19"/>
    <mergeCell ref="AU19:AX19"/>
    <mergeCell ref="B40:J40"/>
    <mergeCell ref="AC35:BE37"/>
    <mergeCell ref="BB19:BE19"/>
    <mergeCell ref="AN22:AQ22"/>
    <mergeCell ref="AU22:AX22"/>
    <mergeCell ref="X15:AB15"/>
    <mergeCell ref="I16:L16"/>
    <mergeCell ref="BW63:CC63"/>
    <mergeCell ref="BL24:BP24"/>
    <mergeCell ref="Z38:AB38"/>
    <mergeCell ref="Z36:AB37"/>
    <mergeCell ref="AN24:AQ24"/>
    <mergeCell ref="AU24:AX24"/>
    <mergeCell ref="AC38:BE38"/>
    <mergeCell ref="AC40:BE40"/>
    <mergeCell ref="AC39:BE39"/>
    <mergeCell ref="BL44:BP44"/>
    <mergeCell ref="BQ44:BU44"/>
    <mergeCell ref="BL63:BP63"/>
    <mergeCell ref="BQ63:BU63"/>
    <mergeCell ref="Z40:AB40"/>
    <mergeCell ref="T35:AB35"/>
    <mergeCell ref="B85:AB88"/>
    <mergeCell ref="K36:M37"/>
    <mergeCell ref="N36:P37"/>
    <mergeCell ref="AE62:BE65"/>
    <mergeCell ref="B62:AB65"/>
    <mergeCell ref="Q38:S38"/>
    <mergeCell ref="W40:Y40"/>
    <mergeCell ref="W36:Y37"/>
    <mergeCell ref="W38:Y38"/>
    <mergeCell ref="T38:V38"/>
    <mergeCell ref="K40:M40"/>
    <mergeCell ref="N40:P40"/>
    <mergeCell ref="B66:AB66"/>
    <mergeCell ref="AD66:BD66"/>
    <mergeCell ref="B39:J39"/>
    <mergeCell ref="K39:M39"/>
    <mergeCell ref="N16:Q16"/>
    <mergeCell ref="S16:V16"/>
    <mergeCell ref="AN17:AQ17"/>
    <mergeCell ref="AE15:AJ15"/>
    <mergeCell ref="I15:V15"/>
    <mergeCell ref="BJ23:BU23"/>
    <mergeCell ref="BJ22:BU22"/>
    <mergeCell ref="B38:J38"/>
    <mergeCell ref="K38:M38"/>
    <mergeCell ref="N38:P38"/>
    <mergeCell ref="B35:J37"/>
    <mergeCell ref="K35:P35"/>
    <mergeCell ref="Q35:S37"/>
    <mergeCell ref="T36:V37"/>
    <mergeCell ref="N39:P39"/>
    <mergeCell ref="Q39:S39"/>
    <mergeCell ref="T39:V39"/>
    <mergeCell ref="W39:Y39"/>
    <mergeCell ref="Z39:AB39"/>
    <mergeCell ref="BI1:BU1"/>
    <mergeCell ref="BJ21:BU21"/>
    <mergeCell ref="AU23:AX23"/>
    <mergeCell ref="BB23:BE23"/>
    <mergeCell ref="BQ24:BU24"/>
    <mergeCell ref="AU18:AX18"/>
    <mergeCell ref="AU17:AX17"/>
    <mergeCell ref="B2:BE4"/>
    <mergeCell ref="BB17:BE17"/>
    <mergeCell ref="AS15:AX15"/>
    <mergeCell ref="AP15:AQ15"/>
    <mergeCell ref="AZ15:BE15"/>
    <mergeCell ref="B5:AR5"/>
    <mergeCell ref="V14:W14"/>
    <mergeCell ref="B15:G15"/>
    <mergeCell ref="AL15:AO15"/>
    <mergeCell ref="AN18:AQ18"/>
    <mergeCell ref="B29:AB32"/>
    <mergeCell ref="AE29:BE32"/>
    <mergeCell ref="BB22:BE22"/>
    <mergeCell ref="AN23:AQ23"/>
    <mergeCell ref="BB24:BE24"/>
  </mergeCells>
  <conditionalFormatting sqref="A8:A11 A15:A19 A26:A29 A7:BH7 A12:BH14 F24 H20:H24 J24:L24 U24:W24 AC15:AD15 AC17:AD19 AC16:AG16 AC20:AH20 AI16:BH16 AJ17 BF8:BH11 BF15:BH15 BF17:BH29">
    <cfRule type="cellIs" dxfId="2146" priority="1542" operator="equal">
      <formula>"XXX"</formula>
    </cfRule>
  </conditionalFormatting>
  <conditionalFormatting sqref="A38">
    <cfRule type="cellIs" dxfId="2145" priority="1238" operator="equal">
      <formula>"XXX"</formula>
    </cfRule>
  </conditionalFormatting>
  <conditionalFormatting sqref="B2">
    <cfRule type="cellIs" dxfId="2144" priority="438" operator="equal">
      <formula>"XXX"</formula>
    </cfRule>
  </conditionalFormatting>
  <conditionalFormatting sqref="B8">
    <cfRule type="cellIs" dxfId="2143" priority="314" operator="equal">
      <formula>"XXX"</formula>
    </cfRule>
  </conditionalFormatting>
  <conditionalFormatting sqref="B61:D61 F61:AB61">
    <cfRule type="cellIs" dxfId="2142" priority="1531" operator="equal">
      <formula>"XXX"</formula>
    </cfRule>
  </conditionalFormatting>
  <conditionalFormatting sqref="B84:D84 F84:AB84">
    <cfRule type="cellIs" dxfId="2141" priority="1527" operator="equal">
      <formula>"XXX"</formula>
    </cfRule>
  </conditionalFormatting>
  <conditionalFormatting sqref="B40:J40">
    <cfRule type="cellIs" dxfId="2140" priority="1270" operator="equal">
      <formula>"XXX"</formula>
    </cfRule>
  </conditionalFormatting>
  <conditionalFormatting sqref="F22">
    <cfRule type="cellIs" dxfId="2139" priority="671" operator="equal">
      <formula>"XXX"</formula>
    </cfRule>
  </conditionalFormatting>
  <conditionalFormatting sqref="F28:AG28 AI28:BE28 AK22:AM24 AR22:AT24 AY22:BA24">
    <cfRule type="cellIs" dxfId="2138" priority="1541" operator="equal">
      <formula>"XXX"</formula>
    </cfRule>
  </conditionalFormatting>
  <conditionalFormatting sqref="G22:G23">
    <cfRule type="cellIs" dxfId="2137" priority="669" operator="notEqual">
      <formula>0</formula>
    </cfRule>
  </conditionalFormatting>
  <conditionalFormatting sqref="G22:G26">
    <cfRule type="cellIs" dxfId="2136" priority="666" operator="equal">
      <formula>"XXX"</formula>
    </cfRule>
  </conditionalFormatting>
  <conditionalFormatting sqref="G25:G26">
    <cfRule type="cellIs" dxfId="2135" priority="665" operator="notEqual">
      <formula>0</formula>
    </cfRule>
  </conditionalFormatting>
  <conditionalFormatting sqref="G26">
    <cfRule type="expression" dxfId="2134" priority="664">
      <formula>$G$25=0</formula>
    </cfRule>
  </conditionalFormatting>
  <conditionalFormatting sqref="I24">
    <cfRule type="cellIs" dxfId="2133" priority="1084" operator="equal">
      <formula>"XXX"</formula>
    </cfRule>
  </conditionalFormatting>
  <conditionalFormatting sqref="I24:I26">
    <cfRule type="cellIs" dxfId="2132" priority="661" operator="equal">
      <formula>$A$1</formula>
    </cfRule>
  </conditionalFormatting>
  <conditionalFormatting sqref="I26">
    <cfRule type="cellIs" dxfId="2131" priority="663" operator="equal">
      <formula>"XXX"</formula>
    </cfRule>
  </conditionalFormatting>
  <conditionalFormatting sqref="I23:J23">
    <cfRule type="cellIs" dxfId="2130" priority="1072" operator="equal">
      <formula>$A$1</formula>
    </cfRule>
  </conditionalFormatting>
  <conditionalFormatting sqref="K38 N38 T38 W38 Z38">
    <cfRule type="cellIs" dxfId="2129" priority="1544" operator="equal">
      <formula>"XXX"</formula>
    </cfRule>
    <cfRule type="cellIs" dxfId="2128" priority="1563" stopIfTrue="1" operator="lessThan">
      <formula>$Q38*0.9</formula>
    </cfRule>
    <cfRule type="cellIs" dxfId="2127" priority="1564" operator="lessThan">
      <formula>$Q38</formula>
    </cfRule>
    <cfRule type="cellIs" dxfId="2126" priority="1565" operator="greaterThanOrEqual">
      <formula>$Q38</formula>
    </cfRule>
  </conditionalFormatting>
  <conditionalFormatting sqref="K39 N39 T39 W39 Z39">
    <cfRule type="expression" dxfId="2125" priority="1036">
      <formula>$Q$39=0</formula>
    </cfRule>
    <cfRule type="cellIs" dxfId="2124" priority="1037" operator="equal">
      <formula>"XXX"</formula>
    </cfRule>
    <cfRule type="cellIs" dxfId="2123" priority="1038" stopIfTrue="1" operator="greaterThan">
      <formula>$Q39*0.9</formula>
    </cfRule>
    <cfRule type="cellIs" dxfId="2122" priority="1039" operator="greaterThan">
      <formula>$Q39</formula>
    </cfRule>
    <cfRule type="cellIs" dxfId="2121" priority="1040" operator="lessThanOrEqual">
      <formula>$Q39</formula>
    </cfRule>
  </conditionalFormatting>
  <conditionalFormatting sqref="K40 N40 T40 W40 Z40">
    <cfRule type="expression" dxfId="2120" priority="1020">
      <formula>$Q$40=0</formula>
    </cfRule>
    <cfRule type="cellIs" dxfId="2119" priority="1027" operator="equal">
      <formula>"XXX"</formula>
    </cfRule>
    <cfRule type="cellIs" dxfId="2118" priority="1028" stopIfTrue="1" operator="lessThan">
      <formula>$Q40*0.9</formula>
    </cfRule>
    <cfRule type="cellIs" dxfId="2117" priority="1029" operator="lessThan">
      <formula>$Q40</formula>
    </cfRule>
    <cfRule type="cellIs" dxfId="2116" priority="1030" operator="greaterThanOrEqual">
      <formula>$Q40</formula>
    </cfRule>
  </conditionalFormatting>
  <conditionalFormatting sqref="K35:AB37">
    <cfRule type="cellIs" dxfId="2115" priority="449" operator="equal">
      <formula>"XXX"</formula>
    </cfRule>
  </conditionalFormatting>
  <conditionalFormatting sqref="X24:AB24">
    <cfRule type="cellIs" dxfId="2114" priority="498" operator="equal">
      <formula>"XXX"</formula>
    </cfRule>
  </conditionalFormatting>
  <conditionalFormatting sqref="Y16:Y23">
    <cfRule type="cellIs" dxfId="2113" priority="494" operator="equal">
      <formula>"XXX"</formula>
    </cfRule>
  </conditionalFormatting>
  <conditionalFormatting sqref="Z16:Z21">
    <cfRule type="cellIs" dxfId="2112" priority="497" operator="equal">
      <formula>"XXX"</formula>
    </cfRule>
  </conditionalFormatting>
  <conditionalFormatting sqref="AC8:AD11">
    <cfRule type="cellIs" dxfId="2111" priority="315" operator="equal">
      <formula>"XXX"</formula>
    </cfRule>
  </conditionalFormatting>
  <conditionalFormatting sqref="AC29:AD32">
    <cfRule type="cellIs" dxfId="2110" priority="172" operator="equal">
      <formula>"XXX"</formula>
    </cfRule>
  </conditionalFormatting>
  <conditionalFormatting sqref="AD62:AD65">
    <cfRule type="cellIs" dxfId="2109" priority="142" operator="equal">
      <formula>"XXX"</formula>
    </cfRule>
  </conditionalFormatting>
  <conditionalFormatting sqref="AE61:AG61 AI61:BE61">
    <cfRule type="cellIs" dxfId="2108" priority="1529" operator="equal">
      <formula>"XXX"</formula>
    </cfRule>
  </conditionalFormatting>
  <conditionalFormatting sqref="AE84:BE88">
    <cfRule type="cellIs" dxfId="2107" priority="1004" operator="equal">
      <formula>"XXX"</formula>
    </cfRule>
  </conditionalFormatting>
  <conditionalFormatting sqref="AI22:AJ22">
    <cfRule type="cellIs" dxfId="2106" priority="1533" operator="equal">
      <formula>"XXX"</formula>
    </cfRule>
  </conditionalFormatting>
  <conditionalFormatting sqref="AU17:AX18 AU22:AX23">
    <cfRule type="cellIs" dxfId="2105" priority="1446" operator="lessThan">
      <formula>0</formula>
    </cfRule>
  </conditionalFormatting>
  <conditionalFormatting sqref="BB23 BB17:BE18 BB22:BE22">
    <cfRule type="cellIs" dxfId="2104" priority="1532" operator="lessThan">
      <formula>0</formula>
    </cfRule>
  </conditionalFormatting>
  <conditionalFormatting sqref="BH35:BH37">
    <cfRule type="cellIs" dxfId="2103" priority="1203" operator="equal">
      <formula>"XXX"</formula>
    </cfRule>
  </conditionalFormatting>
  <conditionalFormatting sqref="BH38:BH40">
    <cfRule type="cellIs" dxfId="2102" priority="660" operator="equal">
      <formula>"XXX"</formula>
    </cfRule>
  </conditionalFormatting>
  <conditionalFormatting sqref="BH41">
    <cfRule type="cellIs" dxfId="2101" priority="1237" operator="equal">
      <formula>"XXX"</formula>
    </cfRule>
  </conditionalFormatting>
  <conditionalFormatting sqref="BJ16:BV16">
    <cfRule type="expression" dxfId="2100" priority="238">
      <formula>(AND(BJ$5=$BX$5,LEN(BJ$16)=0))</formula>
    </cfRule>
  </conditionalFormatting>
  <conditionalFormatting sqref="BQ26:BQ37 BQ46:BQ57 BQ65:BQ76">
    <cfRule type="expression" dxfId="2099" priority="341">
      <formula>(AND($BJ26=$BX$5,LEN($BQ26)=0))</formula>
    </cfRule>
  </conditionalFormatting>
  <conditionalFormatting sqref="BR26:BR37 BR46:BR57 BR65:BR76">
    <cfRule type="expression" dxfId="2098" priority="719">
      <formula>(AND($BJ26=$BX$5,LEN($BR26)=0))</formula>
    </cfRule>
  </conditionalFormatting>
  <conditionalFormatting sqref="AE29">
    <cfRule type="cellIs" dxfId="2097" priority="57" operator="equal">
      <formula>"XXX"</formula>
    </cfRule>
  </conditionalFormatting>
  <conditionalFormatting sqref="AC38:BE38 AC40:BE40">
    <cfRule type="cellIs" dxfId="2096" priority="7" operator="equal">
      <formula>"XXX"</formula>
    </cfRule>
  </conditionalFormatting>
  <conditionalFormatting sqref="AC39:BE39">
    <cfRule type="cellIs" dxfId="2095" priority="6" operator="equal">
      <formula>"XXX"</formula>
    </cfRule>
  </conditionalFormatting>
  <conditionalFormatting sqref="B62">
    <cfRule type="cellIs" dxfId="2094" priority="5" operator="equal">
      <formula>"XXX"</formula>
    </cfRule>
  </conditionalFormatting>
  <conditionalFormatting sqref="AE62">
    <cfRule type="cellIs" dxfId="2093" priority="4" operator="equal">
      <formula>"XXX"</formula>
    </cfRule>
  </conditionalFormatting>
  <conditionalFormatting sqref="B85">
    <cfRule type="cellIs" dxfId="2092" priority="3" operator="equal">
      <formula>"XXX"</formula>
    </cfRule>
  </conditionalFormatting>
  <conditionalFormatting sqref="AE8">
    <cfRule type="cellIs" dxfId="2091" priority="2" operator="equal">
      <formula>"XXX"</formula>
    </cfRule>
  </conditionalFormatting>
  <conditionalFormatting sqref="B29">
    <cfRule type="cellIs" dxfId="2090" priority="1" operator="equal">
      <formula>"XXX"</formula>
    </cfRule>
  </conditionalFormatting>
  <dataValidations count="2">
    <dataValidation type="whole" operator="greaterThanOrEqual" allowBlank="1" showInputMessage="1" showErrorMessage="1" errorTitle="Positive Value" error="This value must be entered as a positive number." sqref="BJ6:BV6 BQ14 BP13:BP14 BP12:BQ12 BR12:BV14 BJ8:BV8 BJ10:BV10 BJ12:BO14" xr:uid="{00000000-0002-0000-1000-000003000000}">
      <formula1>0</formula1>
    </dataValidation>
    <dataValidation type="whole" operator="lessThan" allowBlank="1" showInputMessage="1" showErrorMessage="1" errorTitle="Negative Value" error="This value must be entered as a negative number." sqref="BJ11:BV11 BJ9:BV9 BJ7:BV7" xr:uid="{00000000-0002-0000-1000-000004000000}">
      <formula1>0</formula1>
    </dataValidation>
  </dataValidations>
  <printOptions horizontalCentered="1"/>
  <pageMargins left="0.25" right="0.25" top="0.25" bottom="0.5" header="0.3" footer="0.3"/>
  <pageSetup scale="63" orientation="landscape" r:id="rId1"/>
  <headerFooter>
    <oddFooter>&amp;R&amp;F | &amp;A
Printed &amp;D @ &amp;T
&amp;P</oddFooter>
  </headerFooter>
  <rowBreaks count="2" manualBreakCount="2">
    <brk id="44" max="57" man="1"/>
    <brk id="98"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1534" operator="equal" id="{7916E5AD-A23D-4817-B0CE-906905B3DAA8}">
            <xm:f>AR!$A$1</xm:f>
            <x14:dxf>
              <font>
                <color theme="0"/>
              </font>
            </x14:dxf>
          </x14:cfRule>
          <xm:sqref>J24:J26</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D78F4-83BD-4E23-81A0-D463BFA6C522}">
  <sheetPr codeName="Sheet1">
    <tabColor theme="3" tint="0.39997558519241921"/>
  </sheetPr>
  <dimension ref="B2:M39"/>
  <sheetViews>
    <sheetView showGridLines="0" zoomScale="140" zoomScaleNormal="140" workbookViewId="0"/>
  </sheetViews>
  <sheetFormatPr defaultColWidth="12.7109375" defaultRowHeight="15"/>
  <cols>
    <col min="1" max="1" width="3.28515625" customWidth="1"/>
  </cols>
  <sheetData>
    <row r="2" spans="2:13">
      <c r="B2" s="1068" t="s">
        <v>180</v>
      </c>
      <c r="C2" s="1068"/>
      <c r="D2" s="1068"/>
      <c r="E2" s="1068"/>
      <c r="F2" s="1068"/>
      <c r="G2" s="1068"/>
      <c r="H2" s="1068"/>
      <c r="I2" s="1068"/>
      <c r="J2" s="1068"/>
      <c r="K2" s="1068"/>
      <c r="L2" s="1068"/>
      <c r="M2" s="1068"/>
    </row>
    <row r="3" spans="2:13">
      <c r="B3" s="1068"/>
      <c r="C3" s="1068"/>
      <c r="D3" s="1068"/>
      <c r="E3" s="1068"/>
      <c r="F3" s="1068"/>
      <c r="G3" s="1068"/>
      <c r="H3" s="1068"/>
      <c r="I3" s="1068"/>
      <c r="J3" s="1068"/>
      <c r="K3" s="1068"/>
      <c r="L3" s="1068"/>
      <c r="M3" s="1068"/>
    </row>
    <row r="4" spans="2:13">
      <c r="B4" s="1068"/>
      <c r="C4" s="1068"/>
      <c r="D4" s="1068"/>
      <c r="E4" s="1068"/>
      <c r="F4" s="1068"/>
      <c r="G4" s="1068"/>
      <c r="H4" s="1068"/>
      <c r="I4" s="1068"/>
      <c r="J4" s="1068"/>
      <c r="K4" s="1068"/>
      <c r="L4" s="1068"/>
      <c r="M4" s="1068"/>
    </row>
    <row r="5" spans="2:13">
      <c r="B5" s="1068"/>
      <c r="C5" s="1068"/>
      <c r="D5" s="1068"/>
      <c r="E5" s="1068"/>
      <c r="F5" s="1068"/>
      <c r="G5" s="1068"/>
      <c r="H5" s="1068"/>
      <c r="I5" s="1068"/>
      <c r="J5" s="1068"/>
      <c r="K5" s="1068"/>
      <c r="L5" s="1068"/>
      <c r="M5" s="1068"/>
    </row>
    <row r="6" spans="2:13">
      <c r="B6" s="446"/>
      <c r="C6" s="446"/>
      <c r="D6" s="446"/>
      <c r="E6" s="446"/>
      <c r="F6" s="446"/>
      <c r="G6" s="446"/>
      <c r="H6" s="446"/>
      <c r="I6" s="446"/>
      <c r="J6" s="446"/>
      <c r="K6" s="446"/>
      <c r="L6" s="446"/>
      <c r="M6" s="446"/>
    </row>
    <row r="7" spans="2:13" ht="14.65" customHeight="1">
      <c r="B7" s="1096"/>
      <c r="C7" s="1096"/>
      <c r="D7" s="1096"/>
      <c r="E7" s="1096"/>
      <c r="F7" s="1096"/>
      <c r="G7" s="1096"/>
      <c r="H7" s="1096"/>
      <c r="I7" s="1096"/>
      <c r="J7" s="1096"/>
      <c r="K7" s="1096"/>
      <c r="L7" s="1096"/>
      <c r="M7" s="1096"/>
    </row>
    <row r="8" spans="2:13" ht="14.65" customHeight="1">
      <c r="B8" s="1096"/>
      <c r="C8" s="1096"/>
      <c r="D8" s="1096"/>
      <c r="E8" s="1096"/>
      <c r="F8" s="1096"/>
      <c r="G8" s="1096"/>
      <c r="H8" s="1096"/>
      <c r="I8" s="1096"/>
      <c r="J8" s="1096"/>
      <c r="K8" s="1096"/>
      <c r="L8" s="1096"/>
      <c r="M8" s="1096"/>
    </row>
    <row r="9" spans="2:13" ht="14.65" customHeight="1">
      <c r="B9" s="1096"/>
      <c r="C9" s="1096"/>
      <c r="D9" s="1096"/>
      <c r="E9" s="1096"/>
      <c r="F9" s="1096"/>
      <c r="G9" s="1096"/>
      <c r="H9" s="1096"/>
      <c r="I9" s="1096"/>
      <c r="J9" s="1096"/>
      <c r="K9" s="1096"/>
      <c r="L9" s="1096"/>
      <c r="M9" s="1096"/>
    </row>
    <row r="10" spans="2:13" ht="14.65" customHeight="1">
      <c r="B10" s="1096"/>
      <c r="C10" s="1096"/>
      <c r="D10" s="1096"/>
      <c r="E10" s="1096"/>
      <c r="F10" s="1096"/>
      <c r="G10" s="1096"/>
      <c r="H10" s="1096"/>
      <c r="I10" s="1096"/>
      <c r="J10" s="1096"/>
      <c r="K10" s="1096"/>
      <c r="L10" s="1096"/>
      <c r="M10" s="1096"/>
    </row>
    <row r="11" spans="2:13" ht="14.65" customHeight="1">
      <c r="B11" s="1096"/>
      <c r="C11" s="1096"/>
      <c r="D11" s="1096"/>
      <c r="E11" s="1096"/>
      <c r="F11" s="1096"/>
      <c r="G11" s="1096"/>
      <c r="H11" s="1096"/>
      <c r="I11" s="1096"/>
      <c r="J11" s="1096"/>
      <c r="K11" s="1096"/>
      <c r="L11" s="1096"/>
      <c r="M11" s="1096"/>
    </row>
    <row r="12" spans="2:13" ht="14.65" customHeight="1">
      <c r="B12" s="1096" t="s">
        <v>243</v>
      </c>
      <c r="C12" s="1096"/>
      <c r="D12" s="1096"/>
      <c r="E12" s="1096"/>
      <c r="F12" s="1096"/>
      <c r="G12" s="1096"/>
      <c r="H12" s="1096"/>
      <c r="I12" s="1096"/>
      <c r="J12" s="1096"/>
      <c r="K12" s="1096"/>
      <c r="L12" s="1096"/>
      <c r="M12" s="1096"/>
    </row>
    <row r="13" spans="2:13" ht="14.65" customHeight="1">
      <c r="B13" s="1096"/>
      <c r="C13" s="1096"/>
      <c r="D13" s="1096"/>
      <c r="E13" s="1096"/>
      <c r="F13" s="1096"/>
      <c r="G13" s="1096"/>
      <c r="H13" s="1096"/>
      <c r="I13" s="1096"/>
      <c r="J13" s="1096"/>
      <c r="K13" s="1096"/>
      <c r="L13" s="1096"/>
      <c r="M13" s="1096"/>
    </row>
    <row r="14" spans="2:13" ht="14.65" customHeight="1">
      <c r="B14" s="1096"/>
      <c r="C14" s="1096"/>
      <c r="D14" s="1096"/>
      <c r="E14" s="1096"/>
      <c r="F14" s="1096"/>
      <c r="G14" s="1096"/>
      <c r="H14" s="1096"/>
      <c r="I14" s="1096"/>
      <c r="J14" s="1096"/>
      <c r="K14" s="1096"/>
      <c r="L14" s="1096"/>
      <c r="M14" s="1096"/>
    </row>
    <row r="15" spans="2:13" ht="14.65" customHeight="1">
      <c r="B15" s="1096"/>
      <c r="C15" s="1096"/>
      <c r="D15" s="1096"/>
      <c r="E15" s="1096"/>
      <c r="F15" s="1096"/>
      <c r="G15" s="1096"/>
      <c r="H15" s="1096"/>
      <c r="I15" s="1096"/>
      <c r="J15" s="1096"/>
      <c r="K15" s="1096"/>
      <c r="L15" s="1096"/>
      <c r="M15" s="1096"/>
    </row>
    <row r="16" spans="2:13" ht="14.65" customHeight="1">
      <c r="B16" s="1096"/>
      <c r="C16" s="1096"/>
      <c r="D16" s="1096"/>
      <c r="E16" s="1096"/>
      <c r="F16" s="1096"/>
      <c r="G16" s="1096"/>
      <c r="H16" s="1096"/>
      <c r="I16" s="1096"/>
      <c r="J16" s="1096"/>
      <c r="K16" s="1096"/>
      <c r="L16" s="1096"/>
      <c r="M16" s="1096"/>
    </row>
    <row r="17" spans="2:13" ht="14.65" customHeight="1">
      <c r="B17" s="1097" t="s">
        <v>184</v>
      </c>
      <c r="C17" s="1097"/>
      <c r="D17" s="1097"/>
      <c r="E17" s="1097"/>
      <c r="F17" s="1097"/>
      <c r="G17" s="1097"/>
      <c r="H17" s="1097"/>
      <c r="I17" s="1097"/>
      <c r="J17" s="1097"/>
      <c r="K17" s="1097"/>
      <c r="L17" s="1097"/>
      <c r="M17" s="1097"/>
    </row>
    <row r="18" spans="2:13" ht="14.65" customHeight="1">
      <c r="B18" s="1097"/>
      <c r="C18" s="1097"/>
      <c r="D18" s="1097"/>
      <c r="E18" s="1097"/>
      <c r="F18" s="1097"/>
      <c r="G18" s="1097"/>
      <c r="H18" s="1097"/>
      <c r="I18" s="1097"/>
      <c r="J18" s="1097"/>
      <c r="K18" s="1097"/>
      <c r="L18" s="1097"/>
      <c r="M18" s="1097"/>
    </row>
    <row r="19" spans="2:13" ht="14.65" customHeight="1">
      <c r="B19" s="1097"/>
      <c r="C19" s="1097"/>
      <c r="D19" s="1097"/>
      <c r="E19" s="1097"/>
      <c r="F19" s="1097"/>
      <c r="G19" s="1097"/>
      <c r="H19" s="1097"/>
      <c r="I19" s="1097"/>
      <c r="J19" s="1097"/>
      <c r="K19" s="1097"/>
      <c r="L19" s="1097"/>
      <c r="M19" s="1097"/>
    </row>
    <row r="20" spans="2:13" ht="14.65" customHeight="1">
      <c r="B20" s="1097"/>
      <c r="C20" s="1097"/>
      <c r="D20" s="1097"/>
      <c r="E20" s="1097"/>
      <c r="F20" s="1097"/>
      <c r="G20" s="1097"/>
      <c r="H20" s="1097"/>
      <c r="I20" s="1097"/>
      <c r="J20" s="1097"/>
      <c r="K20" s="1097"/>
      <c r="L20" s="1097"/>
      <c r="M20" s="1097"/>
    </row>
    <row r="21" spans="2:13" ht="14.65" customHeight="1">
      <c r="B21" s="1097"/>
      <c r="C21" s="1097"/>
      <c r="D21" s="1097"/>
      <c r="E21" s="1097"/>
      <c r="F21" s="1097"/>
      <c r="G21" s="1097"/>
      <c r="H21" s="1097"/>
      <c r="I21" s="1097"/>
      <c r="J21" s="1097"/>
      <c r="K21" s="1097"/>
      <c r="L21" s="1097"/>
      <c r="M21" s="1097"/>
    </row>
    <row r="22" spans="2:13">
      <c r="B22" s="1097" t="str">
        <f>Cover!C11</f>
        <v>Period 1 FY 2024</v>
      </c>
      <c r="C22" s="1097"/>
      <c r="D22" s="1097"/>
      <c r="E22" s="1097"/>
      <c r="F22" s="1097"/>
      <c r="G22" s="1097"/>
      <c r="H22" s="1097"/>
      <c r="I22" s="1097"/>
      <c r="J22" s="1097"/>
      <c r="K22" s="1097"/>
      <c r="L22" s="1097"/>
      <c r="M22" s="1097"/>
    </row>
    <row r="23" spans="2:13">
      <c r="B23" s="1097"/>
      <c r="C23" s="1097"/>
      <c r="D23" s="1097"/>
      <c r="E23" s="1097"/>
      <c r="F23" s="1097"/>
      <c r="G23" s="1097"/>
      <c r="H23" s="1097"/>
      <c r="I23" s="1097"/>
      <c r="J23" s="1097"/>
      <c r="K23" s="1097"/>
      <c r="L23" s="1097"/>
      <c r="M23" s="1097"/>
    </row>
    <row r="24" spans="2:13">
      <c r="B24" s="1097"/>
      <c r="C24" s="1097"/>
      <c r="D24" s="1097"/>
      <c r="E24" s="1097"/>
      <c r="F24" s="1097"/>
      <c r="G24" s="1097"/>
      <c r="H24" s="1097"/>
      <c r="I24" s="1097"/>
      <c r="J24" s="1097"/>
      <c r="K24" s="1097"/>
      <c r="L24" s="1097"/>
      <c r="M24" s="1097"/>
    </row>
    <row r="25" spans="2:13">
      <c r="B25" s="1097"/>
      <c r="C25" s="1097"/>
      <c r="D25" s="1097"/>
      <c r="E25" s="1097"/>
      <c r="F25" s="1097"/>
      <c r="G25" s="1097"/>
      <c r="H25" s="1097"/>
      <c r="I25" s="1097"/>
      <c r="J25" s="1097"/>
      <c r="K25" s="1097"/>
      <c r="L25" s="1097"/>
      <c r="M25" s="1097"/>
    </row>
    <row r="26" spans="2:13">
      <c r="B26" s="1097"/>
      <c r="C26" s="1097"/>
      <c r="D26" s="1097"/>
      <c r="E26" s="1097"/>
      <c r="F26" s="1097"/>
      <c r="G26" s="1097"/>
      <c r="H26" s="1097"/>
      <c r="I26" s="1097"/>
      <c r="J26" s="1097"/>
      <c r="K26" s="1097"/>
      <c r="L26" s="1097"/>
      <c r="M26" s="1097"/>
    </row>
    <row r="38" spans="2:13">
      <c r="B38" s="446"/>
      <c r="C38" s="446"/>
      <c r="D38" s="446"/>
      <c r="E38" s="446"/>
      <c r="F38" s="446"/>
      <c r="G38" s="446"/>
      <c r="H38" s="446"/>
      <c r="I38" s="446"/>
      <c r="J38" s="446"/>
      <c r="K38" s="446"/>
      <c r="L38" s="446"/>
      <c r="M38" s="446"/>
    </row>
    <row r="39" spans="2:13">
      <c r="B39" s="446"/>
      <c r="C39" s="446"/>
      <c r="D39" s="446"/>
      <c r="E39" s="446"/>
      <c r="F39" s="446"/>
      <c r="G39" s="446"/>
      <c r="H39" s="446"/>
      <c r="I39" s="446"/>
      <c r="J39" s="446"/>
      <c r="K39" s="446"/>
      <c r="L39" s="446"/>
      <c r="M39" s="446"/>
    </row>
  </sheetData>
  <mergeCells count="5">
    <mergeCell ref="B2:M5"/>
    <mergeCell ref="B7:M11"/>
    <mergeCell ref="B12:M16"/>
    <mergeCell ref="B17:M21"/>
    <mergeCell ref="B22:M26"/>
  </mergeCells>
  <printOptions horizontalCentered="1"/>
  <pageMargins left="0.7" right="0.7" top="0.25" bottom="0.75" header="0.3" footer="0.3"/>
  <pageSetup scale="77" orientation="landscape" r:id="rId1"/>
  <headerFooter>
    <oddFooter>&amp;R&amp;F | &amp;A
Printed &amp;D @ &amp;T
&amp;P</oddFooter>
  </headerFooter>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6">
    <tabColor theme="3" tint="0.39997558519241921"/>
    <pageSetUpPr fitToPage="1"/>
  </sheetPr>
  <dimension ref="A1:CK172"/>
  <sheetViews>
    <sheetView showGridLines="0" topLeftCell="A27" zoomScale="85" zoomScaleNormal="85" zoomScaleSheetLayoutView="55" workbookViewId="0">
      <selection activeCell="AE135" sqref="AE135:BE138"/>
    </sheetView>
  </sheetViews>
  <sheetFormatPr defaultColWidth="3.28515625" defaultRowHeight="15" customHeight="1"/>
  <cols>
    <col min="1" max="1" width="3.7109375" style="6" customWidth="1"/>
    <col min="2" max="2" width="3.7109375" style="37" customWidth="1"/>
    <col min="3" max="6" width="3.28515625" style="37"/>
    <col min="7" max="7" width="4" style="37" bestFit="1" customWidth="1"/>
    <col min="8" max="22" width="3.28515625" style="37"/>
    <col min="23" max="24" width="3.28515625" style="37" customWidth="1"/>
    <col min="25" max="28" width="3.28515625" style="37"/>
    <col min="29" max="30" width="3.28515625" style="37" customWidth="1"/>
    <col min="31" max="42" width="3.28515625" style="37"/>
    <col min="43" max="43" width="3.42578125" style="37" customWidth="1"/>
    <col min="44" max="56" width="3.28515625" style="37"/>
    <col min="57" max="57" width="4.7109375" style="37" customWidth="1"/>
    <col min="58" max="59" width="3.28515625" style="6"/>
    <col min="60" max="60" width="4.7109375" style="6" bestFit="1" customWidth="1"/>
    <col min="61" max="61" width="18.42578125" style="270" customWidth="1"/>
    <col min="62" max="63" width="12.7109375" style="270" customWidth="1"/>
    <col min="64" max="64" width="17.42578125" style="270" bestFit="1" customWidth="1"/>
    <col min="65" max="65" width="16.7109375" style="270" bestFit="1" customWidth="1"/>
    <col min="66" max="66" width="15.7109375" style="270" bestFit="1" customWidth="1"/>
    <col min="67" max="67" width="16.7109375" style="270" bestFit="1" customWidth="1"/>
    <col min="68" max="68" width="12.7109375" style="270" customWidth="1"/>
    <col min="69" max="69" width="14.42578125" style="270" customWidth="1"/>
    <col min="70" max="72" width="16.7109375" style="270" bestFit="1" customWidth="1"/>
    <col min="73" max="73" width="17.7109375" style="270" bestFit="1" customWidth="1"/>
    <col min="74" max="74" width="14.85546875" style="270" bestFit="1" customWidth="1"/>
    <col min="75" max="75" width="17.7109375" style="6" bestFit="1" customWidth="1"/>
    <col min="76" max="76" width="15.140625" style="6" bestFit="1" customWidth="1"/>
    <col min="77" max="78" width="16.7109375" style="6" bestFit="1" customWidth="1"/>
    <col min="79" max="79" width="13.7109375" style="6" bestFit="1" customWidth="1"/>
    <col min="80" max="80" width="16.7109375" style="6" bestFit="1" customWidth="1"/>
    <col min="81" max="81" width="13.140625" style="6" bestFit="1" customWidth="1"/>
    <col min="82" max="82" width="7.140625" style="6" bestFit="1" customWidth="1"/>
    <col min="83" max="83" width="12.7109375" style="6" bestFit="1" customWidth="1"/>
    <col min="84" max="84" width="14.85546875" style="6" bestFit="1" customWidth="1"/>
    <col min="85" max="85" width="9.28515625" style="6" bestFit="1" customWidth="1"/>
    <col min="86" max="86" width="9.7109375" style="6" bestFit="1" customWidth="1"/>
    <col min="87" max="87" width="9" style="6" bestFit="1" customWidth="1"/>
    <col min="88" max="88" width="11.28515625" style="6" bestFit="1" customWidth="1"/>
    <col min="89" max="89" width="9.7109375" style="6" bestFit="1" customWidth="1"/>
    <col min="90" max="90" width="5.7109375" style="6" customWidth="1"/>
    <col min="91" max="91" width="8.85546875" style="6" bestFit="1" customWidth="1"/>
    <col min="92" max="92" width="4.140625" style="6" bestFit="1" customWidth="1"/>
    <col min="93" max="93" width="4.7109375" style="6" bestFit="1" customWidth="1"/>
    <col min="94" max="16384" width="3.28515625" style="6"/>
  </cols>
  <sheetData>
    <row r="1" spans="2:76" ht="15" customHeight="1">
      <c r="BI1" s="1232" t="s">
        <v>406</v>
      </c>
      <c r="BJ1" s="1232"/>
      <c r="BK1" s="1232"/>
      <c r="BL1" s="1232"/>
      <c r="BM1" s="1232"/>
      <c r="BN1" s="1232"/>
      <c r="BO1" s="1232"/>
      <c r="BP1" s="1232"/>
      <c r="BQ1" s="1232"/>
      <c r="BR1" s="1232"/>
      <c r="BS1" s="1232"/>
      <c r="BT1" s="1232"/>
      <c r="BU1" s="1232"/>
    </row>
    <row r="2" spans="2:76" ht="15" customHeight="1">
      <c r="B2" s="1146" t="s">
        <v>180</v>
      </c>
      <c r="C2" s="1146"/>
      <c r="D2" s="1146"/>
      <c r="E2" s="1146"/>
      <c r="F2" s="1146"/>
      <c r="G2" s="1146"/>
      <c r="H2" s="1146"/>
      <c r="I2" s="1146"/>
      <c r="J2" s="1146"/>
      <c r="K2" s="1146"/>
      <c r="L2" s="1146"/>
      <c r="M2" s="1146"/>
      <c r="N2" s="1146"/>
      <c r="O2" s="1146"/>
      <c r="P2" s="1146"/>
      <c r="Q2" s="1146"/>
      <c r="R2" s="1146"/>
      <c r="S2" s="1146"/>
      <c r="T2" s="1146"/>
      <c r="U2" s="1146"/>
      <c r="V2" s="1146"/>
      <c r="W2" s="1146"/>
      <c r="X2" s="1146"/>
      <c r="Y2" s="1146"/>
      <c r="Z2" s="1146"/>
      <c r="AA2" s="1146"/>
      <c r="AB2" s="1146"/>
      <c r="AC2" s="1146"/>
      <c r="AD2" s="1146"/>
      <c r="AE2" s="1146"/>
      <c r="AF2" s="1146"/>
      <c r="AG2" s="1146"/>
      <c r="AH2" s="1146"/>
      <c r="AI2" s="1146"/>
      <c r="AJ2" s="1146"/>
      <c r="AK2" s="1146"/>
      <c r="AL2" s="1146"/>
      <c r="AM2" s="1146"/>
      <c r="AN2" s="1146"/>
      <c r="AO2" s="1146"/>
      <c r="AP2" s="1146"/>
      <c r="AQ2" s="1146"/>
      <c r="AR2" s="1146"/>
      <c r="AS2" s="1146"/>
      <c r="AT2" s="1146"/>
      <c r="AU2" s="1146"/>
      <c r="AV2" s="1146"/>
      <c r="AW2" s="1146"/>
      <c r="AX2" s="1146"/>
      <c r="AY2" s="1146"/>
      <c r="AZ2" s="1146"/>
      <c r="BA2" s="1146"/>
      <c r="BB2" s="1146"/>
      <c r="BC2" s="1146"/>
      <c r="BD2" s="1146"/>
      <c r="BE2" s="1146"/>
      <c r="BI2" s="271" t="s">
        <v>45</v>
      </c>
    </row>
    <row r="3" spans="2:76" ht="15" customHeight="1">
      <c r="B3" s="1146"/>
      <c r="C3" s="1146"/>
      <c r="D3" s="1146"/>
      <c r="E3" s="1146"/>
      <c r="F3" s="1146"/>
      <c r="G3" s="1146"/>
      <c r="H3" s="1146"/>
      <c r="I3" s="1146"/>
      <c r="J3" s="1146"/>
      <c r="K3" s="1146"/>
      <c r="L3" s="1146"/>
      <c r="M3" s="1146"/>
      <c r="N3" s="1146"/>
      <c r="O3" s="1146"/>
      <c r="P3" s="1146"/>
      <c r="Q3" s="1146"/>
      <c r="R3" s="1146"/>
      <c r="S3" s="1146"/>
      <c r="T3" s="1146"/>
      <c r="U3" s="1146"/>
      <c r="V3" s="1146"/>
      <c r="W3" s="1146"/>
      <c r="X3" s="1146"/>
      <c r="Y3" s="1146"/>
      <c r="Z3" s="1146"/>
      <c r="AA3" s="1146"/>
      <c r="AB3" s="1146"/>
      <c r="AC3" s="1146"/>
      <c r="AD3" s="1146"/>
      <c r="AE3" s="1146"/>
      <c r="AF3" s="1146"/>
      <c r="AG3" s="1146"/>
      <c r="AH3" s="1146"/>
      <c r="AI3" s="1146"/>
      <c r="AJ3" s="1146"/>
      <c r="AK3" s="1146"/>
      <c r="AL3" s="1146"/>
      <c r="AM3" s="1146"/>
      <c r="AN3" s="1146"/>
      <c r="AO3" s="1146"/>
      <c r="AP3" s="1146"/>
      <c r="AQ3" s="1146"/>
      <c r="AR3" s="1146"/>
      <c r="AS3" s="1146"/>
      <c r="AT3" s="1146"/>
      <c r="AU3" s="1146"/>
      <c r="AV3" s="1146"/>
      <c r="AW3" s="1146"/>
      <c r="AX3" s="1146"/>
      <c r="AY3" s="1146"/>
      <c r="AZ3" s="1146"/>
      <c r="BA3" s="1146"/>
      <c r="BB3" s="1146"/>
      <c r="BC3" s="1146"/>
      <c r="BD3" s="1146"/>
      <c r="BE3" s="1146"/>
      <c r="BI3" s="272" t="s">
        <v>261</v>
      </c>
    </row>
    <row r="4" spans="2:76" ht="15" customHeight="1">
      <c r="B4" s="1147"/>
      <c r="C4" s="1147"/>
      <c r="D4" s="1147"/>
      <c r="E4" s="1147"/>
      <c r="F4" s="1147"/>
      <c r="G4" s="1147"/>
      <c r="H4" s="1147"/>
      <c r="I4" s="1147"/>
      <c r="J4" s="1147"/>
      <c r="K4" s="1147"/>
      <c r="L4" s="1147"/>
      <c r="M4" s="1147"/>
      <c r="N4" s="1147"/>
      <c r="O4" s="1147"/>
      <c r="P4" s="1147"/>
      <c r="Q4" s="1147"/>
      <c r="R4" s="1147"/>
      <c r="S4" s="1147"/>
      <c r="T4" s="1147"/>
      <c r="U4" s="1147"/>
      <c r="V4" s="1147"/>
      <c r="W4" s="1147"/>
      <c r="X4" s="1147"/>
      <c r="Y4" s="1147"/>
      <c r="Z4" s="1147"/>
      <c r="AA4" s="1147"/>
      <c r="AB4" s="1147"/>
      <c r="AC4" s="1147"/>
      <c r="AD4" s="1147"/>
      <c r="AE4" s="1147"/>
      <c r="AF4" s="1147"/>
      <c r="AG4" s="1147"/>
      <c r="AH4" s="1147"/>
      <c r="AI4" s="1147"/>
      <c r="AJ4" s="1147"/>
      <c r="AK4" s="1147"/>
      <c r="AL4" s="1147"/>
      <c r="AM4" s="1147"/>
      <c r="AN4" s="1147"/>
      <c r="AO4" s="1147"/>
      <c r="AP4" s="1147"/>
      <c r="AQ4" s="1147"/>
      <c r="AR4" s="1147"/>
      <c r="AS4" s="1147"/>
      <c r="AT4" s="1147"/>
      <c r="AU4" s="1147"/>
      <c r="AV4" s="1147"/>
      <c r="AW4" s="1147"/>
      <c r="AX4" s="1147"/>
      <c r="AY4" s="1147"/>
      <c r="AZ4" s="1147"/>
      <c r="BA4" s="1147"/>
      <c r="BB4" s="1147"/>
      <c r="BC4" s="1147"/>
      <c r="BD4" s="1147"/>
      <c r="BE4" s="1147"/>
      <c r="BI4" s="273" t="s">
        <v>23</v>
      </c>
      <c r="BJ4" s="273" t="s">
        <v>36</v>
      </c>
      <c r="BK4" s="273" t="s">
        <v>698</v>
      </c>
      <c r="BL4" s="273" t="s">
        <v>699</v>
      </c>
      <c r="BM4" s="273" t="s">
        <v>700</v>
      </c>
      <c r="BN4" s="273" t="s">
        <v>701</v>
      </c>
      <c r="BO4" s="273" t="s">
        <v>702</v>
      </c>
      <c r="BP4" s="273" t="s">
        <v>703</v>
      </c>
      <c r="BQ4" s="273" t="s">
        <v>704</v>
      </c>
      <c r="BR4" s="273" t="s">
        <v>705</v>
      </c>
      <c r="BS4" s="273" t="s">
        <v>706</v>
      </c>
      <c r="BT4" s="273" t="s">
        <v>707</v>
      </c>
      <c r="BU4" s="273" t="s">
        <v>708</v>
      </c>
      <c r="BV4" s="273" t="s">
        <v>709</v>
      </c>
      <c r="BX4" s="274" t="s">
        <v>262</v>
      </c>
    </row>
    <row r="5" spans="2:76" ht="15" customHeight="1">
      <c r="B5" s="1234" t="s">
        <v>406</v>
      </c>
      <c r="C5" s="1235"/>
      <c r="D5" s="1235"/>
      <c r="E5" s="1235"/>
      <c r="F5" s="1235"/>
      <c r="G5" s="1235"/>
      <c r="H5" s="1235"/>
      <c r="I5" s="1235"/>
      <c r="J5" s="1235"/>
      <c r="K5" s="1235"/>
      <c r="L5" s="1235"/>
      <c r="M5" s="1235"/>
      <c r="N5" s="1235"/>
      <c r="O5" s="1235"/>
      <c r="P5" s="1235"/>
      <c r="Q5" s="1235"/>
      <c r="R5" s="1235"/>
      <c r="S5" s="1235"/>
      <c r="T5" s="1235"/>
      <c r="U5" s="1235"/>
      <c r="V5" s="1235"/>
      <c r="W5" s="1235"/>
      <c r="X5" s="1235"/>
      <c r="Y5" s="1235"/>
      <c r="Z5" s="1235"/>
      <c r="AA5" s="1235"/>
      <c r="AB5" s="1235"/>
      <c r="AC5" s="1235"/>
      <c r="AD5" s="1235"/>
      <c r="AE5" s="1235"/>
      <c r="AF5" s="1235"/>
      <c r="AG5" s="1235"/>
      <c r="AH5" s="1235"/>
      <c r="AI5" s="1235"/>
      <c r="AJ5" s="1235"/>
      <c r="AK5" s="1235"/>
      <c r="AL5" s="1235"/>
      <c r="AM5" s="1235"/>
      <c r="AN5" s="1235"/>
      <c r="AO5" s="1235"/>
      <c r="AP5" s="1235"/>
      <c r="AQ5" s="1235"/>
      <c r="AR5" s="1235"/>
      <c r="AS5" s="658"/>
      <c r="AT5" s="658"/>
      <c r="AU5" s="658"/>
      <c r="AV5" s="658"/>
      <c r="AW5" s="658"/>
      <c r="AX5" s="1133"/>
      <c r="AY5" s="1133"/>
      <c r="AZ5" s="658"/>
      <c r="BA5" s="658"/>
      <c r="BB5" s="658"/>
      <c r="BC5" s="658"/>
      <c r="BD5" s="658"/>
      <c r="BE5" s="659" t="str">
        <f>Cover!M34</f>
        <v>OCT FY-24</v>
      </c>
      <c r="BI5" s="273" t="s">
        <v>37</v>
      </c>
      <c r="BJ5" s="273">
        <v>-1</v>
      </c>
      <c r="BK5" s="273">
        <v>1</v>
      </c>
      <c r="BL5" s="273">
        <v>2</v>
      </c>
      <c r="BM5" s="273">
        <v>3</v>
      </c>
      <c r="BN5" s="273">
        <v>4</v>
      </c>
      <c r="BO5" s="273">
        <v>5</v>
      </c>
      <c r="BP5" s="273">
        <v>6</v>
      </c>
      <c r="BQ5" s="273">
        <v>7</v>
      </c>
      <c r="BR5" s="273">
        <v>8</v>
      </c>
      <c r="BS5" s="273">
        <v>9</v>
      </c>
      <c r="BT5" s="273">
        <v>10</v>
      </c>
      <c r="BU5" s="273">
        <v>11</v>
      </c>
      <c r="BV5" s="273">
        <v>12</v>
      </c>
      <c r="BX5" s="271">
        <f>Cover!M36</f>
        <v>1</v>
      </c>
    </row>
    <row r="6" spans="2:76" ht="15" customHeight="1">
      <c r="BI6" s="271" t="s">
        <v>263</v>
      </c>
      <c r="BJ6" s="632">
        <v>33</v>
      </c>
      <c r="BK6" s="633">
        <f>BJ14-BJ13</f>
        <v>34</v>
      </c>
      <c r="BL6" s="633">
        <f>BK14-BK13</f>
        <v>34</v>
      </c>
      <c r="BM6" s="633">
        <f>BL14-BL13</f>
        <v>34</v>
      </c>
      <c r="BN6" s="633">
        <f>BM14-BM13</f>
        <v>34</v>
      </c>
      <c r="BO6" s="633">
        <f>BN14-BN13</f>
        <v>34</v>
      </c>
      <c r="BP6" s="633">
        <f t="shared" ref="BP6:BV6" si="0">BO14-BO13</f>
        <v>34</v>
      </c>
      <c r="BQ6" s="633">
        <f t="shared" si="0"/>
        <v>34</v>
      </c>
      <c r="BR6" s="633">
        <f t="shared" si="0"/>
        <v>34</v>
      </c>
      <c r="BS6" s="633">
        <f t="shared" si="0"/>
        <v>34</v>
      </c>
      <c r="BT6" s="633">
        <f t="shared" si="0"/>
        <v>34</v>
      </c>
      <c r="BU6" s="633">
        <f t="shared" si="0"/>
        <v>34</v>
      </c>
      <c r="BV6" s="633">
        <f t="shared" si="0"/>
        <v>34</v>
      </c>
      <c r="BX6" s="271"/>
    </row>
    <row r="7" spans="2:76" ht="15" customHeight="1">
      <c r="B7" s="531" t="s">
        <v>407</v>
      </c>
      <c r="C7" s="532"/>
      <c r="D7" s="532"/>
      <c r="E7" s="532"/>
      <c r="F7" s="532"/>
      <c r="G7" s="532"/>
      <c r="H7" s="532"/>
      <c r="I7" s="532"/>
      <c r="J7" s="532"/>
      <c r="K7" s="532"/>
      <c r="L7" s="532"/>
      <c r="M7" s="532"/>
      <c r="N7" s="532"/>
      <c r="O7" s="532"/>
      <c r="P7" s="532"/>
      <c r="Q7" s="532"/>
      <c r="R7" s="532"/>
      <c r="S7" s="532"/>
      <c r="T7" s="532"/>
      <c r="U7" s="532"/>
      <c r="V7" s="532"/>
      <c r="W7" s="532"/>
      <c r="X7" s="532"/>
      <c r="Y7" s="532"/>
      <c r="Z7" s="532"/>
      <c r="AA7" s="532"/>
      <c r="AB7" s="532"/>
      <c r="AE7" s="531" t="s">
        <v>265</v>
      </c>
      <c r="AF7" s="532"/>
      <c r="AG7" s="532"/>
      <c r="AH7" s="532"/>
      <c r="AI7" s="532"/>
      <c r="AJ7" s="532"/>
      <c r="AK7" s="532"/>
      <c r="AL7" s="532"/>
      <c r="AM7" s="532"/>
      <c r="AN7" s="532"/>
      <c r="AO7" s="532"/>
      <c r="AP7" s="532"/>
      <c r="AQ7" s="532"/>
      <c r="AR7" s="532"/>
      <c r="AS7" s="532"/>
      <c r="AT7" s="532"/>
      <c r="AU7" s="532"/>
      <c r="AV7" s="532"/>
      <c r="AW7" s="532"/>
      <c r="AX7" s="532"/>
      <c r="AY7" s="532"/>
      <c r="AZ7" s="532"/>
      <c r="BA7" s="532"/>
      <c r="BB7" s="532"/>
      <c r="BC7" s="532"/>
      <c r="BD7" s="532"/>
      <c r="BE7" s="532"/>
      <c r="BI7" s="271" t="s">
        <v>266</v>
      </c>
      <c r="BJ7" s="632"/>
      <c r="BK7" s="632"/>
      <c r="BL7" s="632"/>
      <c r="BM7" s="632"/>
      <c r="BN7" s="632"/>
      <c r="BO7" s="632"/>
      <c r="BP7" s="632"/>
      <c r="BQ7" s="632"/>
      <c r="BR7" s="632"/>
      <c r="BS7" s="632"/>
      <c r="BT7" s="632"/>
      <c r="BU7" s="632"/>
      <c r="BV7" s="632"/>
      <c r="BX7" s="271"/>
    </row>
    <row r="8" spans="2:76" ht="15" customHeight="1">
      <c r="B8" s="1304" t="s">
        <v>783</v>
      </c>
      <c r="C8" s="1305"/>
      <c r="D8" s="1305"/>
      <c r="E8" s="1305"/>
      <c r="F8" s="1305"/>
      <c r="G8" s="1305"/>
      <c r="H8" s="1305"/>
      <c r="I8" s="1305"/>
      <c r="J8" s="1305"/>
      <c r="K8" s="1305"/>
      <c r="L8" s="1305"/>
      <c r="M8" s="1305"/>
      <c r="N8" s="1305"/>
      <c r="O8" s="1305"/>
      <c r="P8" s="1305"/>
      <c r="Q8" s="1305"/>
      <c r="R8" s="1305"/>
      <c r="S8" s="1305"/>
      <c r="T8" s="1305"/>
      <c r="U8" s="1305"/>
      <c r="V8" s="1305"/>
      <c r="W8" s="1305"/>
      <c r="X8" s="1305"/>
      <c r="Y8" s="1305"/>
      <c r="Z8" s="1305"/>
      <c r="AA8" s="1305"/>
      <c r="AB8" s="1306"/>
      <c r="AE8" s="1137" t="s">
        <v>697</v>
      </c>
      <c r="AF8" s="1138"/>
      <c r="AG8" s="1138"/>
      <c r="AH8" s="1138"/>
      <c r="AI8" s="1138"/>
      <c r="AJ8" s="1138"/>
      <c r="AK8" s="1138"/>
      <c r="AL8" s="1138"/>
      <c r="AM8" s="1138"/>
      <c r="AN8" s="1138"/>
      <c r="AO8" s="1138"/>
      <c r="AP8" s="1138"/>
      <c r="AQ8" s="1138"/>
      <c r="AR8" s="1138"/>
      <c r="AS8" s="1138"/>
      <c r="AT8" s="1138"/>
      <c r="AU8" s="1138"/>
      <c r="AV8" s="1138"/>
      <c r="AW8" s="1138"/>
      <c r="AX8" s="1138"/>
      <c r="AY8" s="1138"/>
      <c r="AZ8" s="1138"/>
      <c r="BA8" s="1138"/>
      <c r="BB8" s="1138"/>
      <c r="BC8" s="1138"/>
      <c r="BD8" s="1138"/>
      <c r="BE8" s="1139"/>
      <c r="BI8" s="271" t="s">
        <v>269</v>
      </c>
      <c r="BJ8" s="632"/>
      <c r="BK8" s="632"/>
      <c r="BL8" s="632"/>
      <c r="BM8" s="632"/>
      <c r="BN8" s="632"/>
      <c r="BO8" s="632"/>
      <c r="BP8" s="632"/>
      <c r="BQ8" s="632"/>
      <c r="BR8" s="632"/>
      <c r="BS8" s="632"/>
      <c r="BT8" s="632"/>
      <c r="BU8" s="632"/>
      <c r="BV8" s="632"/>
      <c r="BX8" s="271"/>
    </row>
    <row r="9" spans="2:76" ht="15" customHeight="1">
      <c r="B9" s="1307"/>
      <c r="C9" s="1308"/>
      <c r="D9" s="1308"/>
      <c r="E9" s="1308"/>
      <c r="F9" s="1308"/>
      <c r="G9" s="1308"/>
      <c r="H9" s="1308"/>
      <c r="I9" s="1308"/>
      <c r="J9" s="1308"/>
      <c r="K9" s="1308"/>
      <c r="L9" s="1308"/>
      <c r="M9" s="1308"/>
      <c r="N9" s="1308"/>
      <c r="O9" s="1308"/>
      <c r="P9" s="1308"/>
      <c r="Q9" s="1308"/>
      <c r="R9" s="1308"/>
      <c r="S9" s="1308"/>
      <c r="T9" s="1308"/>
      <c r="U9" s="1308"/>
      <c r="V9" s="1308"/>
      <c r="W9" s="1308"/>
      <c r="X9" s="1308"/>
      <c r="Y9" s="1308"/>
      <c r="Z9" s="1308"/>
      <c r="AA9" s="1308"/>
      <c r="AB9" s="1309"/>
      <c r="AE9" s="1140"/>
      <c r="AF9" s="1141"/>
      <c r="AG9" s="1141"/>
      <c r="AH9" s="1141"/>
      <c r="AI9" s="1141"/>
      <c r="AJ9" s="1141"/>
      <c r="AK9" s="1141"/>
      <c r="AL9" s="1141"/>
      <c r="AM9" s="1141"/>
      <c r="AN9" s="1141"/>
      <c r="AO9" s="1141"/>
      <c r="AP9" s="1141"/>
      <c r="AQ9" s="1141"/>
      <c r="AR9" s="1141"/>
      <c r="AS9" s="1141"/>
      <c r="AT9" s="1141"/>
      <c r="AU9" s="1141"/>
      <c r="AV9" s="1141"/>
      <c r="AW9" s="1141"/>
      <c r="AX9" s="1141"/>
      <c r="AY9" s="1141"/>
      <c r="AZ9" s="1141"/>
      <c r="BA9" s="1141"/>
      <c r="BB9" s="1141"/>
      <c r="BC9" s="1141"/>
      <c r="BD9" s="1141"/>
      <c r="BE9" s="1142"/>
      <c r="BI9" s="271" t="s">
        <v>270</v>
      </c>
      <c r="BJ9" s="632"/>
      <c r="BK9" s="632"/>
      <c r="BL9" s="632"/>
      <c r="BM9" s="632"/>
      <c r="BN9" s="632"/>
      <c r="BO9" s="632"/>
      <c r="BP9" s="632"/>
      <c r="BQ9" s="632"/>
      <c r="BR9" s="632"/>
      <c r="BS9" s="632"/>
      <c r="BT9" s="632"/>
      <c r="BU9" s="632"/>
      <c r="BV9" s="632"/>
      <c r="BX9" s="271"/>
    </row>
    <row r="10" spans="2:76" ht="15" customHeight="1">
      <c r="B10" s="1307"/>
      <c r="C10" s="1308"/>
      <c r="D10" s="1308"/>
      <c r="E10" s="1308"/>
      <c r="F10" s="1308"/>
      <c r="G10" s="1308"/>
      <c r="H10" s="1308"/>
      <c r="I10" s="1308"/>
      <c r="J10" s="1308"/>
      <c r="K10" s="1308"/>
      <c r="L10" s="1308"/>
      <c r="M10" s="1308"/>
      <c r="N10" s="1308"/>
      <c r="O10" s="1308"/>
      <c r="P10" s="1308"/>
      <c r="Q10" s="1308"/>
      <c r="R10" s="1308"/>
      <c r="S10" s="1308"/>
      <c r="T10" s="1308"/>
      <c r="U10" s="1308"/>
      <c r="V10" s="1308"/>
      <c r="W10" s="1308"/>
      <c r="X10" s="1308"/>
      <c r="Y10" s="1308"/>
      <c r="Z10" s="1308"/>
      <c r="AA10" s="1308"/>
      <c r="AB10" s="1309"/>
      <c r="AE10" s="1140"/>
      <c r="AF10" s="1141"/>
      <c r="AG10" s="1141"/>
      <c r="AH10" s="1141"/>
      <c r="AI10" s="1141"/>
      <c r="AJ10" s="1141"/>
      <c r="AK10" s="1141"/>
      <c r="AL10" s="1141"/>
      <c r="AM10" s="1141"/>
      <c r="AN10" s="1141"/>
      <c r="AO10" s="1141"/>
      <c r="AP10" s="1141"/>
      <c r="AQ10" s="1141"/>
      <c r="AR10" s="1141"/>
      <c r="AS10" s="1141"/>
      <c r="AT10" s="1141"/>
      <c r="AU10" s="1141"/>
      <c r="AV10" s="1141"/>
      <c r="AW10" s="1141"/>
      <c r="AX10" s="1141"/>
      <c r="AY10" s="1141"/>
      <c r="AZ10" s="1141"/>
      <c r="BA10" s="1141"/>
      <c r="BB10" s="1141"/>
      <c r="BC10" s="1141"/>
      <c r="BD10" s="1141"/>
      <c r="BE10" s="1142"/>
      <c r="BI10" s="271" t="s">
        <v>271</v>
      </c>
      <c r="BJ10" s="632">
        <v>1</v>
      </c>
      <c r="BK10" s="632"/>
      <c r="BL10" s="632"/>
      <c r="BM10" s="632"/>
      <c r="BN10" s="632"/>
      <c r="BO10" s="632"/>
      <c r="BP10" s="632"/>
      <c r="BQ10" s="632"/>
      <c r="BR10" s="632"/>
      <c r="BS10" s="632"/>
      <c r="BT10" s="632"/>
      <c r="BU10" s="632"/>
      <c r="BV10" s="632"/>
      <c r="BX10" s="271"/>
    </row>
    <row r="11" spans="2:76" ht="21.75" customHeight="1">
      <c r="B11" s="1310"/>
      <c r="C11" s="1311"/>
      <c r="D11" s="1311"/>
      <c r="E11" s="1311"/>
      <c r="F11" s="1311"/>
      <c r="G11" s="1311"/>
      <c r="H11" s="1311"/>
      <c r="I11" s="1311"/>
      <c r="J11" s="1311"/>
      <c r="K11" s="1311"/>
      <c r="L11" s="1311"/>
      <c r="M11" s="1311"/>
      <c r="N11" s="1311"/>
      <c r="O11" s="1311"/>
      <c r="P11" s="1311"/>
      <c r="Q11" s="1311"/>
      <c r="R11" s="1311"/>
      <c r="S11" s="1311"/>
      <c r="T11" s="1311"/>
      <c r="U11" s="1311"/>
      <c r="V11" s="1311"/>
      <c r="W11" s="1311"/>
      <c r="X11" s="1311"/>
      <c r="Y11" s="1311"/>
      <c r="Z11" s="1311"/>
      <c r="AA11" s="1311"/>
      <c r="AB11" s="1312"/>
      <c r="AE11" s="1143"/>
      <c r="AF11" s="1144"/>
      <c r="AG11" s="1144"/>
      <c r="AH11" s="1144"/>
      <c r="AI11" s="1144"/>
      <c r="AJ11" s="1144"/>
      <c r="AK11" s="1144"/>
      <c r="AL11" s="1144"/>
      <c r="AM11" s="1144"/>
      <c r="AN11" s="1144"/>
      <c r="AO11" s="1144"/>
      <c r="AP11" s="1144"/>
      <c r="AQ11" s="1144"/>
      <c r="AR11" s="1144"/>
      <c r="AS11" s="1144"/>
      <c r="AT11" s="1144"/>
      <c r="AU11" s="1144"/>
      <c r="AV11" s="1144"/>
      <c r="AW11" s="1144"/>
      <c r="AX11" s="1144"/>
      <c r="AY11" s="1144"/>
      <c r="AZ11" s="1144"/>
      <c r="BA11" s="1144"/>
      <c r="BB11" s="1144"/>
      <c r="BC11" s="1144"/>
      <c r="BD11" s="1144"/>
      <c r="BE11" s="1145"/>
      <c r="BI11" s="271" t="s">
        <v>272</v>
      </c>
      <c r="BJ11" s="632"/>
      <c r="BK11" s="632"/>
      <c r="BL11" s="632"/>
      <c r="BM11" s="632"/>
      <c r="BN11" s="632"/>
      <c r="BO11" s="632"/>
      <c r="BP11" s="632"/>
      <c r="BQ11" s="632"/>
      <c r="BR11" s="632"/>
      <c r="BS11" s="632"/>
      <c r="BT11" s="632"/>
      <c r="BU11" s="632"/>
      <c r="BV11" s="632"/>
      <c r="BX11" s="271"/>
    </row>
    <row r="12" spans="2:76" ht="15" customHeight="1">
      <c r="BI12" s="271" t="s">
        <v>273</v>
      </c>
      <c r="BJ12" s="632"/>
      <c r="BK12" s="632"/>
      <c r="BL12" s="632"/>
      <c r="BM12" s="632"/>
      <c r="BN12" s="632"/>
      <c r="BO12" s="632"/>
      <c r="BP12" s="632"/>
      <c r="BQ12" s="632"/>
      <c r="BR12" s="632"/>
      <c r="BS12" s="632"/>
      <c r="BT12" s="632"/>
      <c r="BU12" s="632"/>
      <c r="BV12" s="632"/>
      <c r="BX12" s="271"/>
    </row>
    <row r="13" spans="2:76" ht="15" customHeight="1">
      <c r="B13" s="531" t="s">
        <v>14</v>
      </c>
      <c r="C13" s="533"/>
      <c r="D13" s="533"/>
      <c r="E13" s="533"/>
      <c r="F13" s="532"/>
      <c r="G13" s="532"/>
      <c r="H13" s="532"/>
      <c r="I13" s="532"/>
      <c r="J13" s="532"/>
      <c r="K13" s="532"/>
      <c r="L13" s="532"/>
      <c r="M13" s="532"/>
      <c r="N13" s="532"/>
      <c r="O13" s="532"/>
      <c r="P13" s="532"/>
      <c r="Q13" s="532"/>
      <c r="R13" s="532"/>
      <c r="S13" s="532"/>
      <c r="T13" s="532"/>
      <c r="U13" s="532"/>
      <c r="V13" s="532"/>
      <c r="W13" s="532"/>
      <c r="X13" s="532"/>
      <c r="Y13" s="532"/>
      <c r="Z13" s="532"/>
      <c r="AA13" s="532"/>
      <c r="AB13" s="532"/>
      <c r="AE13" s="534" t="s">
        <v>59</v>
      </c>
      <c r="AF13" s="535"/>
      <c r="AG13" s="536"/>
      <c r="AH13" s="537"/>
      <c r="AI13" s="538"/>
      <c r="AJ13" s="538"/>
      <c r="AK13" s="538"/>
      <c r="AL13" s="538"/>
      <c r="AM13" s="538"/>
      <c r="AN13" s="538"/>
      <c r="AO13" s="538"/>
      <c r="AP13" s="538"/>
      <c r="AQ13" s="538"/>
      <c r="AR13" s="538"/>
      <c r="AS13" s="538"/>
      <c r="AT13" s="538"/>
      <c r="AU13" s="538"/>
      <c r="AV13" s="538"/>
      <c r="AW13" s="538"/>
      <c r="AX13" s="538"/>
      <c r="AY13" s="538"/>
      <c r="AZ13" s="538"/>
      <c r="BA13" s="538"/>
      <c r="BB13" s="538"/>
      <c r="BC13" s="538"/>
      <c r="BD13" s="538"/>
      <c r="BE13" s="538"/>
      <c r="BI13" s="271" t="s">
        <v>274</v>
      </c>
      <c r="BJ13" s="632"/>
      <c r="BK13" s="632"/>
      <c r="BL13" s="632"/>
      <c r="BM13" s="632"/>
      <c r="BN13" s="632"/>
      <c r="BO13" s="632"/>
      <c r="BP13" s="632"/>
      <c r="BQ13" s="635"/>
      <c r="BR13" s="632"/>
      <c r="BS13" s="632"/>
      <c r="BT13" s="632"/>
      <c r="BU13" s="632"/>
      <c r="BV13" s="632"/>
      <c r="BX13" s="271"/>
    </row>
    <row r="14" spans="2:76" ht="15" customHeight="1">
      <c r="B14" s="302"/>
      <c r="C14" s="302"/>
      <c r="D14" s="302"/>
      <c r="E14" s="302"/>
      <c r="F14" s="302"/>
      <c r="G14" s="302"/>
      <c r="H14" s="302"/>
      <c r="I14" s="303"/>
      <c r="J14" s="303"/>
      <c r="K14" s="304"/>
      <c r="L14" s="302"/>
      <c r="M14" s="302"/>
      <c r="N14" s="305"/>
      <c r="O14" s="302"/>
      <c r="P14" s="302"/>
      <c r="Q14" s="302"/>
      <c r="R14" s="302"/>
      <c r="S14" s="302"/>
      <c r="T14" s="302"/>
      <c r="U14" s="302"/>
      <c r="V14" s="1132"/>
      <c r="W14" s="1132"/>
      <c r="X14" s="302"/>
      <c r="Y14" s="302"/>
      <c r="Z14" s="302"/>
      <c r="AA14" s="302"/>
      <c r="AB14" s="302"/>
      <c r="AE14" s="306"/>
      <c r="AF14" s="302"/>
      <c r="AG14" s="302"/>
      <c r="AH14" s="302"/>
      <c r="AI14" s="302"/>
      <c r="AJ14" s="302"/>
      <c r="AK14" s="307"/>
      <c r="AL14" s="307"/>
      <c r="AM14" s="307"/>
      <c r="AN14" s="307"/>
      <c r="AO14" s="308"/>
      <c r="AP14" s="309"/>
      <c r="AQ14" s="309"/>
      <c r="AR14" s="309"/>
      <c r="AS14" s="307"/>
      <c r="AT14" s="308"/>
      <c r="AU14" s="307"/>
      <c r="AV14" s="307"/>
      <c r="AW14" s="307"/>
      <c r="AX14" s="302"/>
      <c r="AY14" s="302"/>
      <c r="AZ14" s="302"/>
      <c r="BA14" s="302"/>
      <c r="BB14" s="302"/>
      <c r="BC14" s="302"/>
      <c r="BD14" s="302"/>
      <c r="BE14" s="302"/>
      <c r="BI14" s="271" t="s">
        <v>41</v>
      </c>
      <c r="BJ14" s="275">
        <f t="shared" ref="BJ14:BV14" si="1">SUM(BJ6:BJ13)</f>
        <v>34</v>
      </c>
      <c r="BK14" s="275">
        <f t="shared" si="1"/>
        <v>34</v>
      </c>
      <c r="BL14" s="275">
        <f t="shared" si="1"/>
        <v>34</v>
      </c>
      <c r="BM14" s="275">
        <f t="shared" si="1"/>
        <v>34</v>
      </c>
      <c r="BN14" s="275">
        <f t="shared" si="1"/>
        <v>34</v>
      </c>
      <c r="BO14" s="275">
        <f t="shared" si="1"/>
        <v>34</v>
      </c>
      <c r="BP14" s="275">
        <f t="shared" si="1"/>
        <v>34</v>
      </c>
      <c r="BQ14" s="275">
        <f t="shared" si="1"/>
        <v>34</v>
      </c>
      <c r="BR14" s="275">
        <f t="shared" si="1"/>
        <v>34</v>
      </c>
      <c r="BS14" s="275">
        <f t="shared" si="1"/>
        <v>34</v>
      </c>
      <c r="BT14" s="275">
        <f t="shared" si="1"/>
        <v>34</v>
      </c>
      <c r="BU14" s="275">
        <f t="shared" si="1"/>
        <v>34</v>
      </c>
      <c r="BV14" s="275">
        <f t="shared" si="1"/>
        <v>34</v>
      </c>
      <c r="BX14" s="271"/>
    </row>
    <row r="15" spans="2:76" ht="15" customHeight="1">
      <c r="B15" s="1128" t="s">
        <v>185</v>
      </c>
      <c r="C15" s="1128"/>
      <c r="D15" s="1128"/>
      <c r="E15" s="1128"/>
      <c r="F15" s="1128"/>
      <c r="G15" s="1128"/>
      <c r="I15" s="1128" t="s">
        <v>275</v>
      </c>
      <c r="J15" s="1134"/>
      <c r="K15" s="1134"/>
      <c r="L15" s="1134"/>
      <c r="M15" s="1134"/>
      <c r="N15" s="1134"/>
      <c r="O15" s="1134"/>
      <c r="P15" s="1134"/>
      <c r="Q15" s="1134"/>
      <c r="R15" s="1134"/>
      <c r="S15" s="1134"/>
      <c r="T15" s="1134"/>
      <c r="U15" s="1134"/>
      <c r="V15" s="1134"/>
      <c r="W15" s="310"/>
      <c r="X15" s="1135" t="s">
        <v>360</v>
      </c>
      <c r="Y15" s="1136"/>
      <c r="Z15" s="1136"/>
      <c r="AA15" s="1136"/>
      <c r="AB15" s="1136"/>
      <c r="AE15" s="1128" t="s">
        <v>277</v>
      </c>
      <c r="AF15" s="1128"/>
      <c r="AG15" s="1128"/>
      <c r="AH15" s="1128"/>
      <c r="AI15" s="1128"/>
      <c r="AJ15" s="1128"/>
      <c r="AK15" s="311"/>
      <c r="AL15" s="1129" t="s">
        <v>62</v>
      </c>
      <c r="AM15" s="1129"/>
      <c r="AN15" s="1129"/>
      <c r="AO15" s="1129"/>
      <c r="AP15" s="1314" t="str">
        <f>CONCATENATE(Cover!M36,"+",12-Cover!M36)</f>
        <v>1+11</v>
      </c>
      <c r="AQ15" s="1128"/>
      <c r="AR15" s="311"/>
      <c r="AS15" s="1128" t="s">
        <v>278</v>
      </c>
      <c r="AT15" s="1128"/>
      <c r="AU15" s="1128"/>
      <c r="AV15" s="1128"/>
      <c r="AW15" s="1128"/>
      <c r="AX15" s="1128"/>
      <c r="AY15" s="311"/>
      <c r="AZ15" s="1128" t="s">
        <v>279</v>
      </c>
      <c r="BA15" s="1128"/>
      <c r="BB15" s="1128"/>
      <c r="BC15" s="1128"/>
      <c r="BD15" s="1128"/>
      <c r="BE15" s="1128"/>
      <c r="BV15" s="6"/>
    </row>
    <row r="16" spans="2:76" ht="15" customHeight="1">
      <c r="E16" s="312" t="s">
        <v>263</v>
      </c>
      <c r="G16" s="313">
        <f>SUMIF(BJ4:BV4,BE5,BJ6:BV6)</f>
        <v>34</v>
      </c>
      <c r="I16" s="1112" t="s">
        <v>280</v>
      </c>
      <c r="J16" s="1113"/>
      <c r="K16" s="1113"/>
      <c r="L16" s="1114"/>
      <c r="N16" s="1112" t="s">
        <v>281</v>
      </c>
      <c r="O16" s="1113"/>
      <c r="P16" s="1113"/>
      <c r="Q16" s="1114"/>
      <c r="S16" s="1112" t="s">
        <v>282</v>
      </c>
      <c r="T16" s="1113"/>
      <c r="U16" s="1113"/>
      <c r="V16" s="1114"/>
      <c r="X16" s="314" t="s">
        <v>361</v>
      </c>
      <c r="Y16" s="315"/>
      <c r="Z16" s="316"/>
      <c r="AA16" s="314"/>
      <c r="AB16" s="314"/>
      <c r="AE16" s="311"/>
      <c r="AF16" s="311"/>
      <c r="AG16" s="311"/>
      <c r="AI16" s="311"/>
      <c r="AJ16" s="103" t="s">
        <v>61</v>
      </c>
      <c r="AK16" s="311"/>
      <c r="AL16" s="311"/>
      <c r="AM16" s="311"/>
      <c r="AN16" s="311"/>
      <c r="AO16" s="311"/>
      <c r="AP16" s="311"/>
      <c r="AQ16" s="311"/>
      <c r="AR16" s="311"/>
      <c r="AS16" s="311"/>
      <c r="AT16" s="311"/>
      <c r="AU16" s="311"/>
      <c r="AV16" s="311"/>
      <c r="AW16" s="311"/>
      <c r="AX16" s="311"/>
      <c r="AY16" s="311"/>
      <c r="AZ16" s="311"/>
      <c r="BA16" s="311"/>
      <c r="BB16" s="311"/>
      <c r="BC16" s="311"/>
      <c r="BD16" s="311"/>
      <c r="BE16" s="311"/>
      <c r="BI16" s="271" t="s">
        <v>284</v>
      </c>
      <c r="BJ16" s="635">
        <v>0</v>
      </c>
      <c r="BK16" s="635">
        <v>1</v>
      </c>
      <c r="BL16" s="635"/>
      <c r="BM16" s="635"/>
      <c r="BN16" s="635"/>
      <c r="BO16" s="635"/>
      <c r="BP16" s="635"/>
      <c r="BQ16" s="635"/>
      <c r="BR16" s="635"/>
      <c r="BS16" s="635"/>
      <c r="BT16" s="635"/>
      <c r="BU16" s="635"/>
      <c r="BV16" s="635"/>
    </row>
    <row r="17" spans="2:89" ht="15" customHeight="1">
      <c r="E17" s="312" t="s">
        <v>285</v>
      </c>
      <c r="G17" s="313">
        <f>V20</f>
        <v>0</v>
      </c>
      <c r="I17" s="317"/>
      <c r="J17" s="312" t="s">
        <v>266</v>
      </c>
      <c r="K17" s="313">
        <f>SUMIF(BJ4:BV4,BE5,BJ7:BV7)</f>
        <v>0</v>
      </c>
      <c r="L17" s="318"/>
      <c r="N17" s="317"/>
      <c r="O17" s="312" t="s">
        <v>286</v>
      </c>
      <c r="P17" s="313">
        <f>SUMIF(BJ4:BV4,BE5,BJ9:BV9)</f>
        <v>0</v>
      </c>
      <c r="Q17" s="318"/>
      <c r="S17" s="317"/>
      <c r="T17" s="312" t="s">
        <v>286</v>
      </c>
      <c r="U17" s="313">
        <f>SUMIF(BJ4:BV4,BE5,BJ11:BV11)</f>
        <v>0</v>
      </c>
      <c r="V17" s="319"/>
      <c r="X17" s="314" t="s">
        <v>287</v>
      </c>
      <c r="Y17" s="315"/>
      <c r="Z17" s="316"/>
      <c r="AA17" s="314">
        <f>SUMIF(Admin4!$B$5:$B$298,"7977",Admin4!$C$5:$C$298)+SUMIF(Admin4!$B$5:$B$298,"7980",Admin4!$C$5:$C$298)+SUMIF(Admin4!$B$5:$B$298,"7981",Admin4!$C$5:$C$298)</f>
        <v>0</v>
      </c>
      <c r="AB17" s="314"/>
      <c r="AE17" s="311"/>
      <c r="AF17" s="311"/>
      <c r="AG17" s="311"/>
      <c r="AI17" s="311"/>
      <c r="AJ17" s="320" t="s">
        <v>63</v>
      </c>
      <c r="AK17" s="311"/>
      <c r="AL17" s="311"/>
      <c r="AM17" s="311"/>
      <c r="AN17" s="1127">
        <f>SUMIF(Admin3!C8:O8,AR!BE5,Admin3!C136:O136)</f>
        <v>0</v>
      </c>
      <c r="AO17" s="1127"/>
      <c r="AP17" s="1127"/>
      <c r="AQ17" s="1127"/>
      <c r="AR17" s="311"/>
      <c r="AS17" s="311"/>
      <c r="AT17" s="311"/>
      <c r="AU17" s="1127">
        <f>SUMIF(Admin3!C8:O8,AR!BE5,Admin3!C140:O140)-SUMIF(Admin3!C8:O8,AR!BE5,Admin3!C136:O136)</f>
        <v>0</v>
      </c>
      <c r="AV17" s="1127"/>
      <c r="AW17" s="1127"/>
      <c r="AX17" s="1127"/>
      <c r="AY17" s="311"/>
      <c r="AZ17" s="311"/>
      <c r="BA17" s="311"/>
      <c r="BB17" s="1127">
        <f>SUMIF(Admin3!C8:O8,AR!BE5,Admin3!C144:O144)-SUMIF(Admin3!C8:O8,AR!BE5,Admin3!C136:O136)</f>
        <v>0</v>
      </c>
      <c r="BC17" s="1127"/>
      <c r="BD17" s="1127"/>
      <c r="BE17" s="1127"/>
    </row>
    <row r="18" spans="2:89" ht="15" customHeight="1">
      <c r="E18" s="312" t="s">
        <v>240</v>
      </c>
      <c r="G18" s="313">
        <f>SUMIF(BJ4:BV4,BE5,BJ13:BV13)</f>
        <v>0</v>
      </c>
      <c r="I18" s="321"/>
      <c r="J18" s="322" t="s">
        <v>288</v>
      </c>
      <c r="K18" s="323">
        <f>SUMIF(BJ4:BV4,BE5,BJ8:BV8)</f>
        <v>0</v>
      </c>
      <c r="L18" s="324"/>
      <c r="N18" s="321"/>
      <c r="O18" s="322" t="s">
        <v>289</v>
      </c>
      <c r="P18" s="323">
        <f>SUMIF(BJ4:BV4,BE5,BJ10:BV10)</f>
        <v>0</v>
      </c>
      <c r="Q18" s="324"/>
      <c r="S18" s="321"/>
      <c r="T18" s="322" t="s">
        <v>289</v>
      </c>
      <c r="U18" s="323">
        <f>SUMIF(BJ4:BV4,BE5,BJ12:BV12)</f>
        <v>0</v>
      </c>
      <c r="V18" s="325"/>
      <c r="X18" s="314"/>
      <c r="Y18" s="315"/>
      <c r="Z18" s="316"/>
      <c r="AA18" s="314"/>
      <c r="AB18" s="314"/>
      <c r="AE18" s="311"/>
      <c r="AF18" s="311"/>
      <c r="AG18" s="311"/>
      <c r="AH18" s="311"/>
      <c r="AI18" s="326"/>
      <c r="AJ18" s="320" t="s">
        <v>64</v>
      </c>
      <c r="AK18" s="311"/>
      <c r="AL18" s="311"/>
      <c r="AM18" s="311"/>
      <c r="AN18" s="1127">
        <f>SUMIF(Admin3!C8:O8,AR!BE5,Admin3!C137:O137)</f>
        <v>0</v>
      </c>
      <c r="AO18" s="1127"/>
      <c r="AP18" s="1127"/>
      <c r="AQ18" s="1127"/>
      <c r="AR18" s="311"/>
      <c r="AS18" s="311"/>
      <c r="AT18" s="311"/>
      <c r="AU18" s="1127">
        <f>SUMIF(Admin3!C8:O8,AR!BE5,Admin3!C141:O141)-SUMIF(Admin3!C8:O8,AR!BE5,Admin3!C137:O137)</f>
        <v>0</v>
      </c>
      <c r="AV18" s="1127"/>
      <c r="AW18" s="1127"/>
      <c r="AX18" s="1127"/>
      <c r="AY18" s="311"/>
      <c r="AZ18" s="311"/>
      <c r="BA18" s="311"/>
      <c r="BB18" s="1127">
        <f>SUMIF(Admin3!C8:O8,AR!BE5,Admin3!C145:O145)-SUMIF(Admin3!C8:O8,AR!BE5,Admin3!C137:O137)</f>
        <v>0</v>
      </c>
      <c r="BC18" s="1127"/>
      <c r="BD18" s="1127"/>
      <c r="BE18" s="1127"/>
    </row>
    <row r="19" spans="2:89" ht="15" customHeight="1" thickBot="1">
      <c r="E19" s="312" t="s">
        <v>41</v>
      </c>
      <c r="G19" s="327">
        <f>SUM(G16:G18)</f>
        <v>34</v>
      </c>
      <c r="I19" s="326"/>
      <c r="J19" s="326"/>
      <c r="K19" s="326"/>
      <c r="L19" s="326"/>
      <c r="M19" s="326"/>
      <c r="N19" s="326"/>
      <c r="O19" s="326"/>
      <c r="P19" s="326"/>
      <c r="Q19" s="326"/>
      <c r="R19" s="326"/>
      <c r="S19" s="326"/>
      <c r="T19" s="326"/>
      <c r="U19" s="326"/>
      <c r="V19" s="326"/>
      <c r="W19" s="326"/>
      <c r="X19" s="314" t="s">
        <v>290</v>
      </c>
      <c r="Y19" s="315"/>
      <c r="Z19" s="316"/>
      <c r="AA19" s="328"/>
      <c r="AB19" s="328"/>
      <c r="AE19" s="311"/>
      <c r="AF19" s="311"/>
      <c r="AG19" s="311"/>
      <c r="AH19" s="311"/>
      <c r="AJ19" s="320" t="s">
        <v>65</v>
      </c>
      <c r="AN19" s="1152">
        <f>SUM(AN17:AQ18)</f>
        <v>0</v>
      </c>
      <c r="AO19" s="1152"/>
      <c r="AP19" s="1152"/>
      <c r="AQ19" s="1152"/>
      <c r="AU19" s="1152">
        <f>SUM(AU17:AX18)</f>
        <v>0</v>
      </c>
      <c r="AV19" s="1152"/>
      <c r="AW19" s="1152"/>
      <c r="AX19" s="1152"/>
      <c r="BB19" s="1152">
        <f>SUM(BB17:BE18)</f>
        <v>0</v>
      </c>
      <c r="BC19" s="1152"/>
      <c r="BD19" s="1152"/>
      <c r="BE19" s="1152"/>
    </row>
    <row r="20" spans="2:89" ht="15" customHeight="1" thickTop="1" thickBot="1">
      <c r="B20" s="267"/>
      <c r="C20" s="267"/>
      <c r="D20" s="267"/>
      <c r="E20" s="312" t="s">
        <v>39</v>
      </c>
      <c r="G20" s="313">
        <f t="array" ref="G20">SUM(IF((Admin2!$C$6:$O$6=BE5)*(Admin2!$Q$9:$Q$83=BI2)*(Admin2!$B$9:$B$83="Annual Plan"),Admin2!$C$9:$O$83,0))</f>
        <v>34</v>
      </c>
      <c r="H20" s="326"/>
      <c r="I20" s="37" t="s">
        <v>284</v>
      </c>
      <c r="K20" s="326"/>
      <c r="L20" s="326"/>
      <c r="M20" s="329">
        <f>SUMIF(BJ4:BV4,BE5,BJ16:BV16)</f>
        <v>1</v>
      </c>
      <c r="T20" s="330" t="s">
        <v>291</v>
      </c>
      <c r="U20" s="326"/>
      <c r="V20" s="329">
        <f>SUM(K17:K18,P17:P18,U17:U18)</f>
        <v>0</v>
      </c>
      <c r="X20" s="314" t="s">
        <v>287</v>
      </c>
      <c r="Y20" s="315"/>
      <c r="Z20" s="316"/>
      <c r="AA20" s="314">
        <f>SUMIF(Admin4!$B$5:$B$298,"7977",Admin4!$D$5:$D$298)+SUMIF(Admin4!$B$5:$B$298,"7980",Admin4!$D$5:$D$298)+SUMIF(Admin4!$B$5:$B$298,"7981",Admin4!$D$5:$D$298)</f>
        <v>0</v>
      </c>
      <c r="AB20" s="314"/>
      <c r="AC20" s="326"/>
      <c r="AD20" s="326"/>
      <c r="AE20" s="305"/>
      <c r="AF20" s="305"/>
      <c r="AG20" s="305"/>
      <c r="AH20" s="305"/>
      <c r="BI20" s="272" t="s">
        <v>245</v>
      </c>
      <c r="BJ20" s="276"/>
      <c r="BK20" s="276"/>
      <c r="BL20" s="276"/>
      <c r="BM20" s="276"/>
      <c r="BN20" s="276"/>
      <c r="BO20" s="276"/>
      <c r="BP20" s="276"/>
      <c r="BQ20" s="276"/>
      <c r="BR20" s="276"/>
      <c r="BS20" s="276"/>
      <c r="BT20" s="276"/>
      <c r="BU20" s="276"/>
    </row>
    <row r="21" spans="2:89" ht="15" customHeight="1" thickTop="1" thickBot="1">
      <c r="B21" s="267"/>
      <c r="C21" s="267"/>
      <c r="D21" s="267"/>
      <c r="E21" s="312" t="s">
        <v>40</v>
      </c>
      <c r="F21" s="326"/>
      <c r="G21" s="327">
        <f t="array" ref="G21">SUM(IF((Admin2!$C$6:$O$6=BE5)*(Admin2!$Q$9:$Q$61=BI2)*(Admin2!$B$9:$B$61="Forecast"),Admin2!$C$9:$O$61,0))</f>
        <v>34</v>
      </c>
      <c r="H21" s="326"/>
      <c r="X21" s="314"/>
      <c r="Y21" s="315"/>
      <c r="Z21" s="316"/>
      <c r="AA21" s="314"/>
      <c r="AB21" s="314"/>
      <c r="AE21" s="302"/>
      <c r="AF21" s="302"/>
      <c r="AG21" s="302"/>
      <c r="AH21" s="302"/>
      <c r="AI21" s="311"/>
      <c r="AJ21" s="103" t="s">
        <v>23</v>
      </c>
      <c r="AK21" s="311"/>
      <c r="AL21" s="311"/>
      <c r="AM21" s="311"/>
      <c r="AN21" s="311"/>
      <c r="AO21" s="311"/>
      <c r="AP21" s="311"/>
      <c r="AQ21" s="311"/>
      <c r="AR21" s="311"/>
      <c r="AS21" s="311"/>
      <c r="AT21" s="311"/>
      <c r="AU21" s="311"/>
      <c r="AV21" s="311"/>
      <c r="AW21" s="311"/>
      <c r="AX21" s="311"/>
      <c r="AY21" s="311"/>
      <c r="AZ21" s="311"/>
      <c r="BA21" s="311"/>
      <c r="BB21" s="311"/>
      <c r="BC21" s="311"/>
      <c r="BD21" s="311"/>
      <c r="BE21" s="311"/>
      <c r="BI21" s="54" t="s">
        <v>292</v>
      </c>
      <c r="BJ21" s="1116" t="s">
        <v>408</v>
      </c>
      <c r="BK21" s="1116"/>
      <c r="BL21" s="1116"/>
      <c r="BM21" s="1116"/>
      <c r="BN21" s="1116"/>
      <c r="BO21" s="1116"/>
      <c r="BP21" s="1116"/>
      <c r="BQ21" s="1116"/>
      <c r="BR21" s="1116"/>
      <c r="BS21" s="1116"/>
      <c r="BT21" s="1116"/>
      <c r="BU21" s="1116"/>
    </row>
    <row r="22" spans="2:89" ht="15" customHeight="1" thickTop="1" thickBot="1">
      <c r="B22" s="267"/>
      <c r="C22" s="267"/>
      <c r="D22" s="267"/>
      <c r="E22" s="312" t="s">
        <v>294</v>
      </c>
      <c r="F22" s="326"/>
      <c r="G22" s="327">
        <f>$G$20-$G$19</f>
        <v>0</v>
      </c>
      <c r="H22" s="326"/>
      <c r="K22" s="326"/>
      <c r="L22" s="326"/>
      <c r="U22" s="326"/>
      <c r="V22" s="326"/>
      <c r="W22" s="326"/>
      <c r="X22" s="314" t="s">
        <v>295</v>
      </c>
      <c r="Y22" s="315"/>
      <c r="Z22" s="316"/>
      <c r="AA22" s="328"/>
      <c r="AB22" s="331"/>
      <c r="AE22" s="302"/>
      <c r="AF22" s="302"/>
      <c r="AG22" s="302"/>
      <c r="AH22" s="302"/>
      <c r="AI22" s="311"/>
      <c r="AJ22" s="320" t="s">
        <v>63</v>
      </c>
      <c r="AK22" s="311"/>
      <c r="AL22" s="311"/>
      <c r="AM22" s="311"/>
      <c r="AN22" s="1127">
        <f>SUMIF(Admin3!C8:O8,AR!BE5,Admin3!C149:O149)</f>
        <v>0</v>
      </c>
      <c r="AO22" s="1127"/>
      <c r="AP22" s="1127"/>
      <c r="AQ22" s="1127"/>
      <c r="AR22" s="311"/>
      <c r="AS22" s="311"/>
      <c r="AT22" s="311"/>
      <c r="AU22" s="1127">
        <f>SUMIF(Admin3!C8:O8,AR!BE5,Admin3!C153:O153)-SUMIF(Admin3!C8:O8,AR!BE5,Admin3!C149:O149)</f>
        <v>0</v>
      </c>
      <c r="AV22" s="1127"/>
      <c r="AW22" s="1127"/>
      <c r="AX22" s="1127"/>
      <c r="AY22" s="311"/>
      <c r="AZ22" s="311"/>
      <c r="BA22" s="311"/>
      <c r="BB22" s="1127">
        <f>SUMIF(Admin3!C8:O8,AR!BE5,Admin3!C157:O157)-SUMIF(Admin3!C8:O8,AR!BE5,Admin3!C149:O149)</f>
        <v>0</v>
      </c>
      <c r="BC22" s="1127"/>
      <c r="BD22" s="1127"/>
      <c r="BE22" s="1127"/>
      <c r="BI22" s="54" t="s">
        <v>296</v>
      </c>
      <c r="BJ22" s="1116" t="s">
        <v>409</v>
      </c>
      <c r="BK22" s="1116"/>
      <c r="BL22" s="1116"/>
      <c r="BM22" s="1116"/>
      <c r="BN22" s="1116"/>
      <c r="BO22" s="1116"/>
      <c r="BP22" s="1116"/>
      <c r="BQ22" s="1116"/>
      <c r="BR22" s="1116"/>
      <c r="BS22" s="1116"/>
      <c r="BT22" s="1116"/>
      <c r="BU22" s="1116"/>
    </row>
    <row r="23" spans="2:89" ht="15" customHeight="1" thickTop="1" thickBot="1">
      <c r="B23" s="267"/>
      <c r="C23" s="267"/>
      <c r="D23" s="267"/>
      <c r="E23" s="312" t="s">
        <v>298</v>
      </c>
      <c r="F23" s="326"/>
      <c r="G23" s="327">
        <f>$G$21-$G$19</f>
        <v>0</v>
      </c>
      <c r="H23" s="326"/>
      <c r="I23" s="96"/>
      <c r="J23" s="96"/>
      <c r="K23" s="326"/>
      <c r="L23" s="326"/>
      <c r="U23" s="326"/>
      <c r="V23" s="326"/>
      <c r="W23" s="326"/>
      <c r="X23" s="314" t="s">
        <v>299</v>
      </c>
      <c r="Y23" s="315"/>
      <c r="Z23" s="316"/>
      <c r="AA23" s="314">
        <f>SUMIF(Admin4!$L$5:$L$298,"7977",Admin4!$N$5:$N$298)+SUMIF(Admin4!$L$5:$L$298,"7980",Admin4!$N$5:$N$298)+SUMIF(Admin4!$L$5:$L$298,"7981",Admin4!$N$5:$N$298)</f>
        <v>0</v>
      </c>
      <c r="AB23" s="331"/>
      <c r="AE23" s="302"/>
      <c r="AF23" s="302"/>
      <c r="AG23" s="302"/>
      <c r="AH23" s="302"/>
      <c r="AI23" s="302"/>
      <c r="AJ23" s="320" t="s">
        <v>64</v>
      </c>
      <c r="AK23" s="311"/>
      <c r="AL23" s="311"/>
      <c r="AM23" s="311"/>
      <c r="AN23" s="1127">
        <f>SUMIF(Admin3!C8:O8,AR!BE5,Admin3!C150:O150)</f>
        <v>0</v>
      </c>
      <c r="AO23" s="1127"/>
      <c r="AP23" s="1127"/>
      <c r="AQ23" s="1127"/>
      <c r="AR23" s="311"/>
      <c r="AS23" s="311"/>
      <c r="AT23" s="311"/>
      <c r="AU23" s="1127">
        <f>SUMIF(Admin3!C8:O8,AR!BE5,Admin3!C154:O154)-SUMIF(Admin3!C8:O8,AR!BE5,Admin3!C150:O150)</f>
        <v>0</v>
      </c>
      <c r="AV23" s="1127"/>
      <c r="AW23" s="1127"/>
      <c r="AX23" s="1127"/>
      <c r="AY23" s="311"/>
      <c r="AZ23" s="311"/>
      <c r="BA23" s="311"/>
      <c r="BB23" s="1127">
        <f>SUMIF(Admin3!C8:O8,AR!BE5,Admin3!C158:O158)-SUMIF(Admin3!C8:O8,AR!BE5,Admin3!C150:O150)</f>
        <v>0</v>
      </c>
      <c r="BC23" s="1127"/>
      <c r="BD23" s="1127"/>
      <c r="BE23" s="1127"/>
      <c r="BI23" s="54" t="s">
        <v>300</v>
      </c>
      <c r="BJ23" s="1116" t="s">
        <v>408</v>
      </c>
      <c r="BK23" s="1116"/>
      <c r="BL23" s="1116"/>
      <c r="BM23" s="1116"/>
      <c r="BN23" s="1116"/>
      <c r="BO23" s="1116"/>
      <c r="BP23" s="1116"/>
      <c r="BQ23" s="1116"/>
      <c r="BR23" s="1116"/>
      <c r="BS23" s="1116"/>
      <c r="BT23" s="1116"/>
      <c r="BU23" s="1116"/>
    </row>
    <row r="24" spans="2:89" ht="15" customHeight="1" thickTop="1" thickBot="1">
      <c r="B24" s="267"/>
      <c r="C24" s="267"/>
      <c r="D24" s="267"/>
      <c r="E24" s="312"/>
      <c r="F24" s="326"/>
      <c r="G24" s="326"/>
      <c r="H24" s="326"/>
      <c r="I24" s="96"/>
      <c r="J24" s="96"/>
      <c r="K24" s="326"/>
      <c r="L24" s="326"/>
      <c r="U24" s="326"/>
      <c r="V24" s="326"/>
      <c r="W24" s="326"/>
      <c r="X24" s="239"/>
      <c r="Y24" s="239"/>
      <c r="Z24" s="240"/>
      <c r="AA24" s="239"/>
      <c r="AB24" s="241"/>
      <c r="AE24" s="302"/>
      <c r="AF24" s="302"/>
      <c r="AG24" s="302"/>
      <c r="AH24" s="302"/>
      <c r="AI24" s="302"/>
      <c r="AJ24" s="320" t="s">
        <v>65</v>
      </c>
      <c r="AK24" s="311"/>
      <c r="AL24" s="311"/>
      <c r="AM24" s="311"/>
      <c r="AN24" s="1152">
        <f>SUM(AN22:AQ23)</f>
        <v>0</v>
      </c>
      <c r="AO24" s="1152"/>
      <c r="AP24" s="1152"/>
      <c r="AQ24" s="1152"/>
      <c r="AR24" s="311"/>
      <c r="AS24" s="311"/>
      <c r="AT24" s="311"/>
      <c r="AU24" s="1152">
        <f>SUM(AU22:AX23)</f>
        <v>0</v>
      </c>
      <c r="AV24" s="1152"/>
      <c r="AW24" s="1152"/>
      <c r="AX24" s="1152"/>
      <c r="AY24" s="311"/>
      <c r="AZ24" s="311"/>
      <c r="BA24" s="311"/>
      <c r="BB24" s="1152">
        <f>SUM(BB22:BE23)</f>
        <v>0</v>
      </c>
      <c r="BC24" s="1152"/>
      <c r="BD24" s="1152"/>
      <c r="BE24" s="1152"/>
      <c r="BI24" s="277"/>
      <c r="BJ24" s="277"/>
      <c r="BK24" s="277"/>
      <c r="BL24" s="1148" t="s">
        <v>302</v>
      </c>
      <c r="BM24" s="1149"/>
      <c r="BN24" s="1149"/>
      <c r="BO24" s="1149"/>
      <c r="BP24" s="1149"/>
      <c r="BQ24" s="1149"/>
      <c r="BR24" s="1149"/>
      <c r="BS24" s="1150"/>
      <c r="BT24" s="1148" t="s">
        <v>719</v>
      </c>
      <c r="BU24" s="1149"/>
      <c r="BV24" s="1149"/>
      <c r="BW24" s="1149"/>
      <c r="BX24" s="1149"/>
      <c r="BY24" s="1149"/>
      <c r="BZ24" s="1149"/>
      <c r="CA24" s="1150"/>
      <c r="CB24" s="270"/>
      <c r="CC24" s="1148" t="s">
        <v>303</v>
      </c>
      <c r="CD24" s="1149"/>
      <c r="CE24" s="1149"/>
      <c r="CF24" s="1149"/>
      <c r="CG24" s="1149"/>
      <c r="CH24" s="1149"/>
      <c r="CI24" s="1149"/>
      <c r="CJ24" s="1149"/>
      <c r="CK24" s="1150"/>
    </row>
    <row r="25" spans="2:89" ht="15" customHeight="1" thickTop="1">
      <c r="B25" s="267"/>
      <c r="C25" s="267"/>
      <c r="D25" s="267"/>
      <c r="E25" s="312"/>
      <c r="F25" s="326"/>
      <c r="G25" s="95">
        <f>G26-SUM($G$16:$G$18)</f>
        <v>0</v>
      </c>
      <c r="H25" s="326"/>
      <c r="I25" s="96" t="str">
        <f>IF(G25&lt;&gt;0,"There is a variance in reported ending EEs.","")</f>
        <v/>
      </c>
      <c r="J25" s="96"/>
      <c r="K25" s="326"/>
      <c r="L25" s="326"/>
      <c r="U25" s="326"/>
      <c r="V25" s="326"/>
      <c r="W25" s="326"/>
      <c r="X25" s="326"/>
      <c r="Y25" s="326"/>
      <c r="Z25" s="320"/>
      <c r="AA25" s="326"/>
      <c r="AB25" s="332"/>
      <c r="AE25" s="302"/>
      <c r="AF25" s="302"/>
      <c r="AG25" s="302"/>
      <c r="AH25" s="302"/>
      <c r="AI25" s="302"/>
      <c r="AJ25" s="320"/>
      <c r="AK25" s="311"/>
      <c r="AL25" s="311"/>
      <c r="AM25" s="311"/>
      <c r="AN25" s="333"/>
      <c r="AO25" s="333"/>
      <c r="AP25" s="333"/>
      <c r="AQ25" s="333"/>
      <c r="AR25" s="311"/>
      <c r="AS25" s="311"/>
      <c r="AT25" s="311"/>
      <c r="AU25" s="333"/>
      <c r="AV25" s="333"/>
      <c r="AW25" s="333"/>
      <c r="AX25" s="333"/>
      <c r="AY25" s="311"/>
      <c r="AZ25" s="311"/>
      <c r="BA25" s="311"/>
      <c r="BB25" s="333"/>
      <c r="BC25" s="333"/>
      <c r="BD25" s="333"/>
      <c r="BE25" s="333"/>
      <c r="BI25" s="636" t="s">
        <v>23</v>
      </c>
      <c r="BJ25" s="636" t="s">
        <v>37</v>
      </c>
      <c r="BK25" s="636" t="s">
        <v>304</v>
      </c>
      <c r="BL25" s="637" t="s">
        <v>726</v>
      </c>
      <c r="BM25" s="838" t="s">
        <v>727</v>
      </c>
      <c r="BN25" s="838" t="s">
        <v>728</v>
      </c>
      <c r="BO25" s="838" t="s">
        <v>729</v>
      </c>
      <c r="BP25" s="637" t="s">
        <v>310</v>
      </c>
      <c r="BQ25" s="637" t="s">
        <v>311</v>
      </c>
      <c r="BR25" s="278" t="s">
        <v>312</v>
      </c>
      <c r="BS25" s="637" t="s">
        <v>313</v>
      </c>
      <c r="BT25" s="637" t="s">
        <v>726</v>
      </c>
      <c r="BU25" s="838" t="s">
        <v>727</v>
      </c>
      <c r="BV25" s="838" t="s">
        <v>728</v>
      </c>
      <c r="BW25" s="838" t="s">
        <v>729</v>
      </c>
      <c r="BX25" s="637" t="s">
        <v>715</v>
      </c>
      <c r="BY25" s="637" t="s">
        <v>716</v>
      </c>
      <c r="BZ25" s="278" t="s">
        <v>717</v>
      </c>
      <c r="CA25" s="637" t="s">
        <v>718</v>
      </c>
      <c r="CB25" s="270"/>
      <c r="CC25" s="279" t="s">
        <v>314</v>
      </c>
      <c r="CD25" s="279" t="s">
        <v>23</v>
      </c>
      <c r="CE25" s="280" t="s">
        <v>727</v>
      </c>
      <c r="CF25" s="280" t="s">
        <v>728</v>
      </c>
      <c r="CG25" s="280" t="s">
        <v>729</v>
      </c>
      <c r="CH25" s="279" t="s">
        <v>122</v>
      </c>
      <c r="CI25" s="279" t="s">
        <v>316</v>
      </c>
      <c r="CJ25" s="279" t="s">
        <v>317</v>
      </c>
      <c r="CK25" s="279" t="s">
        <v>318</v>
      </c>
    </row>
    <row r="26" spans="2:89" ht="15" customHeight="1">
      <c r="B26" s="267"/>
      <c r="C26" s="267"/>
      <c r="D26" s="267"/>
      <c r="E26" s="312"/>
      <c r="F26" s="326"/>
      <c r="G26" s="95">
        <f t="array" ref="G26">SUM(IF((Admin2!$C$6:$O$6=$BE$5)*(Admin2!$Q$9:$Q$61=$BI$2)*(Admin2!$B$9:$B$61="Ending EEs"),Admin2!$C$9:$O$61,0))</f>
        <v>34</v>
      </c>
      <c r="H26" s="326"/>
      <c r="I26" s="96" t="str">
        <f>IF(G26&lt;&gt;0,"Ending headcount per Kronos/HCMS.","")</f>
        <v>Ending headcount per Kronos/HCMS.</v>
      </c>
      <c r="J26" s="96"/>
      <c r="K26" s="326"/>
      <c r="L26" s="326"/>
      <c r="U26" s="326"/>
      <c r="V26" s="326"/>
      <c r="W26" s="326"/>
      <c r="X26" s="326"/>
      <c r="Y26" s="326"/>
      <c r="Z26" s="320"/>
      <c r="AA26" s="326"/>
      <c r="AB26" s="332"/>
      <c r="AE26" s="302"/>
      <c r="AF26" s="302"/>
      <c r="AG26" s="302"/>
      <c r="AH26" s="302"/>
      <c r="AI26" s="302"/>
      <c r="AJ26" s="320"/>
      <c r="AK26" s="311"/>
      <c r="AL26" s="311"/>
      <c r="AM26" s="311"/>
      <c r="AN26" s="333"/>
      <c r="AO26" s="333"/>
      <c r="AP26" s="333"/>
      <c r="AQ26" s="333"/>
      <c r="AR26" s="311"/>
      <c r="AS26" s="311"/>
      <c r="AT26" s="311"/>
      <c r="AU26" s="333"/>
      <c r="AV26" s="333"/>
      <c r="AW26" s="333"/>
      <c r="AX26" s="333"/>
      <c r="AY26" s="311"/>
      <c r="AZ26" s="311"/>
      <c r="BA26" s="311"/>
      <c r="BB26" s="333"/>
      <c r="BC26" s="333"/>
      <c r="BD26" s="333"/>
      <c r="BE26" s="333"/>
      <c r="BI26" s="638" t="s">
        <v>319</v>
      </c>
      <c r="BJ26" s="638">
        <v>1</v>
      </c>
      <c r="BK26" s="638" t="s">
        <v>320</v>
      </c>
      <c r="BL26" s="889">
        <v>48.388054570000001</v>
      </c>
      <c r="BM26" s="937"/>
      <c r="BN26" s="937"/>
      <c r="BO26" s="937">
        <v>8.125</v>
      </c>
      <c r="BP26" s="958">
        <f>IF(BM26+BN26+BO26=0,"",BM26+BN26+BO26)</f>
        <v>8.125</v>
      </c>
      <c r="BQ26" s="654">
        <f t="shared" ref="BQ26:BQ37" si="2">IF(BP26="","",BL26/BP26)</f>
        <v>5.9554528701538461</v>
      </c>
      <c r="BR26" s="833">
        <f>IF(SUM(BP26:BP28=""),0,SUM(BL26:BL28)/SUM(BP26:BP28))</f>
        <v>6.4156939082397928</v>
      </c>
      <c r="BS26" s="830">
        <v>6.08</v>
      </c>
      <c r="BT26" s="889">
        <v>35.838999999999999</v>
      </c>
      <c r="BU26" s="937">
        <v>3.46</v>
      </c>
      <c r="BV26" s="937">
        <v>0.871</v>
      </c>
      <c r="BW26" s="937">
        <v>4.0759999999999996</v>
      </c>
      <c r="BX26" s="938">
        <f>IF(BU26+BV26+BW26=0,"",BU26+BV26+BW26)</f>
        <v>8.407</v>
      </c>
      <c r="BY26" s="654">
        <f>IF(BX26="","",BT26/BX26)</f>
        <v>4.2629951231116925</v>
      </c>
      <c r="BZ26" s="833">
        <f>IF(SUM(BX26:BX28=""),0,SUM(BT26:BT28)/SUM(BX26:BX28))</f>
        <v>4.2629951231116925</v>
      </c>
      <c r="CA26" s="830">
        <v>6.08</v>
      </c>
      <c r="CB26" s="270"/>
      <c r="CD26" s="666" t="str">
        <f t="shared" ref="CD26:CD38" si="3">TEXT(CONCATENATE(CK26,"/01/20",CJ26),"MMM")</f>
        <v>Oct</v>
      </c>
      <c r="CE26" s="643" t="e">
        <f>IF(IF($CJ26=$CJ$38,SUMIF($BI$26:$BI$37,$CD26,$BU$26:$BU$37),SUMIF($BI$26:$BI$37,$CD26,$BM$26:$BM$37))=0,NA(),IF($CJ26=$CJ$38,SUMIF($BI$26:$BI$37,$CD26,$BU$26:$BU$37),SUMIF($BI$26:$BI$37,$CD26,$BM$26:$BM$37)))</f>
        <v>#N/A</v>
      </c>
      <c r="CF26" s="643" t="e">
        <f>IF(IF($CJ26=$CJ$38,SUMIF($BI$26:$BI$37,$CD26,$BV$26:$BV$37),SUMIF($BI$26:$BI$37,$CD26,$BN$26:$BN$37))=0,NA(),IF($CJ26=$CJ$38,SUMIF($BI$26:$BI$37,$CD26,$BV$26:$BV$37),SUMIF($BI$26:$BI$37,$CD26,$BN$26:$BN$37)))</f>
        <v>#N/A</v>
      </c>
      <c r="CG26" s="643">
        <f>IF(IF($CJ26=$CJ$38,SUMIF($BI$26:$BI$37,$CD26,$BW$26:$BW$37),SUMIF($BI$26:$BI$37,$CD26,$BO$26:$BO$37))=0,NA(),IF($CJ26=$CJ$38,SUMIF($BI$26:$BI$37,$CD26,$BW$26:$BW$37),SUMIF($BI$26:$BI$37,$CD26,$BO$26:$BO$37)))</f>
        <v>8.125</v>
      </c>
      <c r="CH26" s="678">
        <f>IF(IF($CJ26=$CJ$38,SUMIF($BI$26:$BI$37,$CD26,$CA$26:$CA$37),SUMIF($BI$26:$BI$37,$CD26,$BS$26:$BS$37))=0,NA(),IF($CJ26=$CJ$38,SUMIF($BI$26:$BI$37,$CD26,$CA$26:$CA$37),SUMIF($BI$26:$BI$37,$CD26,$BS$26:$BS$37)))</f>
        <v>6.08</v>
      </c>
      <c r="CI26" s="664">
        <f>IF(IF(CJ26=CJ38,SUMIF(BI26:BI37,$CD26,BY26:BY37),SUMIF(BI26:BI37,$CD26,BQ26:BQ37))=0,NA(),IF(CJ26=CJ38,SUMIF(BI26:BI37,$CD26,BY26:BY37),SUMIF(BI26:BI37,$CD26,BQ26:BQ37)))</f>
        <v>5.9554528701538461</v>
      </c>
      <c r="CJ26" s="645">
        <v>23</v>
      </c>
      <c r="CK26" s="645">
        <f t="shared" ref="CK26:CK36" si="4">IF(CK27-1&lt;1,CK27+11,CK27-1)</f>
        <v>10</v>
      </c>
    </row>
    <row r="27" spans="2:89" ht="15" customHeight="1">
      <c r="B27" s="267"/>
      <c r="C27" s="267"/>
      <c r="D27" s="267"/>
      <c r="E27" s="312"/>
      <c r="F27" s="326"/>
      <c r="G27" s="312"/>
      <c r="H27" s="312"/>
      <c r="I27" s="312"/>
      <c r="J27" s="312"/>
      <c r="K27" s="326"/>
      <c r="L27" s="326"/>
      <c r="U27" s="326"/>
      <c r="V27" s="326"/>
      <c r="W27" s="326"/>
      <c r="X27" s="326"/>
      <c r="Y27" s="326"/>
      <c r="Z27" s="320"/>
      <c r="AA27" s="326"/>
      <c r="AB27" s="332"/>
      <c r="AE27" s="302"/>
      <c r="AF27" s="302"/>
      <c r="AG27" s="302"/>
      <c r="AH27" s="302"/>
      <c r="AI27" s="302"/>
      <c r="AJ27" s="320"/>
      <c r="AK27" s="311"/>
      <c r="AL27" s="311"/>
      <c r="AM27" s="311"/>
      <c r="AN27" s="333"/>
      <c r="AO27" s="333"/>
      <c r="AP27" s="333"/>
      <c r="AQ27" s="333"/>
      <c r="AR27" s="311"/>
      <c r="AS27" s="311"/>
      <c r="AT27" s="311"/>
      <c r="AU27" s="333"/>
      <c r="AV27" s="333"/>
      <c r="AW27" s="333"/>
      <c r="AX27" s="333"/>
      <c r="AY27" s="311"/>
      <c r="AZ27" s="311"/>
      <c r="BA27" s="311"/>
      <c r="BB27" s="333"/>
      <c r="BC27" s="333"/>
      <c r="BD27" s="333"/>
      <c r="BE27" s="333"/>
      <c r="BI27" s="638" t="s">
        <v>321</v>
      </c>
      <c r="BJ27" s="638">
        <v>2</v>
      </c>
      <c r="BK27" s="638" t="s">
        <v>320</v>
      </c>
      <c r="BL27" s="889">
        <v>34.280628803880013</v>
      </c>
      <c r="BM27" s="937"/>
      <c r="BN27" s="937"/>
      <c r="BO27" s="937">
        <v>4.4320000000000004</v>
      </c>
      <c r="BP27" s="958">
        <f t="shared" ref="BP27:BP36" si="5">IF(BM27+BN27+BO27=0,"",BM27+BN27+BO27)</f>
        <v>4.4320000000000004</v>
      </c>
      <c r="BQ27" s="654">
        <f t="shared" si="2"/>
        <v>7.734798917842963</v>
      </c>
      <c r="BR27" s="290"/>
      <c r="BS27" s="830">
        <v>6.08</v>
      </c>
      <c r="BT27" s="889"/>
      <c r="BU27" s="937"/>
      <c r="BV27" s="937"/>
      <c r="BW27" s="937"/>
      <c r="BX27" s="938" t="str">
        <f t="shared" ref="BX27:BX37" si="6">IF(BU27+BV27+BW27=0,"",BU27+BV27+BW27)</f>
        <v/>
      </c>
      <c r="BY27" s="654" t="str">
        <f t="shared" ref="BY27:BY37" si="7">IF(BX27="","",BT27/BX27)</f>
        <v/>
      </c>
      <c r="BZ27" s="290"/>
      <c r="CA27" s="830">
        <v>6.08</v>
      </c>
      <c r="CB27" s="270"/>
      <c r="CD27" s="666" t="str">
        <f t="shared" si="3"/>
        <v>Nov</v>
      </c>
      <c r="CE27" s="643" t="e">
        <f t="shared" ref="CE27:CE37" si="8">IF(IF($CJ27=$CJ$38,SUMIF($BI$26:$BI$37,$CD27,$BU$26:$BU$37),SUMIF($BI$26:$BI$37,$CD27,$BM$26:$BM$37))=0,NA(),IF($CJ27=$CJ$38,SUMIF($BI$26:$BI$37,$CD27,$BU$26:$BU$37),SUMIF($BI$26:$BI$37,$CD27,$BM$26:$BM$37)))</f>
        <v>#N/A</v>
      </c>
      <c r="CF27" s="643" t="e">
        <f t="shared" ref="CF27:CF37" si="9">IF(IF($CJ27=$CJ$38,SUMIF($BI$26:$BI$37,$CD27,$BV$26:$BV$37),SUMIF($BI$26:$BI$37,$CD27,$BN$26:$BN$37))=0,NA(),IF($CJ27=$CJ$38,SUMIF($BI$26:$BI$37,$CD27,$BV$26:$BV$37),SUMIF($BI$26:$BI$37,$CD27,$BN$26:$BN$37)))</f>
        <v>#N/A</v>
      </c>
      <c r="CG27" s="643">
        <f t="shared" ref="CG27:CG37" si="10">IF(IF($CJ27=$CJ$38,SUMIF($BI$26:$BI$37,$CD27,$BW$26:$BW$37),SUMIF($BI$26:$BI$37,$CD27,$BO$26:$BO$37))=0,NA(),IF($CJ27=$CJ$38,SUMIF($BI$26:$BI$37,$CD27,$BW$26:$BW$37),SUMIF($BI$26:$BI$37,$CD27,$BO$26:$BO$37)))</f>
        <v>4.4320000000000004</v>
      </c>
      <c r="CH27" s="678">
        <f t="shared" ref="CH27:CH38" si="11">IF(IF($CJ27=$CJ$38,SUMIF($BI$26:$BI$37,$CD27,$CA$26:$CA$37),SUMIF($BI$26:$BI$37,$CD27,$BS$26:$BS$37))=0,NA(),IF($CJ27=$CJ$38,SUMIF($BI$26:$BI$37,$CD27,$CA$26:$CA$37),SUMIF($BI$26:$BI$37,$CD27,$BS$26:$BS$37)))</f>
        <v>6.08</v>
      </c>
      <c r="CI27" s="664">
        <f>IF(IF(CJ27=CJ38,SUMIF(BI26:BI37,$CD27,BY26:BY37),SUMIF(BI26:BI37,$CD27,BQ26:BQ37))=0,NA(),IF(CJ27=CJ38,SUMIF(BI26:BI37,$CD27,BY26:BY37),SUMIF(BI26:BI37,$CD27,BQ26:BQ37)))</f>
        <v>7.734798917842963</v>
      </c>
      <c r="CJ27" s="645">
        <v>23</v>
      </c>
      <c r="CK27" s="645">
        <f t="shared" si="4"/>
        <v>11</v>
      </c>
    </row>
    <row r="28" spans="2:89" ht="15" customHeight="1">
      <c r="B28" s="267" t="s">
        <v>242</v>
      </c>
      <c r="C28" s="267"/>
      <c r="D28" s="267"/>
      <c r="E28" s="334"/>
      <c r="F28" s="326"/>
      <c r="G28" s="326"/>
      <c r="H28" s="326"/>
      <c r="I28" s="326"/>
      <c r="J28" s="326"/>
      <c r="K28" s="326"/>
      <c r="L28" s="326"/>
      <c r="M28" s="326"/>
      <c r="N28" s="326"/>
      <c r="O28" s="326"/>
      <c r="P28" s="326"/>
      <c r="Q28" s="326"/>
      <c r="R28" s="326"/>
      <c r="S28" s="326"/>
      <c r="T28" s="326"/>
      <c r="U28" s="326"/>
      <c r="V28" s="326"/>
      <c r="W28" s="326"/>
      <c r="X28" s="326"/>
      <c r="Y28" s="326"/>
      <c r="Z28" s="326"/>
      <c r="AA28" s="326"/>
      <c r="AB28" s="326"/>
      <c r="AE28" s="267" t="s">
        <v>242</v>
      </c>
      <c r="AF28" s="267"/>
      <c r="AG28" s="267"/>
      <c r="AH28" s="334"/>
      <c r="AI28" s="326"/>
      <c r="AJ28" s="326"/>
      <c r="AK28" s="326"/>
      <c r="AL28" s="326"/>
      <c r="AM28" s="326"/>
      <c r="AN28" s="326"/>
      <c r="AO28" s="326"/>
      <c r="AP28" s="326"/>
      <c r="AQ28" s="326"/>
      <c r="AR28" s="326"/>
      <c r="AS28" s="326"/>
      <c r="AT28" s="326"/>
      <c r="AU28" s="326"/>
      <c r="AV28" s="326"/>
      <c r="AW28" s="326"/>
      <c r="AX28" s="326"/>
      <c r="AY28" s="326"/>
      <c r="AZ28" s="326"/>
      <c r="BA28" s="326"/>
      <c r="BB28" s="326"/>
      <c r="BC28" s="326"/>
      <c r="BD28" s="326"/>
      <c r="BE28" s="326"/>
      <c r="BI28" s="638" t="s">
        <v>322</v>
      </c>
      <c r="BJ28" s="638">
        <v>3</v>
      </c>
      <c r="BK28" s="638" t="s">
        <v>320</v>
      </c>
      <c r="BL28" s="889">
        <v>38.158079999999998</v>
      </c>
      <c r="BM28" s="937"/>
      <c r="BN28" s="937"/>
      <c r="BO28" s="937">
        <v>6.2759999999999998</v>
      </c>
      <c r="BP28" s="958">
        <f t="shared" si="5"/>
        <v>6.2759999999999998</v>
      </c>
      <c r="BQ28" s="654">
        <f t="shared" si="2"/>
        <v>6.08</v>
      </c>
      <c r="BR28" s="290"/>
      <c r="BS28" s="830">
        <v>6.08</v>
      </c>
      <c r="BT28" s="889"/>
      <c r="BU28" s="937"/>
      <c r="BV28" s="937"/>
      <c r="BW28" s="937"/>
      <c r="BX28" s="938" t="str">
        <f t="shared" si="6"/>
        <v/>
      </c>
      <c r="BY28" s="654" t="str">
        <f t="shared" si="7"/>
        <v/>
      </c>
      <c r="BZ28" s="290"/>
      <c r="CA28" s="830">
        <v>6.08</v>
      </c>
      <c r="CB28" s="270"/>
      <c r="CD28" s="666" t="str">
        <f t="shared" si="3"/>
        <v>Dec</v>
      </c>
      <c r="CE28" s="643" t="e">
        <f t="shared" si="8"/>
        <v>#N/A</v>
      </c>
      <c r="CF28" s="643" t="e">
        <f t="shared" si="9"/>
        <v>#N/A</v>
      </c>
      <c r="CG28" s="643">
        <f t="shared" si="10"/>
        <v>6.2759999999999998</v>
      </c>
      <c r="CH28" s="678">
        <f t="shared" si="11"/>
        <v>6.08</v>
      </c>
      <c r="CI28" s="664">
        <f>IF(IF(CJ28=CJ38,SUMIF(BI26:BI37,$CD28,BY26:BY37),SUMIF(BI26:BI37,$CD28,BQ26:BQ37))=0,NA(),IF(CJ28=CJ38,SUMIF(BI26:BI37,$CD28,BY26:BY37),SUMIF(BI26:BI37,$CD28,BQ26:BQ37)))</f>
        <v>6.08</v>
      </c>
      <c r="CJ28" s="645">
        <v>23</v>
      </c>
      <c r="CK28" s="645">
        <f t="shared" si="4"/>
        <v>12</v>
      </c>
    </row>
    <row r="29" spans="2:89" ht="15" customHeight="1">
      <c r="B29" s="1137" t="s">
        <v>784</v>
      </c>
      <c r="C29" s="1138"/>
      <c r="D29" s="1138"/>
      <c r="E29" s="1138"/>
      <c r="F29" s="1138"/>
      <c r="G29" s="1138"/>
      <c r="H29" s="1138"/>
      <c r="I29" s="1138"/>
      <c r="J29" s="1138"/>
      <c r="K29" s="1138"/>
      <c r="L29" s="1138"/>
      <c r="M29" s="1138"/>
      <c r="N29" s="1138"/>
      <c r="O29" s="1138"/>
      <c r="P29" s="1138"/>
      <c r="Q29" s="1138"/>
      <c r="R29" s="1138"/>
      <c r="S29" s="1138"/>
      <c r="T29" s="1138"/>
      <c r="U29" s="1138"/>
      <c r="V29" s="1138"/>
      <c r="W29" s="1138"/>
      <c r="X29" s="1138"/>
      <c r="Y29" s="1138"/>
      <c r="Z29" s="1138"/>
      <c r="AA29" s="1138"/>
      <c r="AB29" s="1139"/>
      <c r="AC29" s="576"/>
      <c r="AD29" s="576"/>
      <c r="AE29" s="1137"/>
      <c r="AF29" s="1138"/>
      <c r="AG29" s="1138"/>
      <c r="AH29" s="1138"/>
      <c r="AI29" s="1138"/>
      <c r="AJ29" s="1138"/>
      <c r="AK29" s="1138"/>
      <c r="AL29" s="1138"/>
      <c r="AM29" s="1138"/>
      <c r="AN29" s="1138"/>
      <c r="AO29" s="1138"/>
      <c r="AP29" s="1138"/>
      <c r="AQ29" s="1138"/>
      <c r="AR29" s="1138"/>
      <c r="AS29" s="1138"/>
      <c r="AT29" s="1138"/>
      <c r="AU29" s="1138"/>
      <c r="AV29" s="1138"/>
      <c r="AW29" s="1138"/>
      <c r="AX29" s="1138"/>
      <c r="AY29" s="1138"/>
      <c r="AZ29" s="1138"/>
      <c r="BA29" s="1138"/>
      <c r="BB29" s="1138"/>
      <c r="BC29" s="1138"/>
      <c r="BD29" s="1138"/>
      <c r="BE29" s="1139"/>
      <c r="BI29" s="638" t="s">
        <v>323</v>
      </c>
      <c r="BJ29" s="638">
        <v>4</v>
      </c>
      <c r="BK29" s="638" t="s">
        <v>324</v>
      </c>
      <c r="BL29" s="889">
        <v>31.929509867019998</v>
      </c>
      <c r="BM29" s="937"/>
      <c r="BN29" s="937"/>
      <c r="BO29" s="937">
        <v>5.3319999999999999</v>
      </c>
      <c r="BP29" s="958">
        <f t="shared" si="5"/>
        <v>5.3319999999999999</v>
      </c>
      <c r="BQ29" s="654">
        <f t="shared" si="2"/>
        <v>5.9882801701087773</v>
      </c>
      <c r="BR29" s="833">
        <f>IF(SUM(BP29:BP31=""),0,SUM(BL29:BL31)/SUM(BP29:BP31))</f>
        <v>5.9644038747466661</v>
      </c>
      <c r="BS29" s="830">
        <v>6.08</v>
      </c>
      <c r="BT29" s="889"/>
      <c r="BU29" s="937"/>
      <c r="BV29" s="937"/>
      <c r="BW29" s="937"/>
      <c r="BX29" s="938" t="str">
        <f t="shared" si="6"/>
        <v/>
      </c>
      <c r="BY29" s="654" t="str">
        <f t="shared" si="7"/>
        <v/>
      </c>
      <c r="BZ29" s="833">
        <f>IF(SUM(BX29:BX31=""),0,SUM(BT29:BT31)/SUM(BX29:BX31))</f>
        <v>0</v>
      </c>
      <c r="CA29" s="830">
        <v>6.08</v>
      </c>
      <c r="CB29" s="270"/>
      <c r="CD29" s="666" t="str">
        <f t="shared" si="3"/>
        <v>Jan</v>
      </c>
      <c r="CE29" s="643" t="e">
        <f t="shared" si="8"/>
        <v>#N/A</v>
      </c>
      <c r="CF29" s="643" t="e">
        <f t="shared" si="9"/>
        <v>#N/A</v>
      </c>
      <c r="CG29" s="643">
        <f t="shared" si="10"/>
        <v>5.3319999999999999</v>
      </c>
      <c r="CH29" s="678">
        <f t="shared" si="11"/>
        <v>6.08</v>
      </c>
      <c r="CI29" s="664">
        <f>IF(IF(CJ29=CJ38,SUMIF(BI26:BI37,$CD29,BY26:BY37),SUMIF(BI26:BI37,$CD29,BQ26:BQ37))=0,NA(),IF(CJ29=CJ38,SUMIF(BI26:BI37,$CD29,BY26:BY37),SUMIF(BI26:BI37,$CD29,BQ26:BQ37)))</f>
        <v>5.9882801701087773</v>
      </c>
      <c r="CJ29" s="645">
        <v>23</v>
      </c>
      <c r="CK29" s="645">
        <f t="shared" si="4"/>
        <v>1</v>
      </c>
    </row>
    <row r="30" spans="2:89" ht="15" customHeight="1">
      <c r="B30" s="1140"/>
      <c r="C30" s="1141"/>
      <c r="D30" s="1141"/>
      <c r="E30" s="1141"/>
      <c r="F30" s="1141"/>
      <c r="G30" s="1141"/>
      <c r="H30" s="1141"/>
      <c r="I30" s="1141"/>
      <c r="J30" s="1141"/>
      <c r="K30" s="1141"/>
      <c r="L30" s="1141"/>
      <c r="M30" s="1141"/>
      <c r="N30" s="1141"/>
      <c r="O30" s="1141"/>
      <c r="P30" s="1141"/>
      <c r="Q30" s="1141"/>
      <c r="R30" s="1141"/>
      <c r="S30" s="1141"/>
      <c r="T30" s="1141"/>
      <c r="U30" s="1141"/>
      <c r="V30" s="1141"/>
      <c r="W30" s="1141"/>
      <c r="X30" s="1141"/>
      <c r="Y30" s="1141"/>
      <c r="Z30" s="1141"/>
      <c r="AA30" s="1141"/>
      <c r="AB30" s="1142"/>
      <c r="AC30" s="576"/>
      <c r="AD30" s="576"/>
      <c r="AE30" s="1140"/>
      <c r="AF30" s="1141"/>
      <c r="AG30" s="1141"/>
      <c r="AH30" s="1141"/>
      <c r="AI30" s="1141"/>
      <c r="AJ30" s="1141"/>
      <c r="AK30" s="1141"/>
      <c r="AL30" s="1141"/>
      <c r="AM30" s="1141"/>
      <c r="AN30" s="1141"/>
      <c r="AO30" s="1141"/>
      <c r="AP30" s="1141"/>
      <c r="AQ30" s="1141"/>
      <c r="AR30" s="1141"/>
      <c r="AS30" s="1141"/>
      <c r="AT30" s="1141"/>
      <c r="AU30" s="1141"/>
      <c r="AV30" s="1141"/>
      <c r="AW30" s="1141"/>
      <c r="AX30" s="1141"/>
      <c r="AY30" s="1141"/>
      <c r="AZ30" s="1141"/>
      <c r="BA30" s="1141"/>
      <c r="BB30" s="1141"/>
      <c r="BC30" s="1141"/>
      <c r="BD30" s="1141"/>
      <c r="BE30" s="1142"/>
      <c r="BI30" s="638" t="s">
        <v>325</v>
      </c>
      <c r="BJ30" s="638">
        <v>5</v>
      </c>
      <c r="BK30" s="638" t="s">
        <v>324</v>
      </c>
      <c r="BL30" s="889">
        <v>39.102956712946394</v>
      </c>
      <c r="BM30" s="937"/>
      <c r="BN30" s="937"/>
      <c r="BO30" s="937">
        <v>6.6879999999999997</v>
      </c>
      <c r="BP30" s="958">
        <f>IF(BM30+BN30+BO30=0,"",BM30+BN30+BO30)</f>
        <v>6.6879999999999997</v>
      </c>
      <c r="BQ30" s="654">
        <f t="shared" si="2"/>
        <v>5.846733958275478</v>
      </c>
      <c r="BR30" s="290"/>
      <c r="BS30" s="830">
        <v>6.08</v>
      </c>
      <c r="BT30" s="889"/>
      <c r="BU30" s="937"/>
      <c r="BV30" s="937"/>
      <c r="BW30" s="937"/>
      <c r="BX30" s="938" t="str">
        <f t="shared" si="6"/>
        <v/>
      </c>
      <c r="BY30" s="654" t="str">
        <f t="shared" si="7"/>
        <v/>
      </c>
      <c r="BZ30" s="290"/>
      <c r="CA30" s="830">
        <v>6.08</v>
      </c>
      <c r="CB30" s="270"/>
      <c r="CD30" s="666" t="str">
        <f t="shared" si="3"/>
        <v>Feb</v>
      </c>
      <c r="CE30" s="643" t="e">
        <f t="shared" si="8"/>
        <v>#N/A</v>
      </c>
      <c r="CF30" s="643" t="e">
        <f>IF(IF($CJ30=$CJ$38,SUMIF($BI$26:$BI$37,$CD30,$BV$26:$BV$37),SUMIF($BI$26:$BI$37,$CD30,$BN$26:$BN$37))=0,NA(),IF($CJ30=$CJ$38,SUMIF($BI$26:$BI$37,$CD30,$BV$26:$BV$37),SUMIF($BI$26:$BI$37,$CD30,$BN$26:$BN$37)))</f>
        <v>#N/A</v>
      </c>
      <c r="CG30" s="643">
        <f t="shared" si="10"/>
        <v>6.6879999999999997</v>
      </c>
      <c r="CH30" s="678">
        <f t="shared" si="11"/>
        <v>6.08</v>
      </c>
      <c r="CI30" s="664">
        <f>IF(IF(CJ30=CJ38,SUMIF(BI26:BI37,$CD30,BY26:BY37),SUMIF(BI26:BI37,$CD30,BQ26:BQ37))=0,NA(),IF(CJ30=CJ38,SUMIF(BI26:BI37,$CD30,BY26:BY37),SUMIF(BI26:BI37,$CD30,BQ26:BQ37)))</f>
        <v>5.846733958275478</v>
      </c>
      <c r="CJ30" s="645">
        <v>23</v>
      </c>
      <c r="CK30" s="645">
        <f t="shared" si="4"/>
        <v>2</v>
      </c>
    </row>
    <row r="31" spans="2:89" ht="15" customHeight="1">
      <c r="B31" s="1140"/>
      <c r="C31" s="1141"/>
      <c r="D31" s="1141"/>
      <c r="E31" s="1141"/>
      <c r="F31" s="1141"/>
      <c r="G31" s="1141"/>
      <c r="H31" s="1141"/>
      <c r="I31" s="1141"/>
      <c r="J31" s="1141"/>
      <c r="K31" s="1141"/>
      <c r="L31" s="1141"/>
      <c r="M31" s="1141"/>
      <c r="N31" s="1141"/>
      <c r="O31" s="1141"/>
      <c r="P31" s="1141"/>
      <c r="Q31" s="1141"/>
      <c r="R31" s="1141"/>
      <c r="S31" s="1141"/>
      <c r="T31" s="1141"/>
      <c r="U31" s="1141"/>
      <c r="V31" s="1141"/>
      <c r="W31" s="1141"/>
      <c r="X31" s="1141"/>
      <c r="Y31" s="1141"/>
      <c r="Z31" s="1141"/>
      <c r="AA31" s="1141"/>
      <c r="AB31" s="1142"/>
      <c r="AC31" s="576"/>
      <c r="AD31" s="576"/>
      <c r="AE31" s="1140"/>
      <c r="AF31" s="1141"/>
      <c r="AG31" s="1141"/>
      <c r="AH31" s="1141"/>
      <c r="AI31" s="1141"/>
      <c r="AJ31" s="1141"/>
      <c r="AK31" s="1141"/>
      <c r="AL31" s="1141"/>
      <c r="AM31" s="1141"/>
      <c r="AN31" s="1141"/>
      <c r="AO31" s="1141"/>
      <c r="AP31" s="1141"/>
      <c r="AQ31" s="1141"/>
      <c r="AR31" s="1141"/>
      <c r="AS31" s="1141"/>
      <c r="AT31" s="1141"/>
      <c r="AU31" s="1141"/>
      <c r="AV31" s="1141"/>
      <c r="AW31" s="1141"/>
      <c r="AX31" s="1141"/>
      <c r="AY31" s="1141"/>
      <c r="AZ31" s="1141"/>
      <c r="BA31" s="1141"/>
      <c r="BB31" s="1141"/>
      <c r="BC31" s="1141"/>
      <c r="BD31" s="1141"/>
      <c r="BE31" s="1142"/>
      <c r="BI31" s="638" t="s">
        <v>326</v>
      </c>
      <c r="BJ31" s="638">
        <v>6</v>
      </c>
      <c r="BK31" s="638" t="s">
        <v>324</v>
      </c>
      <c r="BL31" s="889">
        <v>42.100346116228366</v>
      </c>
      <c r="BM31" s="937"/>
      <c r="BN31" s="937"/>
      <c r="BO31" s="937">
        <v>6.9480000000000004</v>
      </c>
      <c r="BP31" s="958">
        <f t="shared" si="5"/>
        <v>6.9480000000000004</v>
      </c>
      <c r="BQ31" s="654">
        <f t="shared" si="2"/>
        <v>6.0593474548400064</v>
      </c>
      <c r="BR31" s="290"/>
      <c r="BS31" s="830">
        <v>6.08</v>
      </c>
      <c r="BT31" s="889"/>
      <c r="BU31" s="937"/>
      <c r="BV31" s="937"/>
      <c r="BW31" s="937"/>
      <c r="BX31" s="938" t="str">
        <f t="shared" si="6"/>
        <v/>
      </c>
      <c r="BY31" s="654" t="str">
        <f t="shared" si="7"/>
        <v/>
      </c>
      <c r="BZ31" s="290"/>
      <c r="CA31" s="830">
        <v>6.08</v>
      </c>
      <c r="CB31" s="270"/>
      <c r="CD31" s="666" t="str">
        <f t="shared" si="3"/>
        <v>Mar</v>
      </c>
      <c r="CE31" s="643" t="e">
        <f t="shared" si="8"/>
        <v>#N/A</v>
      </c>
      <c r="CF31" s="643" t="e">
        <f t="shared" si="9"/>
        <v>#N/A</v>
      </c>
      <c r="CG31" s="643">
        <f t="shared" si="10"/>
        <v>6.9480000000000004</v>
      </c>
      <c r="CH31" s="678">
        <f t="shared" si="11"/>
        <v>6.08</v>
      </c>
      <c r="CI31" s="664">
        <f>IF(IF(CJ31=CJ38,SUMIF(BI26:BI37,$CD31,BY26:BY37),SUMIF(BI26:BI37,$CD31,BQ26:BQ37))=0,NA(),IF(CJ31=CJ38,SUMIF(BI26:BI37,$CD31,BY26:BY37),SUMIF(BI26:BI37,$CD31,BQ26:BQ37)))</f>
        <v>6.0593474548400064</v>
      </c>
      <c r="CJ31" s="645">
        <v>23</v>
      </c>
      <c r="CK31" s="645">
        <f t="shared" si="4"/>
        <v>3</v>
      </c>
    </row>
    <row r="32" spans="2:89" ht="15" customHeight="1">
      <c r="B32" s="1143"/>
      <c r="C32" s="1144"/>
      <c r="D32" s="1144"/>
      <c r="E32" s="1144"/>
      <c r="F32" s="1144"/>
      <c r="G32" s="1144"/>
      <c r="H32" s="1144"/>
      <c r="I32" s="1144"/>
      <c r="J32" s="1144"/>
      <c r="K32" s="1144"/>
      <c r="L32" s="1144"/>
      <c r="M32" s="1144"/>
      <c r="N32" s="1144"/>
      <c r="O32" s="1144"/>
      <c r="P32" s="1144"/>
      <c r="Q32" s="1144"/>
      <c r="R32" s="1144"/>
      <c r="S32" s="1144"/>
      <c r="T32" s="1144"/>
      <c r="U32" s="1144"/>
      <c r="V32" s="1144"/>
      <c r="W32" s="1144"/>
      <c r="X32" s="1144"/>
      <c r="Y32" s="1144"/>
      <c r="Z32" s="1144"/>
      <c r="AA32" s="1144"/>
      <c r="AB32" s="1145"/>
      <c r="AC32" s="576"/>
      <c r="AD32" s="576"/>
      <c r="AE32" s="1143"/>
      <c r="AF32" s="1144"/>
      <c r="AG32" s="1144"/>
      <c r="AH32" s="1144"/>
      <c r="AI32" s="1144"/>
      <c r="AJ32" s="1144"/>
      <c r="AK32" s="1144"/>
      <c r="AL32" s="1144"/>
      <c r="AM32" s="1144"/>
      <c r="AN32" s="1144"/>
      <c r="AO32" s="1144"/>
      <c r="AP32" s="1144"/>
      <c r="AQ32" s="1144"/>
      <c r="AR32" s="1144"/>
      <c r="AS32" s="1144"/>
      <c r="AT32" s="1144"/>
      <c r="AU32" s="1144"/>
      <c r="AV32" s="1144"/>
      <c r="AW32" s="1144"/>
      <c r="AX32" s="1144"/>
      <c r="AY32" s="1144"/>
      <c r="AZ32" s="1144"/>
      <c r="BA32" s="1144"/>
      <c r="BB32" s="1144"/>
      <c r="BC32" s="1144"/>
      <c r="BD32" s="1144"/>
      <c r="BE32" s="1145"/>
      <c r="BI32" s="638" t="s">
        <v>327</v>
      </c>
      <c r="BJ32" s="638">
        <v>7</v>
      </c>
      <c r="BK32" s="638" t="s">
        <v>328</v>
      </c>
      <c r="BL32" s="889">
        <v>39.556068118598752</v>
      </c>
      <c r="BM32" s="937"/>
      <c r="BN32" s="937"/>
      <c r="BO32" s="937">
        <v>6.55</v>
      </c>
      <c r="BP32" s="958">
        <f t="shared" si="5"/>
        <v>6.55</v>
      </c>
      <c r="BQ32" s="654">
        <f t="shared" si="2"/>
        <v>6.0390943692517176</v>
      </c>
      <c r="BR32" s="833">
        <f>IF(SUM(BP32:BP34=""),0,SUM(BL32:BL34)/SUM(BP32:BP34))</f>
        <v>6.4389216574388115</v>
      </c>
      <c r="BS32" s="830">
        <v>6.08</v>
      </c>
      <c r="BT32" s="889"/>
      <c r="BU32" s="937"/>
      <c r="BV32" s="937"/>
      <c r="BW32" s="937"/>
      <c r="BX32" s="938" t="str">
        <f t="shared" si="6"/>
        <v/>
      </c>
      <c r="BY32" s="654" t="str">
        <f t="shared" si="7"/>
        <v/>
      </c>
      <c r="BZ32" s="833">
        <f>IF(SUM(BX32:BX34=""),0,SUM(BT32:BT34)/SUM(BX32:BX34))</f>
        <v>0</v>
      </c>
      <c r="CA32" s="830">
        <v>6.08</v>
      </c>
      <c r="CB32" s="270"/>
      <c r="CD32" s="666" t="str">
        <f t="shared" si="3"/>
        <v>Apr</v>
      </c>
      <c r="CE32" s="643" t="e">
        <f t="shared" si="8"/>
        <v>#N/A</v>
      </c>
      <c r="CF32" s="643" t="e">
        <f t="shared" si="9"/>
        <v>#N/A</v>
      </c>
      <c r="CG32" s="643">
        <f t="shared" si="10"/>
        <v>6.55</v>
      </c>
      <c r="CH32" s="678">
        <f t="shared" si="11"/>
        <v>6.08</v>
      </c>
      <c r="CI32" s="664">
        <f>IF(IF(CJ32=CJ38,SUMIF(BI26:BI37,$CD32,BY26:BY37),SUMIF(BI26:BI37,$CD32,BQ26:BQ37))=0,NA(),IF(CJ32=CJ38,SUMIF(BI26:BI37,$CD32,BY26:BY37),SUMIF(BI26:BI37,$CD32,BQ26:BQ37)))</f>
        <v>6.0390943692517176</v>
      </c>
      <c r="CJ32" s="645">
        <v>23</v>
      </c>
      <c r="CK32" s="645">
        <f t="shared" si="4"/>
        <v>4</v>
      </c>
    </row>
    <row r="33" spans="1:89" ht="15" customHeight="1">
      <c r="BI33" s="638" t="s">
        <v>329</v>
      </c>
      <c r="BJ33" s="638">
        <v>8</v>
      </c>
      <c r="BK33" s="638" t="s">
        <v>328</v>
      </c>
      <c r="BL33" s="889">
        <v>37.858530228938285</v>
      </c>
      <c r="BM33" s="937"/>
      <c r="BN33" s="937"/>
      <c r="BO33" s="937">
        <v>6.2290000000000001</v>
      </c>
      <c r="BP33" s="958">
        <f t="shared" si="5"/>
        <v>6.2290000000000001</v>
      </c>
      <c r="BQ33" s="654">
        <f t="shared" si="2"/>
        <v>6.0777861982562662</v>
      </c>
      <c r="BR33" s="290"/>
      <c r="BS33" s="830">
        <v>6.08</v>
      </c>
      <c r="BT33" s="889"/>
      <c r="BU33" s="937"/>
      <c r="BV33" s="937"/>
      <c r="BW33" s="937"/>
      <c r="BX33" s="938" t="str">
        <f t="shared" si="6"/>
        <v/>
      </c>
      <c r="BY33" s="654" t="str">
        <f t="shared" si="7"/>
        <v/>
      </c>
      <c r="BZ33" s="290"/>
      <c r="CA33" s="830">
        <v>6.08</v>
      </c>
      <c r="CB33" s="270"/>
      <c r="CD33" s="666" t="str">
        <f t="shared" si="3"/>
        <v>May</v>
      </c>
      <c r="CE33" s="643" t="e">
        <f t="shared" si="8"/>
        <v>#N/A</v>
      </c>
      <c r="CF33" s="643" t="e">
        <f t="shared" si="9"/>
        <v>#N/A</v>
      </c>
      <c r="CG33" s="643">
        <f t="shared" si="10"/>
        <v>6.2290000000000001</v>
      </c>
      <c r="CH33" s="678">
        <f t="shared" si="11"/>
        <v>6.08</v>
      </c>
      <c r="CI33" s="664">
        <f>IF(IF(CJ33=CJ38,SUMIF(BI26:BI37,$CD33,BY26:BY37),SUMIF(BI26:BI37,$CD33,BQ26:BQ37))=0,NA(),IF(CJ33=CJ38,SUMIF(BI26:BI37,$CD33,BY26:BY37),SUMIF(BI26:BI37,$CD33,BQ26:BQ37)))</f>
        <v>6.0777861982562662</v>
      </c>
      <c r="CJ33" s="645">
        <v>23</v>
      </c>
      <c r="CK33" s="645">
        <f t="shared" si="4"/>
        <v>5</v>
      </c>
    </row>
    <row r="34" spans="1:89" ht="15" customHeight="1">
      <c r="B34" s="531" t="s">
        <v>330</v>
      </c>
      <c r="C34" s="533"/>
      <c r="D34" s="533"/>
      <c r="E34" s="533"/>
      <c r="F34" s="533"/>
      <c r="G34" s="532"/>
      <c r="H34" s="532"/>
      <c r="I34" s="532"/>
      <c r="J34" s="532"/>
      <c r="K34" s="532"/>
      <c r="L34" s="539"/>
      <c r="M34" s="533"/>
      <c r="N34" s="533"/>
      <c r="O34" s="532"/>
      <c r="P34" s="532"/>
      <c r="Q34" s="532"/>
      <c r="R34" s="532"/>
      <c r="S34" s="532"/>
      <c r="T34" s="532"/>
      <c r="U34" s="532"/>
      <c r="V34" s="532"/>
      <c r="W34" s="532"/>
      <c r="X34" s="532"/>
      <c r="Y34" s="532"/>
      <c r="Z34" s="532"/>
      <c r="AA34" s="532"/>
      <c r="AB34" s="532"/>
      <c r="AC34" s="532"/>
      <c r="AD34" s="532"/>
      <c r="AE34" s="532"/>
      <c r="AF34" s="532"/>
      <c r="AG34" s="532"/>
      <c r="AH34" s="532"/>
      <c r="AI34" s="532"/>
      <c r="AJ34" s="532"/>
      <c r="AK34" s="532"/>
      <c r="AL34" s="532"/>
      <c r="AM34" s="532"/>
      <c r="AN34" s="532"/>
      <c r="AO34" s="532"/>
      <c r="AP34" s="532"/>
      <c r="AQ34" s="532"/>
      <c r="AR34" s="532"/>
      <c r="AS34" s="532"/>
      <c r="AT34" s="532"/>
      <c r="AU34" s="532"/>
      <c r="AV34" s="532"/>
      <c r="AW34" s="532"/>
      <c r="AX34" s="532"/>
      <c r="AY34" s="532"/>
      <c r="AZ34" s="532"/>
      <c r="BA34" s="532"/>
      <c r="BB34" s="532"/>
      <c r="BC34" s="532"/>
      <c r="BD34" s="532"/>
      <c r="BE34" s="532"/>
      <c r="BI34" s="638" t="s">
        <v>331</v>
      </c>
      <c r="BJ34" s="638">
        <v>9</v>
      </c>
      <c r="BK34" s="638" t="s">
        <v>328</v>
      </c>
      <c r="BL34" s="889">
        <v>31.93116923908886</v>
      </c>
      <c r="BM34" s="937"/>
      <c r="BN34" s="937"/>
      <c r="BO34" s="937">
        <v>4.2030000000000003</v>
      </c>
      <c r="BP34" s="958">
        <f t="shared" si="5"/>
        <v>4.2030000000000003</v>
      </c>
      <c r="BQ34" s="654">
        <f t="shared" si="2"/>
        <v>7.5972327478203328</v>
      </c>
      <c r="BR34" s="290"/>
      <c r="BS34" s="830">
        <v>6.08</v>
      </c>
      <c r="BT34" s="889"/>
      <c r="BU34" s="937"/>
      <c r="BV34" s="937"/>
      <c r="BW34" s="937"/>
      <c r="BX34" s="938" t="str">
        <f t="shared" si="6"/>
        <v/>
      </c>
      <c r="BY34" s="654" t="str">
        <f t="shared" si="7"/>
        <v/>
      </c>
      <c r="BZ34" s="290"/>
      <c r="CA34" s="830">
        <v>6.08</v>
      </c>
      <c r="CB34" s="270"/>
      <c r="CD34" s="666" t="str">
        <f t="shared" si="3"/>
        <v>Jun</v>
      </c>
      <c r="CE34" s="643" t="e">
        <f t="shared" si="8"/>
        <v>#N/A</v>
      </c>
      <c r="CF34" s="643" t="e">
        <f t="shared" si="9"/>
        <v>#N/A</v>
      </c>
      <c r="CG34" s="643">
        <f t="shared" si="10"/>
        <v>4.2030000000000003</v>
      </c>
      <c r="CH34" s="678">
        <f t="shared" si="11"/>
        <v>6.08</v>
      </c>
      <c r="CI34" s="664">
        <f>IF(IF(CJ34=CJ38,SUMIF(BI26:BI37,$CD34,BY26:BY37),SUMIF(BI26:BI37,$CD34,BQ26:BQ37))=0,NA(),IF(CJ34=CJ38,SUMIF(BI26:BI37,$CD34,BY26:BY37),SUMIF(BI26:BI37,$CD34,BQ26:BQ37)))</f>
        <v>7.5972327478203328</v>
      </c>
      <c r="CJ34" s="645">
        <v>23</v>
      </c>
      <c r="CK34" s="645">
        <f t="shared" si="4"/>
        <v>6</v>
      </c>
    </row>
    <row r="35" spans="1:89" ht="15" customHeight="1">
      <c r="B35" s="1124" t="s">
        <v>332</v>
      </c>
      <c r="C35" s="1124"/>
      <c r="D35" s="1124"/>
      <c r="E35" s="1124"/>
      <c r="F35" s="1124"/>
      <c r="G35" s="1124"/>
      <c r="H35" s="1124"/>
      <c r="I35" s="1124"/>
      <c r="J35" s="1124"/>
      <c r="K35" s="1124" t="s">
        <v>335</v>
      </c>
      <c r="L35" s="1124"/>
      <c r="M35" s="1124"/>
      <c r="N35" s="1124"/>
      <c r="O35" s="1124"/>
      <c r="P35" s="1124"/>
      <c r="Q35" s="1123" t="s">
        <v>713</v>
      </c>
      <c r="R35" s="1123"/>
      <c r="S35" s="1123"/>
      <c r="T35" s="1124" t="s">
        <v>712</v>
      </c>
      <c r="U35" s="1124"/>
      <c r="V35" s="1124"/>
      <c r="W35" s="1124"/>
      <c r="X35" s="1124"/>
      <c r="Y35" s="1124"/>
      <c r="Z35" s="1124"/>
      <c r="AA35" s="1124"/>
      <c r="AB35" s="1124"/>
      <c r="AC35" s="1153" t="s">
        <v>336</v>
      </c>
      <c r="AD35" s="1154"/>
      <c r="AE35" s="1154"/>
      <c r="AF35" s="1154"/>
      <c r="AG35" s="1154"/>
      <c r="AH35" s="1154"/>
      <c r="AI35" s="1154"/>
      <c r="AJ35" s="1154"/>
      <c r="AK35" s="1154"/>
      <c r="AL35" s="1154"/>
      <c r="AM35" s="1154"/>
      <c r="AN35" s="1154"/>
      <c r="AO35" s="1154"/>
      <c r="AP35" s="1154"/>
      <c r="AQ35" s="1154"/>
      <c r="AR35" s="1154"/>
      <c r="AS35" s="1154"/>
      <c r="AT35" s="1154"/>
      <c r="AU35" s="1154"/>
      <c r="AV35" s="1154"/>
      <c r="AW35" s="1154"/>
      <c r="AX35" s="1154"/>
      <c r="AY35" s="1154"/>
      <c r="AZ35" s="1154"/>
      <c r="BA35" s="1154"/>
      <c r="BB35" s="1154"/>
      <c r="BC35" s="1154"/>
      <c r="BD35" s="1154"/>
      <c r="BE35" s="1155"/>
      <c r="BH35" s="223"/>
      <c r="BI35" s="638" t="s">
        <v>337</v>
      </c>
      <c r="BJ35" s="638">
        <v>10</v>
      </c>
      <c r="BK35" s="638" t="s">
        <v>338</v>
      </c>
      <c r="BL35" s="889">
        <v>31.192</v>
      </c>
      <c r="BM35" s="937"/>
      <c r="BN35" s="937"/>
      <c r="BO35" s="937">
        <v>5.1779999999999999</v>
      </c>
      <c r="BP35" s="958">
        <f t="shared" si="5"/>
        <v>5.1779999999999999</v>
      </c>
      <c r="BQ35" s="654">
        <f t="shared" si="2"/>
        <v>6.0239474700656626</v>
      </c>
      <c r="BR35" s="833">
        <f>IF(SUM(BP35:BP37=""),0,SUM(BL35:BL37)/SUM(BP35:BP37))</f>
        <v>6.1726610516731171</v>
      </c>
      <c r="BS35" s="830">
        <v>6.08</v>
      </c>
      <c r="BT35" s="889"/>
      <c r="BU35" s="937"/>
      <c r="BV35" s="937"/>
      <c r="BW35" s="937"/>
      <c r="BX35" s="938" t="str">
        <f t="shared" si="6"/>
        <v/>
      </c>
      <c r="BY35" s="654" t="str">
        <f t="shared" si="7"/>
        <v/>
      </c>
      <c r="BZ35" s="833">
        <f>IF(SUM(BX35:BX37=""),0,SUM(BT35:BT37)/SUM(BX35:BX37))</f>
        <v>0</v>
      </c>
      <c r="CA35" s="830">
        <v>6.08</v>
      </c>
      <c r="CB35" s="270"/>
      <c r="CD35" s="666" t="str">
        <f t="shared" si="3"/>
        <v>Jul</v>
      </c>
      <c r="CE35" s="643" t="e">
        <f t="shared" si="8"/>
        <v>#N/A</v>
      </c>
      <c r="CF35" s="643" t="e">
        <f t="shared" si="9"/>
        <v>#N/A</v>
      </c>
      <c r="CG35" s="643">
        <f>IF(IF($CJ35=$CJ$38,SUMIF($BI$26:$BI$37,$CD35,$BW$26:$BW$37),SUMIF($BI$26:$BI$37,$CD35,$BO$26:$BO$37))=0,NA(),IF($CJ35=$CJ$38,SUMIF($BI$26:$BI$37,$CD35,$BW$26:$BW$37),SUMIF($BI$26:$BI$37,$CD35,$BO$26:$BO$37)))</f>
        <v>5.1779999999999999</v>
      </c>
      <c r="CH35" s="678">
        <f t="shared" si="11"/>
        <v>6.08</v>
      </c>
      <c r="CI35" s="664">
        <f>IF(IF(CJ35=CJ38,SUMIF(BI26:BI37,$CD35,BY26:BY37),SUMIF(BI26:BI37,$CD35,BQ26:BQ37))=0,NA(),IF(CJ35=CJ38,SUMIF(BI26:BI37,$CD35,BY26:BY37),SUMIF(BI26:BI37,$CD35,BQ26:BQ37)))</f>
        <v>6.0239474700656626</v>
      </c>
      <c r="CJ35" s="645">
        <v>23</v>
      </c>
      <c r="CK35" s="645">
        <f t="shared" si="4"/>
        <v>7</v>
      </c>
    </row>
    <row r="36" spans="1:89" ht="15" customHeight="1">
      <c r="B36" s="1124"/>
      <c r="C36" s="1124"/>
      <c r="D36" s="1124"/>
      <c r="E36" s="1124"/>
      <c r="F36" s="1124"/>
      <c r="G36" s="1124"/>
      <c r="H36" s="1124"/>
      <c r="I36" s="1124"/>
      <c r="J36" s="1124"/>
      <c r="K36" s="1124" t="s">
        <v>23</v>
      </c>
      <c r="L36" s="1124"/>
      <c r="M36" s="1124"/>
      <c r="N36" s="1124" t="s">
        <v>339</v>
      </c>
      <c r="O36" s="1124"/>
      <c r="P36" s="1124"/>
      <c r="Q36" s="1123"/>
      <c r="R36" s="1123"/>
      <c r="S36" s="1123"/>
      <c r="T36" s="1123" t="s">
        <v>340</v>
      </c>
      <c r="U36" s="1123"/>
      <c r="V36" s="1123"/>
      <c r="W36" s="1123" t="s">
        <v>341</v>
      </c>
      <c r="X36" s="1123"/>
      <c r="Y36" s="1123"/>
      <c r="Z36" s="1123" t="s">
        <v>342</v>
      </c>
      <c r="AA36" s="1123"/>
      <c r="AB36" s="1123"/>
      <c r="AC36" s="1156"/>
      <c r="AD36" s="1157"/>
      <c r="AE36" s="1157"/>
      <c r="AF36" s="1157"/>
      <c r="AG36" s="1157"/>
      <c r="AH36" s="1157"/>
      <c r="AI36" s="1157"/>
      <c r="AJ36" s="1157"/>
      <c r="AK36" s="1157"/>
      <c r="AL36" s="1157"/>
      <c r="AM36" s="1157"/>
      <c r="AN36" s="1157"/>
      <c r="AO36" s="1157"/>
      <c r="AP36" s="1157"/>
      <c r="AQ36" s="1157"/>
      <c r="AR36" s="1157"/>
      <c r="AS36" s="1157"/>
      <c r="AT36" s="1157"/>
      <c r="AU36" s="1157"/>
      <c r="AV36" s="1157"/>
      <c r="AW36" s="1157"/>
      <c r="AX36" s="1157"/>
      <c r="AY36" s="1157"/>
      <c r="AZ36" s="1157"/>
      <c r="BA36" s="1157"/>
      <c r="BB36" s="1157"/>
      <c r="BC36" s="1157"/>
      <c r="BD36" s="1157"/>
      <c r="BE36" s="1158"/>
      <c r="BH36" s="223"/>
      <c r="BI36" s="638" t="s">
        <v>343</v>
      </c>
      <c r="BJ36" s="638">
        <v>11</v>
      </c>
      <c r="BK36" s="638" t="s">
        <v>338</v>
      </c>
      <c r="BL36" s="889">
        <v>31.262</v>
      </c>
      <c r="BM36" s="937"/>
      <c r="BN36" s="937"/>
      <c r="BO36" s="937">
        <v>5.6319999999999997</v>
      </c>
      <c r="BP36" s="958">
        <f t="shared" si="5"/>
        <v>5.6319999999999997</v>
      </c>
      <c r="BQ36" s="654">
        <f t="shared" si="2"/>
        <v>5.55078125</v>
      </c>
      <c r="BR36" s="290"/>
      <c r="BS36" s="830">
        <v>6.08</v>
      </c>
      <c r="BT36" s="889"/>
      <c r="BU36" s="937"/>
      <c r="BV36" s="937"/>
      <c r="BW36" s="937"/>
      <c r="BX36" s="938" t="str">
        <f t="shared" si="6"/>
        <v/>
      </c>
      <c r="BY36" s="654" t="str">
        <f t="shared" si="7"/>
        <v/>
      </c>
      <c r="BZ36" s="290"/>
      <c r="CA36" s="830">
        <v>6.08</v>
      </c>
      <c r="CB36" s="270"/>
      <c r="CD36" s="666" t="str">
        <f t="shared" si="3"/>
        <v>Aug</v>
      </c>
      <c r="CE36" s="643" t="e">
        <f t="shared" si="8"/>
        <v>#N/A</v>
      </c>
      <c r="CF36" s="643" t="e">
        <f>IF(IF($CJ36=$CJ$38,SUMIF($BI$26:$BI$37,$CD36,$BV$26:$BV$37),SUMIF($BI$26:$BI$37,$CD36,$BN$26:$BN$37))=0,NA(),IF($CJ36=$CJ$38,SUMIF($BI$26:$BI$37,$CD36,$BV$26:$BV$37),SUMIF($BI$26:$BI$37,$CD36,$BN$26:$BN$37)))</f>
        <v>#N/A</v>
      </c>
      <c r="CG36" s="643">
        <f t="shared" si="10"/>
        <v>5.6319999999999997</v>
      </c>
      <c r="CH36" s="678">
        <f t="shared" si="11"/>
        <v>6.08</v>
      </c>
      <c r="CI36" s="664">
        <f>IF(IF(CJ36=CJ38,SUMIF(BI26:BI37,$CD36,BY26:BY37),SUMIF(BI26:BI37,$CD36,BQ26:BQ37))=0,NA(),IF(CJ36=CJ38,SUMIF(BI26:BI37,$CD36,BY26:BY37),SUMIF(BI26:BI37,$CD36,BQ26:BQ37)))</f>
        <v>5.55078125</v>
      </c>
      <c r="CJ36" s="645">
        <v>23</v>
      </c>
      <c r="CK36" s="645">
        <f t="shared" si="4"/>
        <v>8</v>
      </c>
    </row>
    <row r="37" spans="1:89" ht="15" customHeight="1">
      <c r="B37" s="1124"/>
      <c r="C37" s="1124"/>
      <c r="D37" s="1124"/>
      <c r="E37" s="1124"/>
      <c r="F37" s="1124"/>
      <c r="G37" s="1124"/>
      <c r="H37" s="1124"/>
      <c r="I37" s="1124"/>
      <c r="J37" s="1124"/>
      <c r="K37" s="1124"/>
      <c r="L37" s="1124"/>
      <c r="M37" s="1124"/>
      <c r="N37" s="1124"/>
      <c r="O37" s="1124"/>
      <c r="P37" s="1124"/>
      <c r="Q37" s="1123"/>
      <c r="R37" s="1123"/>
      <c r="S37" s="1123"/>
      <c r="T37" s="1123"/>
      <c r="U37" s="1123"/>
      <c r="V37" s="1123"/>
      <c r="W37" s="1123"/>
      <c r="X37" s="1123"/>
      <c r="Y37" s="1123"/>
      <c r="Z37" s="1123"/>
      <c r="AA37" s="1123"/>
      <c r="AB37" s="1123"/>
      <c r="AC37" s="1159"/>
      <c r="AD37" s="1160"/>
      <c r="AE37" s="1160"/>
      <c r="AF37" s="1160"/>
      <c r="AG37" s="1160"/>
      <c r="AH37" s="1160"/>
      <c r="AI37" s="1160"/>
      <c r="AJ37" s="1160"/>
      <c r="AK37" s="1160"/>
      <c r="AL37" s="1160"/>
      <c r="AM37" s="1160"/>
      <c r="AN37" s="1160"/>
      <c r="AO37" s="1160"/>
      <c r="AP37" s="1160"/>
      <c r="AQ37" s="1160"/>
      <c r="AR37" s="1160"/>
      <c r="AS37" s="1160"/>
      <c r="AT37" s="1160"/>
      <c r="AU37" s="1160"/>
      <c r="AV37" s="1160"/>
      <c r="AW37" s="1160"/>
      <c r="AX37" s="1160"/>
      <c r="AY37" s="1160"/>
      <c r="AZ37" s="1160"/>
      <c r="BA37" s="1160"/>
      <c r="BB37" s="1160"/>
      <c r="BC37" s="1160"/>
      <c r="BD37" s="1160"/>
      <c r="BE37" s="1161"/>
      <c r="BH37" s="223"/>
      <c r="BI37" s="638" t="s">
        <v>344</v>
      </c>
      <c r="BJ37" s="638">
        <v>12</v>
      </c>
      <c r="BK37" s="638" t="s">
        <v>338</v>
      </c>
      <c r="BL37" s="889">
        <v>46.012</v>
      </c>
      <c r="BM37" s="937"/>
      <c r="BN37" s="937"/>
      <c r="BO37" s="937">
        <v>6.7619999999999996</v>
      </c>
      <c r="BP37" s="958">
        <f>IF(BM37+BN37+BO37=0,"",BM37+BN37+BO37)</f>
        <v>6.7619999999999996</v>
      </c>
      <c r="BQ37" s="654">
        <f t="shared" si="2"/>
        <v>6.80449571132801</v>
      </c>
      <c r="BR37" s="290"/>
      <c r="BS37" s="830">
        <v>6.08</v>
      </c>
      <c r="BT37" s="889"/>
      <c r="BU37" s="937"/>
      <c r="BV37" s="937"/>
      <c r="BW37" s="937"/>
      <c r="BX37" s="938" t="str">
        <f t="shared" si="6"/>
        <v/>
      </c>
      <c r="BY37" s="654" t="str">
        <f t="shared" si="7"/>
        <v/>
      </c>
      <c r="BZ37" s="290"/>
      <c r="CA37" s="830">
        <v>6.08</v>
      </c>
      <c r="CB37" s="270"/>
      <c r="CD37" s="666" t="str">
        <f t="shared" si="3"/>
        <v>Sep</v>
      </c>
      <c r="CE37" s="643" t="e">
        <f t="shared" si="8"/>
        <v>#N/A</v>
      </c>
      <c r="CF37" s="643" t="e">
        <f t="shared" si="9"/>
        <v>#N/A</v>
      </c>
      <c r="CG37" s="643">
        <f t="shared" si="10"/>
        <v>6.7619999999999996</v>
      </c>
      <c r="CH37" s="678">
        <f>IF(IF($CJ37=$CJ$38,SUMIF($BI$26:$BI$37,$CD37,$CA$26:$CA$37),SUMIF($BI$26:$BI$37,$CD37,$BS$26:$BS$37))=0,NA(),IF($CJ37=$CJ$38,SUMIF($BI$26:$BI$37,$CD37,$CA$26:$CA$37),SUMIF($BI$26:$BI$37,$CD37,$BS$26:$BS$37)))</f>
        <v>6.08</v>
      </c>
      <c r="CI37" s="664">
        <f>IF(IF(CJ37=CJ38,SUMIF(BI26:BI37,$CD37,BY26:BY37),SUMIF(BI26:BI37,$CD37,BQ26:BQ37))=0,NA(),IF(CJ37=CJ38,SUMIF(BI26:BI37,$CD37,BY26:BY37),SUMIF(BI26:BI37,$CD37,BQ26:BQ37)))</f>
        <v>6.80449571132801</v>
      </c>
      <c r="CJ37" s="645">
        <v>23</v>
      </c>
      <c r="CK37" s="645">
        <f>IF(CK38-1&lt;1,CK38+11,CK38-1)</f>
        <v>9</v>
      </c>
    </row>
    <row r="38" spans="1:89" ht="66" customHeight="1">
      <c r="B38" s="1126" t="s">
        <v>720</v>
      </c>
      <c r="C38" s="1126"/>
      <c r="D38" s="1126"/>
      <c r="E38" s="1126"/>
      <c r="F38" s="1126"/>
      <c r="G38" s="1126"/>
      <c r="H38" s="1126"/>
      <c r="I38" s="1126"/>
      <c r="J38" s="1126"/>
      <c r="K38" s="1299">
        <f>SUMIF(AP!$BJ$26:$BJ$37,Cover!$M$36,AP!$BQ$26:$BQ$37)</f>
        <v>5.9554528701538461</v>
      </c>
      <c r="L38" s="1299"/>
      <c r="M38" s="1299"/>
      <c r="N38" s="1299">
        <f>SUMIF(AP!$BK$26:$BK$37,Cover!$M$35,AP!$BR$26:$BR$37)</f>
        <v>6.4156939082397928</v>
      </c>
      <c r="O38" s="1299"/>
      <c r="P38" s="1299"/>
      <c r="Q38" s="1301">
        <f>SUMIF(AP!$BJ$26:$BJ$37,Cover!$M$36,AP!$CA$26:$CA$37)</f>
        <v>6.08</v>
      </c>
      <c r="R38" s="1301"/>
      <c r="S38" s="1301"/>
      <c r="T38" s="1299">
        <f>IF(Cover!$M$36=1,SUMIF($BJ$26:$BJ$37,12,$BQ$26:$BQ$37),SUMIF(AP!$BJ$26:$BJ$37,Cover!$M$36-1,AP!$BY$26:$BY$37))</f>
        <v>6.80449571132801</v>
      </c>
      <c r="U38" s="1299"/>
      <c r="V38" s="1299"/>
      <c r="W38" s="1299">
        <f>SUMIF(AP!$BJ$26:$BJ$37,Cover!$M$36,AP!$BY$26:$BY$37)</f>
        <v>4.2629951231116925</v>
      </c>
      <c r="X38" s="1299"/>
      <c r="Y38" s="1299"/>
      <c r="Z38" s="1299">
        <f>SUMIF(AP!$BK$26:$BK$37,Cover!$M$35,AP!$BZ$26:$BZ$37)</f>
        <v>4.2629951231116925</v>
      </c>
      <c r="AA38" s="1299"/>
      <c r="AB38" s="1299"/>
      <c r="AC38" s="1291" t="s">
        <v>793</v>
      </c>
      <c r="AD38" s="1292"/>
      <c r="AE38" s="1292"/>
      <c r="AF38" s="1292"/>
      <c r="AG38" s="1292"/>
      <c r="AH38" s="1292"/>
      <c r="AI38" s="1292"/>
      <c r="AJ38" s="1292"/>
      <c r="AK38" s="1292"/>
      <c r="AL38" s="1292"/>
      <c r="AM38" s="1292"/>
      <c r="AN38" s="1292"/>
      <c r="AO38" s="1292"/>
      <c r="AP38" s="1292"/>
      <c r="AQ38" s="1292"/>
      <c r="AR38" s="1292"/>
      <c r="AS38" s="1292"/>
      <c r="AT38" s="1292"/>
      <c r="AU38" s="1292"/>
      <c r="AV38" s="1292"/>
      <c r="AW38" s="1292"/>
      <c r="AX38" s="1292"/>
      <c r="AY38" s="1292"/>
      <c r="AZ38" s="1292"/>
      <c r="BA38" s="1292"/>
      <c r="BB38" s="1292"/>
      <c r="BC38" s="1292"/>
      <c r="BD38" s="1292"/>
      <c r="BE38" s="1293"/>
      <c r="BH38" s="160">
        <f>IF(Q38=0,4,IF(W38=0,0,IF(Q38="","",IF(W38&lt;=Q38,1,IF(W38&gt;Q38*1.1,3,2)))))</f>
        <v>1</v>
      </c>
      <c r="BJ38" s="277"/>
      <c r="BK38" s="277"/>
      <c r="BL38" s="277"/>
      <c r="BM38" s="277"/>
      <c r="BN38" s="277"/>
      <c r="BO38" s="277"/>
      <c r="BP38" s="277"/>
      <c r="BQ38" s="277"/>
      <c r="BR38" s="277"/>
      <c r="BS38" s="277"/>
      <c r="BT38" s="277"/>
      <c r="BU38" s="277"/>
      <c r="BV38" s="277"/>
      <c r="BW38" s="277"/>
      <c r="BX38" s="277"/>
      <c r="BY38" s="277"/>
      <c r="BZ38" s="277"/>
      <c r="CA38" s="270"/>
      <c r="CB38" s="270"/>
      <c r="CC38" s="667" t="str">
        <f>Cover!$M$34</f>
        <v>OCT FY-24</v>
      </c>
      <c r="CD38" s="666" t="str">
        <f t="shared" si="3"/>
        <v>Oct</v>
      </c>
      <c r="CE38" s="643">
        <f>IF(IF($CJ38=$CJ$38,SUMIF($BI$26:$BI$37,$CD38,$BU$26:$BU$37),SUMIF($BI$26:$BI$37,$CD38,$BM$26:$BM$37))=0,NA(),IF($CJ38=$CJ$38,SUMIF($BI$26:$BI$37,$CD38,$BU$26:$BU$37),SUMIF($BI$26:$BI$37,$CD38,$BM$26:$BM$37)))</f>
        <v>3.46</v>
      </c>
      <c r="CF38" s="643">
        <f>IF(IF($CJ38=$CJ$38,SUMIF($BI$26:$BI$37,$CD38,$BV$26:$BV$37),SUMIF($BI$26:$BI$37,$CD38,$BN$26:$BN$37))=0,NA(),IF($CJ38=$CJ$38,SUMIF($BI$26:$BI$37,$CD38,$BV$26:$BV$37),SUMIF($BI$26:$BI$37,$CD38,$BN$26:$BN$37)))</f>
        <v>0.871</v>
      </c>
      <c r="CG38" s="643">
        <f>IF(IF($CJ38=$CJ$38,SUMIF($BI$26:$BI$37,$CD38,$BW$26:$BW$37),SUMIF($BI$26:$BI$37,$CD38,$BO$26:$BO$37))=0,NA(),IF($CJ38=$CJ$38,SUMIF($BI$26:$BI$37,$CD38,$BW$26:$BW$37),SUMIF($BI$26:$BI$37,$CD38,$BO$26:$BO$37)))</f>
        <v>4.0759999999999996</v>
      </c>
      <c r="CH38" s="678">
        <f t="shared" si="11"/>
        <v>6.08</v>
      </c>
      <c r="CI38" s="664">
        <f>IF(SUMIF($BI26:$BI37,$CD38,$BY26:$BY37)=0,NA(),SUMIF($BI26:$BI37,$CD38,$BY26:$BY37))</f>
        <v>4.2629951231116925</v>
      </c>
      <c r="CJ38" s="645">
        <v>24</v>
      </c>
      <c r="CK38" s="645">
        <f>MONTH(DATEVALUE(LEFT(CC38,3)&amp;" 1"))</f>
        <v>10</v>
      </c>
    </row>
    <row r="39" spans="1:89" ht="66" customHeight="1">
      <c r="B39" s="1177" t="s">
        <v>723</v>
      </c>
      <c r="C39" s="1178"/>
      <c r="D39" s="1178"/>
      <c r="E39" s="1178"/>
      <c r="F39" s="1178"/>
      <c r="G39" s="1178"/>
      <c r="H39" s="1178"/>
      <c r="I39" s="1178"/>
      <c r="J39" s="1178"/>
      <c r="K39" s="1125">
        <f>SUMIF(AP!$BJ$44:$BJ$56,Cover!$M$36,AP!$BN$44:$BN$56)</f>
        <v>0.95018226002430128</v>
      </c>
      <c r="L39" s="1125"/>
      <c r="M39" s="1125"/>
      <c r="N39" s="1125">
        <f>SUMIF(AP!$BK$44:$BK$56,Cover!$M$35,AP!$BO$44:$BO$56)</f>
        <v>0.9522222222222223</v>
      </c>
      <c r="O39" s="1125"/>
      <c r="P39" s="1125"/>
      <c r="Q39" s="1300">
        <f>SUMIF(AP!$BJ$44:$BJ$56,Cover!$M$36,AP!$BU$44:$BU$56)</f>
        <v>0.9</v>
      </c>
      <c r="R39" s="1300"/>
      <c r="S39" s="1300"/>
      <c r="T39" s="1125">
        <f>IF(Cover!$M$36=1,SUMIF($BJ$45:$BJ$56,12,$BN$45:$BN$56),SUMIF(AP!$BJ$44:$BJ$56,Cover!$M$36-1,AP!$BS$44:$BS$56))</f>
        <v>0.97686607626965483</v>
      </c>
      <c r="U39" s="1125"/>
      <c r="V39" s="1125"/>
      <c r="W39" s="1125">
        <f>SUMIF(AP!$BJ$44:$BJ$56,Cover!$M$36,AP!$BS$44:$BS$56)</f>
        <v>0.93040473840078985</v>
      </c>
      <c r="X39" s="1125"/>
      <c r="Y39" s="1125"/>
      <c r="Z39" s="1125">
        <f>SUMIF(AP!$BK$44:$BK$56,Cover!$M$35,AP!$BT$44:$BT$56)</f>
        <v>0.93040473840078985</v>
      </c>
      <c r="AA39" s="1125"/>
      <c r="AB39" s="1125"/>
      <c r="AC39" s="1282" t="s">
        <v>785</v>
      </c>
      <c r="AD39" s="1283"/>
      <c r="AE39" s="1283"/>
      <c r="AF39" s="1283"/>
      <c r="AG39" s="1283"/>
      <c r="AH39" s="1283"/>
      <c r="AI39" s="1283"/>
      <c r="AJ39" s="1283"/>
      <c r="AK39" s="1283"/>
      <c r="AL39" s="1283"/>
      <c r="AM39" s="1283"/>
      <c r="AN39" s="1283"/>
      <c r="AO39" s="1283"/>
      <c r="AP39" s="1283"/>
      <c r="AQ39" s="1283"/>
      <c r="AR39" s="1283"/>
      <c r="AS39" s="1283"/>
      <c r="AT39" s="1283"/>
      <c r="AU39" s="1283"/>
      <c r="AV39" s="1283"/>
      <c r="AW39" s="1283"/>
      <c r="AX39" s="1283"/>
      <c r="AY39" s="1283"/>
      <c r="AZ39" s="1283"/>
      <c r="BA39" s="1283"/>
      <c r="BB39" s="1283"/>
      <c r="BC39" s="1283"/>
      <c r="BD39" s="1283"/>
      <c r="BE39" s="1284"/>
      <c r="BH39" s="160">
        <f>IF(Q39=0,4,IF(W39=0,0,IF(Q39="","",IF(W39&gt;=Q39,1,IF(W39&lt;Q39*0.9,3,2)))))</f>
        <v>1</v>
      </c>
      <c r="BI39" s="6"/>
      <c r="BJ39" s="6"/>
      <c r="BK39" s="6"/>
      <c r="BL39" s="6"/>
      <c r="BM39" s="6"/>
      <c r="BN39" s="6"/>
      <c r="BO39" s="6"/>
      <c r="BP39" s="6"/>
      <c r="BQ39" s="6"/>
      <c r="BR39" s="6"/>
      <c r="BS39" s="6"/>
      <c r="BT39" s="6"/>
      <c r="BU39" s="6"/>
      <c r="BV39" s="6"/>
    </row>
    <row r="40" spans="1:89" customFormat="1" ht="66" customHeight="1">
      <c r="A40" s="6"/>
      <c r="B40" s="1126" t="s">
        <v>721</v>
      </c>
      <c r="C40" s="1298"/>
      <c r="D40" s="1298"/>
      <c r="E40" s="1298"/>
      <c r="F40" s="1298"/>
      <c r="G40" s="1298"/>
      <c r="H40" s="1298"/>
      <c r="I40" s="1298"/>
      <c r="J40" s="1298"/>
      <c r="K40" s="1299">
        <f>SUMIF(AP!$BJ$64:$BJ$75,Cover!$M$36,AP!$BN$64:$BN$75)</f>
        <v>2.64</v>
      </c>
      <c r="L40" s="1299"/>
      <c r="M40" s="1299"/>
      <c r="N40" s="1299">
        <f>SUMIF(AP!$BK$64:$BK$75,Cover!$M$35,AP!$BO$64:$BO$75)</f>
        <v>2.546382985539636</v>
      </c>
      <c r="O40" s="1299"/>
      <c r="P40" s="1299"/>
      <c r="Q40" s="1301">
        <f>SUMIF(AP!$BJ$64:$BJ$75,Cover!$M$36,AP!$BU$64:$BU$75)</f>
        <v>2.91</v>
      </c>
      <c r="R40" s="1301"/>
      <c r="S40" s="1301"/>
      <c r="T40" s="1299">
        <f>IF(Cover!$M$36=1,SUMIF($BJ$64:$BJ$75,12,$BN$64:$BN$75),SUMIF(AP!$BJ$64:$BJ$75,Cover!$M$36-1,AP!$BS$64:$BS$75))</f>
        <v>1.3043572278084117</v>
      </c>
      <c r="U40" s="1299"/>
      <c r="V40" s="1299"/>
      <c r="W40" s="1299">
        <f>SUMIF(AP!$BJ$64:$BJ$75,Cover!$M$36,AP!$BS$64:$BS$75)</f>
        <v>0.57031832877393684</v>
      </c>
      <c r="X40" s="1299"/>
      <c r="Y40" s="1299"/>
      <c r="Z40" s="1299">
        <f>SUMIF(AP!$BK$64:$BK$75,Cover!$M$35,AP!$BT$64:$BT$75)</f>
        <v>0.57031832877393684</v>
      </c>
      <c r="AA40" s="1299"/>
      <c r="AB40" s="1299"/>
      <c r="AC40" s="1291" t="s">
        <v>790</v>
      </c>
      <c r="AD40" s="1292"/>
      <c r="AE40" s="1292"/>
      <c r="AF40" s="1292"/>
      <c r="AG40" s="1292"/>
      <c r="AH40" s="1292"/>
      <c r="AI40" s="1292"/>
      <c r="AJ40" s="1292"/>
      <c r="AK40" s="1292"/>
      <c r="AL40" s="1292"/>
      <c r="AM40" s="1292"/>
      <c r="AN40" s="1292"/>
      <c r="AO40" s="1292"/>
      <c r="AP40" s="1292"/>
      <c r="AQ40" s="1292"/>
      <c r="AR40" s="1292"/>
      <c r="AS40" s="1292"/>
      <c r="AT40" s="1292"/>
      <c r="AU40" s="1292"/>
      <c r="AV40" s="1292"/>
      <c r="AW40" s="1292"/>
      <c r="AX40" s="1292"/>
      <c r="AY40" s="1292"/>
      <c r="AZ40" s="1292"/>
      <c r="BA40" s="1292"/>
      <c r="BB40" s="1292"/>
      <c r="BC40" s="1292"/>
      <c r="BD40" s="1292"/>
      <c r="BE40" s="1293"/>
      <c r="BF40" s="6"/>
      <c r="BH40" s="160">
        <f>IF(Q40=0,4,IF(W40=0,0,IF(Q40="","",IF(W40&lt;=Q40,1,IF(W40&gt;Q40*1.1,3,2)))))</f>
        <v>1</v>
      </c>
      <c r="BI40" s="54" t="s">
        <v>292</v>
      </c>
      <c r="BJ40" s="1313" t="s">
        <v>733</v>
      </c>
      <c r="BK40" s="1116"/>
      <c r="BL40" s="1116"/>
      <c r="BM40" s="1116"/>
      <c r="BN40" s="1116"/>
      <c r="BO40" s="1116"/>
      <c r="BP40" s="1116"/>
      <c r="BQ40" s="1116"/>
      <c r="BR40" s="1116"/>
      <c r="BS40" s="1116"/>
      <c r="BT40" s="1116"/>
      <c r="BU40" s="1116"/>
      <c r="BV40" s="270"/>
      <c r="BW40" s="6"/>
      <c r="BX40" s="6"/>
      <c r="BY40" s="270"/>
      <c r="BZ40" s="270"/>
      <c r="CA40" s="270"/>
      <c r="CB40" s="270"/>
      <c r="CC40" s="270"/>
      <c r="CE40" s="6"/>
    </row>
    <row r="41" spans="1:89" ht="66" customHeight="1">
      <c r="B41" s="1177" t="s">
        <v>724</v>
      </c>
      <c r="C41" s="1178"/>
      <c r="D41" s="1178"/>
      <c r="E41" s="1178"/>
      <c r="F41" s="1178"/>
      <c r="G41" s="1178"/>
      <c r="H41" s="1178"/>
      <c r="I41" s="1178"/>
      <c r="J41" s="1178"/>
      <c r="K41" s="1125">
        <f>SUMIF(AP!$BJ$83:$BJ$94,Cover!$M$36,AP!$BN$83:$BN$94)</f>
        <v>0.95900857959961872</v>
      </c>
      <c r="L41" s="1125"/>
      <c r="M41" s="1125"/>
      <c r="N41" s="1125">
        <f>SUMIF(AP!$BK$83:$BK$94,Cover!$M$35,AP!$BO$83:$BO$94)</f>
        <v>0.87297106563161631</v>
      </c>
      <c r="O41" s="1125"/>
      <c r="P41" s="1125"/>
      <c r="Q41" s="1302">
        <f>SUMIF(AP!$BJ$83:$BJ$94,Cover!$M$36,AP!$BU$83:$BU$94)</f>
        <v>0.9</v>
      </c>
      <c r="R41" s="1302"/>
      <c r="S41" s="1302"/>
      <c r="T41" s="1125">
        <f>IF(Cover!$M$36=1,SUMIF($BJ$83:$BJ$94,12,$BN$83:$BN$94),SUMIF(AP!$BJ$83:$BJ$94,Cover!$M$36-1,AP!$BS$83:$BS$94))</f>
        <v>0.97965571205007818</v>
      </c>
      <c r="U41" s="1125"/>
      <c r="V41" s="1125"/>
      <c r="W41" s="1125">
        <f>SUMIF(AP!$BJ$83:$BJ$94,Cover!$M$36,AP!$BS$83:$BS$94)</f>
        <v>0.87596899224806202</v>
      </c>
      <c r="X41" s="1125"/>
      <c r="Y41" s="1125"/>
      <c r="Z41" s="1125">
        <f>SUMIF(AP!$BK$83:$BK$94,Cover!$M$35,AP!$BT$83:$BT$94)</f>
        <v>0.87596899224806202</v>
      </c>
      <c r="AA41" s="1125"/>
      <c r="AB41" s="1125"/>
      <c r="AC41" s="1282" t="s">
        <v>786</v>
      </c>
      <c r="AD41" s="1283"/>
      <c r="AE41" s="1283"/>
      <c r="AF41" s="1283"/>
      <c r="AG41" s="1283"/>
      <c r="AH41" s="1283"/>
      <c r="AI41" s="1283"/>
      <c r="AJ41" s="1283"/>
      <c r="AK41" s="1283"/>
      <c r="AL41" s="1283"/>
      <c r="AM41" s="1283"/>
      <c r="AN41" s="1283"/>
      <c r="AO41" s="1283"/>
      <c r="AP41" s="1283"/>
      <c r="AQ41" s="1283"/>
      <c r="AR41" s="1283"/>
      <c r="AS41" s="1283"/>
      <c r="AT41" s="1283"/>
      <c r="AU41" s="1283"/>
      <c r="AV41" s="1283"/>
      <c r="AW41" s="1283"/>
      <c r="AX41" s="1283"/>
      <c r="AY41" s="1283"/>
      <c r="AZ41" s="1283"/>
      <c r="BA41" s="1283"/>
      <c r="BB41" s="1283"/>
      <c r="BC41" s="1283"/>
      <c r="BD41" s="1283"/>
      <c r="BE41" s="1284"/>
      <c r="BH41" s="160">
        <f>IF(Q41=0,4,IF(W41=0,0,IF(Q41="","",IF(W41&gt;=Q41,1,IF(W41&lt;Q41*0.9,3,2)))))</f>
        <v>2</v>
      </c>
      <c r="BI41" s="54" t="s">
        <v>296</v>
      </c>
      <c r="BJ41" s="287" t="s">
        <v>410</v>
      </c>
      <c r="BK41" s="287"/>
      <c r="BL41" s="287"/>
      <c r="BM41" s="287"/>
      <c r="BN41" s="287"/>
      <c r="BO41" s="287"/>
      <c r="BP41" s="287"/>
      <c r="BQ41" s="287"/>
      <c r="BR41" s="287"/>
      <c r="BS41" s="287"/>
      <c r="BT41" s="287"/>
      <c r="BU41" s="287"/>
      <c r="BW41" s="270"/>
      <c r="BX41" s="270"/>
    </row>
    <row r="42" spans="1:89" ht="66" customHeight="1" thickBot="1">
      <c r="B42" s="1126" t="s">
        <v>722</v>
      </c>
      <c r="C42" s="1298"/>
      <c r="D42" s="1298"/>
      <c r="E42" s="1298"/>
      <c r="F42" s="1298"/>
      <c r="G42" s="1298"/>
      <c r="H42" s="1298"/>
      <c r="I42" s="1298"/>
      <c r="J42" s="1298"/>
      <c r="K42" s="1303">
        <f>SUMIF(AP!$BJ$102:$BJ$113,Cover!$M$36,AP!$BQ$102:$BQ$113)</f>
        <v>9.043640606767795</v>
      </c>
      <c r="L42" s="1303"/>
      <c r="M42" s="1303"/>
      <c r="N42" s="1303">
        <f>SUMIF(AP!$BK$102:$BK$113,Cover!$M$35,AP!$BR$102:$BR$113)</f>
        <v>6.5483783637446527</v>
      </c>
      <c r="O42" s="1303"/>
      <c r="P42" s="1303"/>
      <c r="Q42" s="1323">
        <f>SUMIF(AP!$BJ$102:$BJ$113,Cover!$M$36,AP!$CA$102:$CA$113)</f>
        <v>7</v>
      </c>
      <c r="R42" s="1323"/>
      <c r="S42" s="1323"/>
      <c r="T42" s="1303">
        <f>IF(Cover!$M$36=1,SUMIF($BJ$102:$BJ$113,12,$BQ$102:$BQ$113),SUMIF(AP!$BJ$102:$BJ$113,Cover!$M$36-1,AP!$BY$102:$BY$113))</f>
        <v>8.3269726663228472</v>
      </c>
      <c r="U42" s="1303"/>
      <c r="V42" s="1303"/>
      <c r="W42" s="1303">
        <f>SUMIF(AP!$BJ$102:$BJ$113,Cover!$M$36,AP!$BY$102:$BY$113)</f>
        <v>5.6634675568537451</v>
      </c>
      <c r="X42" s="1303"/>
      <c r="Y42" s="1303"/>
      <c r="Z42" s="1299">
        <f>SUMIF(AP!$BK$102:$BK$113,Cover!$M$35,AP!$BZ$102:$BZ$113)</f>
        <v>5.6634675568537451</v>
      </c>
      <c r="AA42" s="1299"/>
      <c r="AB42" s="1299"/>
      <c r="AC42" s="1317" t="s">
        <v>787</v>
      </c>
      <c r="AD42" s="1318"/>
      <c r="AE42" s="1318"/>
      <c r="AF42" s="1318"/>
      <c r="AG42" s="1318"/>
      <c r="AH42" s="1318"/>
      <c r="AI42" s="1318"/>
      <c r="AJ42" s="1318"/>
      <c r="AK42" s="1318"/>
      <c r="AL42" s="1318"/>
      <c r="AM42" s="1318"/>
      <c r="AN42" s="1318"/>
      <c r="AO42" s="1318"/>
      <c r="AP42" s="1318"/>
      <c r="AQ42" s="1318"/>
      <c r="AR42" s="1318"/>
      <c r="AS42" s="1318"/>
      <c r="AT42" s="1318"/>
      <c r="AU42" s="1318"/>
      <c r="AV42" s="1318"/>
      <c r="AW42" s="1318"/>
      <c r="AX42" s="1318"/>
      <c r="AY42" s="1318"/>
      <c r="AZ42" s="1318"/>
      <c r="BA42" s="1318"/>
      <c r="BB42" s="1318"/>
      <c r="BC42" s="1318"/>
      <c r="BD42" s="1318"/>
      <c r="BE42" s="1319"/>
      <c r="BH42" s="160">
        <f>IF(Q42=0,4,IF(W42=0,0,IF(Q42="","",IF(W42&gt;=Q42,1,IF(W42&lt;Q42*0.9,3,2)))))</f>
        <v>3</v>
      </c>
      <c r="BI42" s="54" t="s">
        <v>300</v>
      </c>
      <c r="BJ42" s="287" t="s">
        <v>411</v>
      </c>
      <c r="BK42" s="287"/>
      <c r="BL42" s="287"/>
      <c r="BM42" s="287"/>
      <c r="BN42" s="287"/>
      <c r="BO42" s="287"/>
      <c r="BP42" s="287"/>
      <c r="BQ42" s="287"/>
      <c r="BR42" s="287"/>
      <c r="BS42" s="287"/>
      <c r="BT42" s="287"/>
      <c r="BU42" s="287"/>
      <c r="BY42" s="270"/>
      <c r="BZ42" s="270"/>
      <c r="CA42" s="270"/>
      <c r="CB42" s="270"/>
      <c r="CC42" s="270"/>
    </row>
    <row r="43" spans="1:89" ht="66" customHeight="1" thickBot="1">
      <c r="A43"/>
      <c r="B43" s="1177" t="s">
        <v>725</v>
      </c>
      <c r="C43" s="1178"/>
      <c r="D43" s="1178"/>
      <c r="E43" s="1178"/>
      <c r="F43" s="1178"/>
      <c r="G43" s="1178"/>
      <c r="H43" s="1178"/>
      <c r="I43" s="1178"/>
      <c r="J43" s="1178"/>
      <c r="K43" s="1215">
        <f>SUMIF(AP!$BJ$122:$BJ$133,Cover!$M$36,AP!$BN$122:$BN$133)</f>
        <v>0.75028636884306987</v>
      </c>
      <c r="L43" s="1215"/>
      <c r="M43" s="1215"/>
      <c r="N43" s="1215">
        <f>SUMIF(AP!$BK$122:$BK$133,Cover!$M$35,AP!$BO$122:$BO$133)</f>
        <v>0.87449392712550611</v>
      </c>
      <c r="O43" s="1215"/>
      <c r="P43" s="1215"/>
      <c r="Q43" s="1302">
        <f>SUMIF(AP!$BJ$122:$BJ$133,Cover!$M$36,AP!$BU$122:$BU$133)</f>
        <v>0.9</v>
      </c>
      <c r="R43" s="1302"/>
      <c r="S43" s="1302"/>
      <c r="T43" s="1215">
        <f>IF(Cover!$M$36=1,SUMIF($BJ$122:$BJ$133,12,$BN$122:$BN$133),SUMIF(AP!$BJ$122:$BJ$133,Cover!$M$36-1,AP!$BS$122:$BS$133))</f>
        <v>0.80516431924882625</v>
      </c>
      <c r="U43" s="1215"/>
      <c r="V43" s="1215"/>
      <c r="W43" s="1215">
        <f>SUMIF(AP!$BJ$122:$BJ$133,Cover!$M$36,AP!$BS$122:$BS$133)</f>
        <v>0.84243697478991608</v>
      </c>
      <c r="X43" s="1215"/>
      <c r="Y43" s="1215"/>
      <c r="Z43" s="1215">
        <f>SUMIF(AP!$BK$122:$BK$133,Cover!$M$35,AP!$BT$122:$BT$133)</f>
        <v>0.84243697478991608</v>
      </c>
      <c r="AA43" s="1215"/>
      <c r="AB43" s="1215"/>
      <c r="AC43" s="1282" t="s">
        <v>788</v>
      </c>
      <c r="AD43" s="1283"/>
      <c r="AE43" s="1283"/>
      <c r="AF43" s="1283"/>
      <c r="AG43" s="1283"/>
      <c r="AH43" s="1283"/>
      <c r="AI43" s="1283"/>
      <c r="AJ43" s="1283"/>
      <c r="AK43" s="1283"/>
      <c r="AL43" s="1283"/>
      <c r="AM43" s="1283"/>
      <c r="AN43" s="1283"/>
      <c r="AO43" s="1283"/>
      <c r="AP43" s="1283"/>
      <c r="AQ43" s="1283"/>
      <c r="AR43" s="1283"/>
      <c r="AS43" s="1283"/>
      <c r="AT43" s="1283"/>
      <c r="AU43" s="1283"/>
      <c r="AV43" s="1283"/>
      <c r="AW43" s="1283"/>
      <c r="AX43" s="1283"/>
      <c r="AY43" s="1283"/>
      <c r="AZ43" s="1283"/>
      <c r="BA43" s="1283"/>
      <c r="BB43" s="1283"/>
      <c r="BC43" s="1283"/>
      <c r="BD43" s="1283"/>
      <c r="BE43" s="1284"/>
      <c r="BF43"/>
      <c r="BH43" s="160">
        <f>IF(Q43=0,4,IF(W43=0,0,IF(Q43="","",IF(W43&gt;=Q43,1,IF(W43&lt;Q43*0.9,3,2)))))</f>
        <v>2</v>
      </c>
      <c r="BI43" s="277"/>
      <c r="BJ43" s="277"/>
      <c r="BK43" s="277"/>
      <c r="BL43" s="1148" t="s">
        <v>302</v>
      </c>
      <c r="BM43" s="1149"/>
      <c r="BN43" s="1149"/>
      <c r="BO43" s="1149"/>
      <c r="BP43" s="1151"/>
      <c r="BQ43" s="1148" t="s">
        <v>719</v>
      </c>
      <c r="BR43" s="1149"/>
      <c r="BS43" s="1149"/>
      <c r="BT43" s="1149"/>
      <c r="BU43" s="1150"/>
      <c r="BW43" s="1148" t="s">
        <v>303</v>
      </c>
      <c r="BX43" s="1149"/>
      <c r="BY43" s="1149"/>
      <c r="BZ43" s="1149"/>
      <c r="CA43" s="1149"/>
      <c r="CB43" s="1149"/>
      <c r="CC43" s="1150"/>
    </row>
    <row r="44" spans="1:89" ht="66" customHeight="1">
      <c r="B44" s="1179" t="s">
        <v>779</v>
      </c>
      <c r="C44" s="1180"/>
      <c r="D44" s="1180"/>
      <c r="E44" s="1180"/>
      <c r="F44" s="1180"/>
      <c r="G44" s="1180"/>
      <c r="H44" s="1180"/>
      <c r="I44" s="1180"/>
      <c r="J44" s="1180"/>
      <c r="K44" s="1315">
        <f>SUMIF(AP!$BJ$141:$BJ$152,Cover!$M$36,AP!$BN$141:$BN$152)</f>
        <v>0.19402468145609653</v>
      </c>
      <c r="L44" s="1315"/>
      <c r="M44" s="1315"/>
      <c r="N44" s="1315">
        <f>SUMIF(AP!$BK$141:$BK$152,Cover!$M$35,AP!$BO$141:$BO$152)</f>
        <v>0.13848671165805776</v>
      </c>
      <c r="O44" s="1315"/>
      <c r="P44" s="1315"/>
      <c r="Q44" s="1316">
        <f>SUMIF(AP!$BJ$141:$BJ$152,Cover!$M$36,AP!$BU$141:$BU$152)</f>
        <v>0.15</v>
      </c>
      <c r="R44" s="1316"/>
      <c r="S44" s="1316"/>
      <c r="T44" s="1315">
        <f>IF(Cover!$M$36=1,SUMIF($BJ$141:$BJ$152,12,$BN$141:$BN$152),SUMIF(AP!$BJ$141:$BJ$152,Cover!$M$36-1,AP!$BS$141:$BS$152))</f>
        <v>4.1739836731112923E-2</v>
      </c>
      <c r="U44" s="1315"/>
      <c r="V44" s="1315"/>
      <c r="W44" s="1315">
        <f>SUMIF(AP!$BJ$141:$BJ$152,Cover!$M$36,AP!$BS$141:$BS$152)</f>
        <v>0.19428713744288234</v>
      </c>
      <c r="X44" s="1315"/>
      <c r="Y44" s="1315"/>
      <c r="Z44" s="1315">
        <f>SUMIF(AP!$BK$141:$BK$152,Cover!$M$35,AP!$BT$141:$BT$152)</f>
        <v>0.19428713744288234</v>
      </c>
      <c r="AA44" s="1315"/>
      <c r="AB44" s="1315"/>
      <c r="AC44" s="1320" t="s">
        <v>789</v>
      </c>
      <c r="AD44" s="1321"/>
      <c r="AE44" s="1321"/>
      <c r="AF44" s="1321"/>
      <c r="AG44" s="1321"/>
      <c r="AH44" s="1321"/>
      <c r="AI44" s="1321"/>
      <c r="AJ44" s="1321"/>
      <c r="AK44" s="1321"/>
      <c r="AL44" s="1321"/>
      <c r="AM44" s="1321"/>
      <c r="AN44" s="1321"/>
      <c r="AO44" s="1321"/>
      <c r="AP44" s="1321"/>
      <c r="AQ44" s="1321"/>
      <c r="AR44" s="1321"/>
      <c r="AS44" s="1321"/>
      <c r="AT44" s="1321"/>
      <c r="AU44" s="1321"/>
      <c r="AV44" s="1321"/>
      <c r="AW44" s="1321"/>
      <c r="AX44" s="1321"/>
      <c r="AY44" s="1321"/>
      <c r="AZ44" s="1321"/>
      <c r="BA44" s="1321"/>
      <c r="BB44" s="1321"/>
      <c r="BC44" s="1321"/>
      <c r="BD44" s="1321"/>
      <c r="BE44" s="1322"/>
      <c r="BH44" s="160">
        <f>IF(Q44=0,4,IF(W44=0,0,IF(Q44="","",IF(W44&gt;=Q44,1,IF(W44&lt;Q44*0.9,3,2)))))</f>
        <v>1</v>
      </c>
      <c r="BI44" s="636" t="s">
        <v>23</v>
      </c>
      <c r="BJ44" s="636" t="s">
        <v>37</v>
      </c>
      <c r="BK44" s="636" t="s">
        <v>304</v>
      </c>
      <c r="BL44" s="637" t="s">
        <v>305</v>
      </c>
      <c r="BM44" s="637" t="s">
        <v>310</v>
      </c>
      <c r="BN44" s="637" t="s">
        <v>311</v>
      </c>
      <c r="BO44" s="278" t="s">
        <v>312</v>
      </c>
      <c r="BP44" s="637" t="s">
        <v>313</v>
      </c>
      <c r="BQ44" s="637" t="s">
        <v>305</v>
      </c>
      <c r="BR44" s="637" t="s">
        <v>715</v>
      </c>
      <c r="BS44" s="637" t="s">
        <v>716</v>
      </c>
      <c r="BT44" s="278" t="s">
        <v>717</v>
      </c>
      <c r="BU44" s="637" t="s">
        <v>718</v>
      </c>
      <c r="BW44" s="279" t="s">
        <v>314</v>
      </c>
      <c r="BX44" s="279" t="s">
        <v>23</v>
      </c>
      <c r="BY44" s="280" t="s">
        <v>315</v>
      </c>
      <c r="BZ44" s="279" t="s">
        <v>122</v>
      </c>
      <c r="CA44" s="279" t="s">
        <v>316</v>
      </c>
      <c r="CB44" s="279" t="s">
        <v>317</v>
      </c>
      <c r="CC44" s="279" t="s">
        <v>318</v>
      </c>
    </row>
    <row r="45" spans="1:89" ht="15" customHeight="1">
      <c r="B45" s="336"/>
      <c r="C45" s="336"/>
      <c r="D45" s="336"/>
      <c r="E45" s="336"/>
      <c r="F45" s="336"/>
      <c r="G45" s="336"/>
      <c r="H45" s="336"/>
      <c r="I45" s="336"/>
      <c r="J45" s="336"/>
      <c r="K45" s="336"/>
      <c r="L45" s="336"/>
      <c r="M45" s="336"/>
      <c r="N45" s="336"/>
      <c r="O45" s="336"/>
      <c r="P45" s="336"/>
      <c r="Q45" s="336"/>
      <c r="R45" s="336"/>
      <c r="S45" s="336"/>
      <c r="T45" s="336"/>
      <c r="U45" s="336"/>
      <c r="V45" s="336"/>
      <c r="W45" s="336"/>
      <c r="X45" s="336"/>
      <c r="Y45" s="336"/>
      <c r="Z45" s="336"/>
      <c r="AA45" s="336"/>
      <c r="AB45" s="336"/>
      <c r="AC45" s="336"/>
      <c r="AD45" s="336"/>
      <c r="AE45" s="336"/>
      <c r="AF45" s="336"/>
      <c r="AG45" s="336"/>
      <c r="AH45" s="336"/>
      <c r="AI45" s="336"/>
      <c r="AJ45" s="336"/>
      <c r="AK45" s="336"/>
      <c r="AL45" s="336"/>
      <c r="AM45" s="336"/>
      <c r="AN45" s="336"/>
      <c r="AO45" s="336"/>
      <c r="AP45" s="336"/>
      <c r="AQ45" s="336"/>
      <c r="AR45" s="336"/>
      <c r="AS45" s="336"/>
      <c r="AT45" s="336"/>
      <c r="AU45" s="336"/>
      <c r="AV45" s="336"/>
      <c r="AW45" s="336"/>
      <c r="AX45" s="336"/>
      <c r="AY45" s="336"/>
      <c r="AZ45" s="336"/>
      <c r="BA45" s="336"/>
      <c r="BB45" s="336"/>
      <c r="BC45" s="336"/>
      <c r="BD45" s="336"/>
      <c r="BE45" s="336"/>
      <c r="BI45" s="638" t="s">
        <v>319</v>
      </c>
      <c r="BJ45" s="638">
        <v>1</v>
      </c>
      <c r="BK45" s="638" t="s">
        <v>320</v>
      </c>
      <c r="BL45" s="822">
        <v>3.91</v>
      </c>
      <c r="BM45" s="689">
        <v>4.1150000000000002</v>
      </c>
      <c r="BN45" s="653">
        <f>IF(BM45="","",BL45/BM45)</f>
        <v>0.95018226002430128</v>
      </c>
      <c r="BO45" s="289">
        <f>IF(SUM(BM45:BM47=0),0,SUM(BL45:BL47)/SUM(BM45:BM47))</f>
        <v>0.9522222222222223</v>
      </c>
      <c r="BP45" s="657">
        <v>0.9</v>
      </c>
      <c r="BQ45" s="822">
        <v>3.77</v>
      </c>
      <c r="BR45" s="689">
        <v>4.0519999999999996</v>
      </c>
      <c r="BS45" s="653">
        <f>IF(BR45="","",BQ45/BR45)</f>
        <v>0.93040473840078985</v>
      </c>
      <c r="BT45" s="289">
        <f>IF(SUM(BR45:BR47=0),0,SUM(BQ45:BQ47)/SUM(BR45:BR47))</f>
        <v>0.93040473840078985</v>
      </c>
      <c r="BU45" s="657">
        <v>0.9</v>
      </c>
      <c r="BV45" s="6"/>
      <c r="BX45" s="666" t="str">
        <f t="shared" ref="BX45:BX56" si="12">TEXT(CONCATENATE(CC45,"/01/20",CB45),"MMM")</f>
        <v>Oct</v>
      </c>
      <c r="BY45" s="643">
        <f>IF(CB45=$CB57,SUMIF($BI45:$BI56,$BX45,$BR45:$BR56),SUMIF($BI45:$BI56,$BX45,$BM45:$BM56))</f>
        <v>4.1150000000000002</v>
      </c>
      <c r="BZ45" s="657">
        <f>IF(IF(CB45=CB57,SUMIF(BI45:BI56,$BX45,BU45:BU56),SUMIF(BI45:BI56,$BX45,BP45:BP56))=0,NA(),IF(CB45=CB57,SUMIF(BI45:BI56,$BX45,BU45:BU56),SUMIF(BI45:BI56,$BX45,BP45:BP56)))</f>
        <v>0.9</v>
      </c>
      <c r="CA45" s="644">
        <f>IF(IF(CB45=CB57,SUMIF(BI45:BI56,$BX45,BS45:BS56),SUMIF(BI45:BI56,$BX45,BN45:BN56))=0,NA(),IF(CB45=CB57,SUMIF(BI45:BI56,$BX45,BS45:BS56),SUMIF(BI45:BI56,$BX45,BN45:BN56)))</f>
        <v>0.95018226002430128</v>
      </c>
      <c r="CB45" s="645">
        <f t="shared" ref="CB45:CB57" si="13">CJ26</f>
        <v>23</v>
      </c>
      <c r="CC45" s="645">
        <f t="shared" ref="CC45:CC55" si="14">IF(CC46-1&lt;1,CC46+11,CC46-1)</f>
        <v>10</v>
      </c>
    </row>
    <row r="46" spans="1:89" ht="15" customHeight="1">
      <c r="B46" s="531" t="s">
        <v>350</v>
      </c>
      <c r="C46" s="533"/>
      <c r="D46" s="533"/>
      <c r="E46" s="533"/>
      <c r="F46" s="533"/>
      <c r="G46" s="532"/>
      <c r="H46" s="532"/>
      <c r="I46" s="532"/>
      <c r="J46" s="532"/>
      <c r="K46" s="532"/>
      <c r="L46" s="539"/>
      <c r="M46" s="533"/>
      <c r="N46" s="533"/>
      <c r="O46" s="532"/>
      <c r="P46" s="532"/>
      <c r="Q46" s="532"/>
      <c r="R46" s="532"/>
      <c r="S46" s="532"/>
      <c r="T46" s="532"/>
      <c r="U46" s="532"/>
      <c r="V46" s="532"/>
      <c r="W46" s="532"/>
      <c r="X46" s="532"/>
      <c r="Y46" s="532"/>
      <c r="Z46" s="532"/>
      <c r="AA46" s="532"/>
      <c r="AB46" s="532"/>
      <c r="AC46" s="532"/>
      <c r="AD46" s="532"/>
      <c r="AE46" s="532"/>
      <c r="AF46" s="532"/>
      <c r="AG46" s="532"/>
      <c r="AH46" s="532"/>
      <c r="AI46" s="532"/>
      <c r="AJ46" s="532"/>
      <c r="AK46" s="532"/>
      <c r="AL46" s="532"/>
      <c r="AM46" s="532"/>
      <c r="AN46" s="532"/>
      <c r="AO46" s="532"/>
      <c r="AP46" s="532"/>
      <c r="AQ46" s="532"/>
      <c r="AR46" s="532"/>
      <c r="AS46" s="532"/>
      <c r="AT46" s="532"/>
      <c r="AU46" s="532"/>
      <c r="AV46" s="532"/>
      <c r="AW46" s="532"/>
      <c r="AX46" s="532"/>
      <c r="AY46" s="532"/>
      <c r="AZ46" s="532"/>
      <c r="BA46" s="532"/>
      <c r="BB46" s="532"/>
      <c r="BC46" s="532"/>
      <c r="BD46" s="532"/>
      <c r="BE46" s="532"/>
      <c r="BI46" s="638" t="s">
        <v>321</v>
      </c>
      <c r="BJ46" s="638">
        <v>2</v>
      </c>
      <c r="BK46" s="638" t="s">
        <v>320</v>
      </c>
      <c r="BL46" s="822">
        <v>3.3570000000000002</v>
      </c>
      <c r="BM46" s="689">
        <v>3.5259999999999998</v>
      </c>
      <c r="BN46" s="653">
        <f t="shared" ref="BN46:BN56" si="15">IF(BM46="","",BL46/BM46)</f>
        <v>0.9520703346568351</v>
      </c>
      <c r="BO46" s="290"/>
      <c r="BP46" s="657">
        <v>0.9</v>
      </c>
      <c r="BQ46" s="822"/>
      <c r="BR46" s="689"/>
      <c r="BS46" s="653" t="str">
        <f t="shared" ref="BS46:BS56" si="16">IF(BR46="","",BQ46/BR46)</f>
        <v/>
      </c>
      <c r="BT46" s="290"/>
      <c r="BU46" s="657">
        <v>0.9</v>
      </c>
      <c r="BV46" s="6"/>
      <c r="BX46" s="666" t="str">
        <f t="shared" si="12"/>
        <v>Nov</v>
      </c>
      <c r="BY46" s="643">
        <f>IF(CB46=$CB57,SUMIF($BI45:$BI56,$BX46,$BR45:$BR56),SUMIF($BI45:$BI56,$BX46,$BM45:$BM56))</f>
        <v>3.5259999999999998</v>
      </c>
      <c r="BZ46" s="657">
        <f>IF(IF(CB46=CB57,SUMIF(BI45:BI56,$BX46,BU45:BU56),SUMIF(BI45:BI56,$BX46,BP45:BP56))=0,NA(),IF(CB46=CB57,SUMIF(BI45:BI56,$BX46,BU45:BU56),SUMIF(BI45:BI56,$BX46,BP45:BP56)))</f>
        <v>0.9</v>
      </c>
      <c r="CA46" s="644">
        <f>IF(IF(CB46=CB57,SUMIF(BI45:BI56,$BX46,BS45:BS56),SUMIF(BI45:BI56,$BX46,BN45:BN56))=0,NA(),IF(CB46=CB57,SUMIF(BI45:BI56,$BX46,BS45:BS56),SUMIF(BI45:BI56,$BX46,BN45:BN56)))</f>
        <v>0.9520703346568351</v>
      </c>
      <c r="CB46" s="645">
        <f t="shared" si="13"/>
        <v>23</v>
      </c>
      <c r="CC46" s="645">
        <f t="shared" si="14"/>
        <v>11</v>
      </c>
    </row>
    <row r="47" spans="1:89" ht="15" customHeight="1">
      <c r="F47" s="337"/>
      <c r="G47" s="338"/>
      <c r="BI47" s="638" t="s">
        <v>322</v>
      </c>
      <c r="BJ47" s="638">
        <v>3</v>
      </c>
      <c r="BK47" s="638" t="s">
        <v>320</v>
      </c>
      <c r="BL47" s="822">
        <v>3.8740000000000001</v>
      </c>
      <c r="BM47" s="689">
        <v>4.0590000000000002</v>
      </c>
      <c r="BN47" s="653">
        <f t="shared" si="15"/>
        <v>0.95442227149544223</v>
      </c>
      <c r="BO47" s="290"/>
      <c r="BP47" s="657">
        <v>0.9</v>
      </c>
      <c r="BQ47" s="822"/>
      <c r="BR47" s="689"/>
      <c r="BS47" s="653" t="str">
        <f t="shared" si="16"/>
        <v/>
      </c>
      <c r="BT47" s="290"/>
      <c r="BU47" s="657">
        <v>0.9</v>
      </c>
      <c r="BV47" s="6"/>
      <c r="BX47" s="666" t="str">
        <f t="shared" si="12"/>
        <v>Dec</v>
      </c>
      <c r="BY47" s="643">
        <f>IF(CB47=$CB57,SUMIF($BI45:$BI56,$BX47,$BR45:$BR56),SUMIF($BI45:$BI56,$BX47,$BM45:$BM56))</f>
        <v>4.0590000000000002</v>
      </c>
      <c r="BZ47" s="657">
        <f>IF(IF(CB47=CB57,SUMIF(BI45:BI56,$BX47,BU45:BU56),SUMIF(BI45:BI56,$BX47,BP45:BP56))=0,NA(),IF(CB47=CB57,SUMIF(BI45:BI56,$BX47,BU45:BU56),SUMIF(BI45:BI56,$BX47,BP45:BP56)))</f>
        <v>0.9</v>
      </c>
      <c r="CA47" s="644">
        <f>IF(IF(CB47=CB57,SUMIF(BI45:BI56,$BX47,BS45:BS56),SUMIF(BI45:BI56,$BX47,BN45:BN56))=0,NA(),IF(CB47=CB57,SUMIF(BI45:BI56,$BX47,BS45:BS56),SUMIF(BI45:BI56,$BX47,BN45:BN56)))</f>
        <v>0.95442227149544223</v>
      </c>
      <c r="CB47" s="645">
        <f t="shared" si="13"/>
        <v>23</v>
      </c>
      <c r="CC47" s="645">
        <f t="shared" si="14"/>
        <v>12</v>
      </c>
    </row>
    <row r="48" spans="1:89" ht="15" customHeight="1">
      <c r="B48" s="1188"/>
      <c r="C48" s="1188"/>
      <c r="D48" s="1188"/>
      <c r="E48" s="1188"/>
      <c r="F48" s="337"/>
      <c r="G48" s="338"/>
      <c r="BI48" s="638" t="s">
        <v>323</v>
      </c>
      <c r="BJ48" s="638">
        <v>4</v>
      </c>
      <c r="BK48" s="638" t="s">
        <v>324</v>
      </c>
      <c r="BL48" s="822">
        <v>2.8610000000000002</v>
      </c>
      <c r="BM48" s="689">
        <v>3.0190000000000001</v>
      </c>
      <c r="BN48" s="653">
        <f t="shared" si="15"/>
        <v>0.9476647896654522</v>
      </c>
      <c r="BO48" s="289">
        <f>IF(SUM(BM48:BM50=0),0,SUM(BL48:BL50)/SUM(BM48:BM50))</f>
        <v>0.95784780626203281</v>
      </c>
      <c r="BP48" s="657">
        <v>0.9</v>
      </c>
      <c r="BQ48" s="822"/>
      <c r="BR48" s="689"/>
      <c r="BS48" s="653" t="str">
        <f t="shared" si="16"/>
        <v/>
      </c>
      <c r="BT48" s="289">
        <f>IF(SUM(BR48:BR50=0),0,SUM(BQ48:BQ50)/SUM(BR48:BR50))</f>
        <v>0</v>
      </c>
      <c r="BU48" s="657">
        <v>0.9</v>
      </c>
      <c r="BV48" s="6"/>
      <c r="BX48" s="666" t="str">
        <f t="shared" si="12"/>
        <v>Jan</v>
      </c>
      <c r="BY48" s="643">
        <f>IF(CB48=$CB57,SUMIF($BI45:$BI56,$BX48,$BR45:$BR56),SUMIF($BI45:$BI56,$BX48,$BM45:$BM56))</f>
        <v>3.0190000000000001</v>
      </c>
      <c r="BZ48" s="657">
        <f>IF(IF(CB48=CB57,SUMIF(BI45:BI56,$BX48,BU45:BU56),SUMIF(BI45:BI56,$BX48,BP45:BP56))=0,NA(),IF(CB48=CB57,SUMIF(BI45:BI56,$BX48,BU45:BU56),SUMIF(BI45:BI56,$BX48,BP45:BP56)))</f>
        <v>0.9</v>
      </c>
      <c r="CA48" s="644">
        <f>IF(IF(CB48=CB57,SUMIF(BI45:BI56,$BX48,BS45:BS56),SUMIF(BI45:BI56,$BX48,BN45:BN56))=0,NA(),IF(CB48=CB57,SUMIF(BI45:BI56,$BX48,BS45:BS56),SUMIF(BI45:BI56,$BX48,BN45:BN56)))</f>
        <v>0.9476647896654522</v>
      </c>
      <c r="CB48" s="645">
        <f t="shared" si="13"/>
        <v>23</v>
      </c>
      <c r="CC48" s="645">
        <f t="shared" si="14"/>
        <v>1</v>
      </c>
    </row>
    <row r="49" spans="61:81" ht="15" customHeight="1">
      <c r="BI49" s="638" t="s">
        <v>325</v>
      </c>
      <c r="BJ49" s="638">
        <v>5</v>
      </c>
      <c r="BK49" s="638" t="s">
        <v>324</v>
      </c>
      <c r="BL49" s="690">
        <v>2.8940000000000001</v>
      </c>
      <c r="BM49" s="822">
        <v>3.0579999999999998</v>
      </c>
      <c r="BN49" s="653">
        <f t="shared" si="15"/>
        <v>0.94637017658600397</v>
      </c>
      <c r="BO49" s="290"/>
      <c r="BP49" s="657">
        <v>0.9</v>
      </c>
      <c r="BQ49" s="690"/>
      <c r="BR49" s="822"/>
      <c r="BS49" s="653" t="str">
        <f t="shared" si="16"/>
        <v/>
      </c>
      <c r="BT49" s="290"/>
      <c r="BU49" s="657">
        <v>0.9</v>
      </c>
      <c r="BV49" s="6"/>
      <c r="BX49" s="666" t="str">
        <f t="shared" si="12"/>
        <v>Feb</v>
      </c>
      <c r="BY49" s="643">
        <f>IF(CB49=$CB57,SUMIF($BI45:$BI56,$BX49,$BR45:$BR56),SUMIF($BI45:$BI56,$BX49,$BM45:$BM56))</f>
        <v>3.0579999999999998</v>
      </c>
      <c r="BZ49" s="657">
        <f>IF(IF(CB49=CB57,SUMIF(BI45:BI56,$BX49,BU45:BU56),SUMIF(BI45:BI56,$BX49,BP45:BP56))=0,NA(),IF(CB49=CB57,SUMIF(BI45:BI56,$BX49,BU45:BU56),SUMIF(BI45:BI56,$BX49,BP45:BP56)))</f>
        <v>0.9</v>
      </c>
      <c r="CA49" s="644">
        <f>IF(IF(CB49=CB57,SUMIF(BI45:BI56,$BX49,BS45:BS56),SUMIF(BI45:BI56,$BX49,BN45:BN56))=0,NA(),IF(CB49=CB57,SUMIF(BI45:BI56,$BX49,BS45:BS56),SUMIF(BI45:BI56,$BX49,BN45:BN56)))</f>
        <v>0.94637017658600397</v>
      </c>
      <c r="CB49" s="645">
        <f t="shared" si="13"/>
        <v>23</v>
      </c>
      <c r="CC49" s="645">
        <f t="shared" si="14"/>
        <v>2</v>
      </c>
    </row>
    <row r="50" spans="61:81" ht="15" customHeight="1">
      <c r="BI50" s="638" t="s">
        <v>326</v>
      </c>
      <c r="BJ50" s="638">
        <v>6</v>
      </c>
      <c r="BK50" s="638" t="s">
        <v>324</v>
      </c>
      <c r="BL50" s="690">
        <v>3.698</v>
      </c>
      <c r="BM50" s="822">
        <v>3.7919999999999998</v>
      </c>
      <c r="BN50" s="653">
        <f t="shared" si="15"/>
        <v>0.97521097046413507</v>
      </c>
      <c r="BO50" s="290"/>
      <c r="BP50" s="657">
        <v>0.9</v>
      </c>
      <c r="BQ50" s="690"/>
      <c r="BR50" s="822"/>
      <c r="BS50" s="653" t="str">
        <f t="shared" si="16"/>
        <v/>
      </c>
      <c r="BT50" s="290"/>
      <c r="BU50" s="657">
        <v>0.9</v>
      </c>
      <c r="BV50" s="6"/>
      <c r="BX50" s="666" t="str">
        <f t="shared" si="12"/>
        <v>Mar</v>
      </c>
      <c r="BY50" s="643">
        <f>IF(CB50=$CB57,SUMIF($BI45:$BI56,$BX50,$BR45:$BR56),SUMIF($BI45:$BI56,$BX50,$BM45:$BM56))</f>
        <v>3.7919999999999998</v>
      </c>
      <c r="BZ50" s="657">
        <f>IF(IF(CB50=CB57,SUMIF(BI45:BI56,$BX50,BU45:BU56),SUMIF(BI45:BI56,$BX50,BP45:BP56))=0,NA(),IF(CB50=CB57,SUMIF(BI45:BI56,$BX50,BU45:BU56),SUMIF(BI45:BI56,$BX50,BP45:BP56)))</f>
        <v>0.9</v>
      </c>
      <c r="CA50" s="644">
        <f>IF(IF(CB50=CB57,SUMIF(BI45:BI56,$BX50,BS45:BS56),SUMIF(BI45:BI56,$BX50,BN45:BN56))=0,NA(),IF(CB50=CB57,SUMIF(BI45:BI56,$BX50,BS45:BS56),SUMIF(BI45:BI56,$BX50,BN45:BN56)))</f>
        <v>0.97521097046413507</v>
      </c>
      <c r="CB50" s="645">
        <f t="shared" si="13"/>
        <v>23</v>
      </c>
      <c r="CC50" s="645">
        <f t="shared" si="14"/>
        <v>3</v>
      </c>
    </row>
    <row r="51" spans="61:81" ht="15" customHeight="1">
      <c r="BI51" s="638" t="s">
        <v>327</v>
      </c>
      <c r="BJ51" s="638">
        <v>7</v>
      </c>
      <c r="BK51" s="638" t="s">
        <v>328</v>
      </c>
      <c r="BL51" s="690">
        <v>3.5840000000000001</v>
      </c>
      <c r="BM51" s="822">
        <v>3.738</v>
      </c>
      <c r="BN51" s="653">
        <f t="shared" si="15"/>
        <v>0.95880149812734083</v>
      </c>
      <c r="BO51" s="289">
        <f>IF(SUM(BM51:BM53=0),0,SUM(BL51:BL53)/SUM(BM51:BM53))</f>
        <v>0.91379701808824643</v>
      </c>
      <c r="BP51" s="657">
        <v>0.9</v>
      </c>
      <c r="BQ51" s="690"/>
      <c r="BR51" s="822"/>
      <c r="BS51" s="653" t="str">
        <f t="shared" si="16"/>
        <v/>
      </c>
      <c r="BT51" s="289">
        <f>IF(SUM(BR51:BR53=0),0,SUM(BQ51:BQ53)/SUM(BR51:BR53))</f>
        <v>0</v>
      </c>
      <c r="BU51" s="657">
        <v>0.9</v>
      </c>
      <c r="BV51" s="6"/>
      <c r="BX51" s="666" t="str">
        <f t="shared" si="12"/>
        <v>Apr</v>
      </c>
      <c r="BY51" s="643">
        <f>IF(CB51=$CB57,SUMIF($BI45:$BI56,$BX51,$BR45:$BR56),SUMIF($BI45:$BI56,$BX51,$BM45:$BM56))</f>
        <v>3.738</v>
      </c>
      <c r="BZ51" s="657">
        <f>IF(IF(CB51=CB57,SUMIF(BI45:BI56,$BX51,BU45:BU56),SUMIF(BI45:BI56,$BX51,BP45:BP56))=0,NA(),IF(CB51=CB57,SUMIF(BI45:BI56,$BX51,BU45:BU56),SUMIF(BI45:BI56,$BX51,BP45:BP56)))</f>
        <v>0.9</v>
      </c>
      <c r="CA51" s="644">
        <f>IF(IF(CB51=CB57,SUMIF(BI45:BI56,$BX51,BS45:BS56),SUMIF(BI45:BI56,$BX51,BN45:BN56))=0,NA(),IF(CB51=CB57,SUMIF(BI45:BI56,$BX51,BS45:BS56),SUMIF(BI45:BI56,$BX51,BN45:BN56)))</f>
        <v>0.95880149812734083</v>
      </c>
      <c r="CB51" s="645">
        <f t="shared" si="13"/>
        <v>23</v>
      </c>
      <c r="CC51" s="645">
        <f t="shared" si="14"/>
        <v>4</v>
      </c>
    </row>
    <row r="52" spans="61:81" ht="15" customHeight="1">
      <c r="BI52" s="638" t="s">
        <v>329</v>
      </c>
      <c r="BJ52" s="638">
        <v>8</v>
      </c>
      <c r="BK52" s="638" t="s">
        <v>328</v>
      </c>
      <c r="BL52" s="690">
        <v>3.93</v>
      </c>
      <c r="BM52" s="822">
        <v>4.1890000000000001</v>
      </c>
      <c r="BN52" s="653">
        <f t="shared" si="15"/>
        <v>0.93817140128909049</v>
      </c>
      <c r="BO52" s="290"/>
      <c r="BP52" s="657">
        <v>0.9</v>
      </c>
      <c r="BQ52" s="690"/>
      <c r="BR52" s="822"/>
      <c r="BS52" s="653" t="str">
        <f>IF(BR52="","",BQ52/BR52)</f>
        <v/>
      </c>
      <c r="BT52" s="290"/>
      <c r="BU52" s="657">
        <v>0.9</v>
      </c>
      <c r="BV52" s="6"/>
      <c r="BX52" s="666" t="str">
        <f t="shared" si="12"/>
        <v>May</v>
      </c>
      <c r="BY52" s="643">
        <f>IF(CB52=$CB57,SUMIF($BI45:$BI56,$BX52,$BR45:$BR56),SUMIF($BI45:$BI56,$BX52,$BM45:$BM56))</f>
        <v>4.1890000000000001</v>
      </c>
      <c r="BZ52" s="657">
        <f>IF(IF(CB52=CB57,SUMIF(BI45:BI56,$BX52,BU45:BU56),SUMIF(BI45:BI56,$BX52,BP45:BP56))=0,NA(),IF(CB52=CB57,SUMIF(BI45:BI56,$BX52,BU45:BU56),SUMIF(BI45:BI56,$BX52,BP45:BP56)))</f>
        <v>0.9</v>
      </c>
      <c r="CA52" s="644">
        <f>IF(IF(CB52=CB57,SUMIF(BI45:BI56,$BX52,BS45:BS56),SUMIF(BI45:BI56,$BX52,BN45:BN56))=0,NA(),IF(CB52=CB57,SUMIF(BI45:BI56,$BX52,BS45:BS56),SUMIF(BI45:BI56,$BX52,BN45:BN56)))</f>
        <v>0.93817140128909049</v>
      </c>
      <c r="CB52" s="645">
        <f t="shared" si="13"/>
        <v>23</v>
      </c>
      <c r="CC52" s="645">
        <f t="shared" si="14"/>
        <v>5</v>
      </c>
    </row>
    <row r="53" spans="61:81" ht="15" customHeight="1">
      <c r="BI53" s="638" t="s">
        <v>331</v>
      </c>
      <c r="BJ53" s="638">
        <v>9</v>
      </c>
      <c r="BK53" s="638" t="s">
        <v>328</v>
      </c>
      <c r="BL53" s="690">
        <v>4.5599999999999996</v>
      </c>
      <c r="BM53" s="822">
        <v>5.2859999999999996</v>
      </c>
      <c r="BN53" s="653">
        <f t="shared" si="15"/>
        <v>0.86265607264472188</v>
      </c>
      <c r="BO53" s="290"/>
      <c r="BP53" s="657">
        <v>0.9</v>
      </c>
      <c r="BQ53" s="690"/>
      <c r="BR53" s="822"/>
      <c r="BS53" s="653" t="str">
        <f t="shared" si="16"/>
        <v/>
      </c>
      <c r="BT53" s="290"/>
      <c r="BU53" s="657">
        <v>0.9</v>
      </c>
      <c r="BV53" s="6"/>
      <c r="BX53" s="666" t="str">
        <f t="shared" si="12"/>
        <v>Jun</v>
      </c>
      <c r="BY53" s="643">
        <f>IF(CB53=$CB57,SUMIF($BI45:$BI56,$BX53,$BR45:$BR56),SUMIF($BI45:$BI56,$BX53,$BM45:$BM56))</f>
        <v>5.2859999999999996</v>
      </c>
      <c r="BZ53" s="657">
        <f>IF(IF(CB53=CB57,SUMIF(BI45:BI56,$BX53,BU45:BU56),SUMIF(BI45:BI56,$BX53,BP45:BP56))=0,NA(),IF(CB53=CB57,SUMIF(BI45:BI56,$BX53,BU45:BU56),SUMIF(BI45:BI56,$BX53,BP45:BP56)))</f>
        <v>0.9</v>
      </c>
      <c r="CA53" s="644">
        <f>IF(IF(CB53=CB57,SUMIF(BI45:BI56,$BX53,BS45:BS56),SUMIF(BI45:BI56,$BX53,BN45:BN56))=0,NA(),IF(CB53=CB57,SUMIF(BI45:BI56,$BX53,BS45:BS56),SUMIF(BI45:BI56,$BX53,BN45:BN56)))</f>
        <v>0.86265607264472188</v>
      </c>
      <c r="CB53" s="645">
        <f t="shared" si="13"/>
        <v>23</v>
      </c>
      <c r="CC53" s="645">
        <f t="shared" si="14"/>
        <v>6</v>
      </c>
    </row>
    <row r="54" spans="61:81" ht="15" customHeight="1">
      <c r="BI54" s="638" t="s">
        <v>337</v>
      </c>
      <c r="BJ54" s="638">
        <v>10</v>
      </c>
      <c r="BK54" s="638" t="s">
        <v>338</v>
      </c>
      <c r="BL54" s="690">
        <v>4.3220000000000001</v>
      </c>
      <c r="BM54" s="822">
        <v>4.6079999999999997</v>
      </c>
      <c r="BN54" s="653">
        <f t="shared" si="15"/>
        <v>0.9379340277777779</v>
      </c>
      <c r="BO54" s="289">
        <f>IF(SUM(BM54:BM56=0),0,SUM(BL54:BL56)/SUM(BM54:BM56))</f>
        <v>0.95734470807784589</v>
      </c>
      <c r="BP54" s="657">
        <v>0.9</v>
      </c>
      <c r="BQ54" s="690"/>
      <c r="BR54" s="822"/>
      <c r="BS54" s="653" t="str">
        <f t="shared" si="16"/>
        <v/>
      </c>
      <c r="BT54" s="289">
        <f>IF(SUM(BR54:BR56=0),0,SUM(BQ54:BQ56)/SUM(BR54:BR56))</f>
        <v>0</v>
      </c>
      <c r="BU54" s="657">
        <v>0.9</v>
      </c>
      <c r="BV54" s="6"/>
      <c r="BX54" s="666" t="str">
        <f t="shared" si="12"/>
        <v>Jul</v>
      </c>
      <c r="BY54" s="643">
        <f>IF(CB54=$CB57,SUMIF($BI45:$BI56,$BX54,$BR45:$BR56),SUMIF($BI45:$BI56,$BX54,$BM45:$BM56))</f>
        <v>4.6079999999999997</v>
      </c>
      <c r="BZ54" s="657">
        <f>IF(IF(CB54=CB57,SUMIF(BI45:BI56,$BX54,BU45:BU56),SUMIF(BI45:BI56,$BX54,BP45:BP56))=0,NA(),IF(CB54=CB57,SUMIF(BI45:BI56,$BX54,BU45:BU56),SUMIF(BI45:BI56,$BX54,BP45:BP56)))</f>
        <v>0.9</v>
      </c>
      <c r="CA54" s="644">
        <f>IF(IF(CB54=CB57,SUMIF(BI45:BI56,$BX54,BS45:BS56),SUMIF(BI45:BI56,$BX54,BN45:BN56))=0,NA(),IF(CB54=CB57,SUMIF(BI45:BI56,$BX54,BS45:BS56),SUMIF(BI45:BI56,$BX54,BN45:BN56)))</f>
        <v>0.9379340277777779</v>
      </c>
      <c r="CB54" s="645">
        <f t="shared" si="13"/>
        <v>23</v>
      </c>
      <c r="CC54" s="645">
        <f t="shared" si="14"/>
        <v>7</v>
      </c>
    </row>
    <row r="55" spans="61:81" ht="15" customHeight="1">
      <c r="BI55" s="638" t="s">
        <v>343</v>
      </c>
      <c r="BJ55" s="638">
        <v>11</v>
      </c>
      <c r="BK55" s="638" t="s">
        <v>338</v>
      </c>
      <c r="BL55" s="690">
        <v>4.6369999999999996</v>
      </c>
      <c r="BM55" s="822">
        <v>4.8630000000000004</v>
      </c>
      <c r="BN55" s="653">
        <f t="shared" si="15"/>
        <v>0.9535266296524777</v>
      </c>
      <c r="BO55" s="290"/>
      <c r="BP55" s="657">
        <v>0.9</v>
      </c>
      <c r="BQ55" s="690"/>
      <c r="BR55" s="822"/>
      <c r="BS55" s="653" t="str">
        <f>IF(BR55="","",BQ55/BR55)</f>
        <v/>
      </c>
      <c r="BT55" s="290"/>
      <c r="BU55" s="657">
        <v>0.9</v>
      </c>
      <c r="BV55" s="6"/>
      <c r="BX55" s="666" t="str">
        <f t="shared" si="12"/>
        <v>Aug</v>
      </c>
      <c r="BY55" s="643">
        <f>IF(CB55=$CB57,SUMIF($BI45:$BI56,$BX55,$BR45:$BR56),SUMIF($BI45:$BI56,$BX55,$BM45:$BM56))</f>
        <v>4.8630000000000004</v>
      </c>
      <c r="BZ55" s="657">
        <f>IF(IF(CB55=CB57,SUMIF(BI45:BI56,$BX55,BU45:BU56),SUMIF(BI45:BI56,$BX55,BP45:BP56))=0,NA(),IF(CB55=CB57,SUMIF(BI45:BI56,$BX55,BU45:BU56),SUMIF(BI45:BI56,$BX55,BP45:BP56)))</f>
        <v>0.9</v>
      </c>
      <c r="CA55" s="644">
        <f>IF(IF(CB55=CB57,SUMIF(BI45:BI56,$BX55,BS45:BS56),SUMIF(BI45:BI56,$BX55,BN45:BN56))=0,NA(),IF(CB55=CB57,SUMIF(BI45:BI56,$BX55,BS45:BS56),SUMIF(BI45:BI56,$BX55,BN45:BN56)))</f>
        <v>0.9535266296524777</v>
      </c>
      <c r="CB55" s="645">
        <f t="shared" si="13"/>
        <v>23</v>
      </c>
      <c r="CC55" s="645">
        <f t="shared" si="14"/>
        <v>8</v>
      </c>
    </row>
    <row r="56" spans="61:81" ht="15" customHeight="1">
      <c r="BI56" s="638" t="s">
        <v>344</v>
      </c>
      <c r="BJ56" s="638">
        <v>12</v>
      </c>
      <c r="BK56" s="638" t="s">
        <v>338</v>
      </c>
      <c r="BL56" s="690">
        <v>5.4050000000000002</v>
      </c>
      <c r="BM56" s="822">
        <v>5.5330000000000004</v>
      </c>
      <c r="BN56" s="653">
        <f t="shared" si="15"/>
        <v>0.97686607626965483</v>
      </c>
      <c r="BO56" s="290"/>
      <c r="BP56" s="657">
        <v>0.9</v>
      </c>
      <c r="BQ56" s="690"/>
      <c r="BR56" s="822"/>
      <c r="BS56" s="653" t="str">
        <f t="shared" si="16"/>
        <v/>
      </c>
      <c r="BT56" s="290"/>
      <c r="BU56" s="657">
        <v>0.9</v>
      </c>
      <c r="BV56" s="6"/>
      <c r="BX56" s="666" t="str">
        <f t="shared" si="12"/>
        <v>Sep</v>
      </c>
      <c r="BY56" s="643">
        <f>IF(CB56=$CB57,SUMIF($BI45:$BI56,$BX56,$BR45:$BR56),SUMIF($BI45:$BI56,$BX56,$BM45:$BM56))</f>
        <v>5.5330000000000004</v>
      </c>
      <c r="BZ56" s="657">
        <f>IF(IF(CB56=CB57,SUMIF(BI45:BI56,$BX56,BU45:BU56),SUMIF(BI45:BI56,$BX56,BP45:BP56))=0,NA(),IF(CB56=CB57,SUMIF(BI45:BI56,$BX56,BU45:BU56),SUMIF(BI45:BI56,$BX56,BP45:BP56)))</f>
        <v>0.9</v>
      </c>
      <c r="CA56" s="644">
        <f>IF(IF(CB56=CB57,SUMIF(BI45:BI56,$BX56,BS45:BS56),SUMIF(BI45:BI56,$BX56,BN45:BN56))=0,NA(),IF(CB56=CB57,SUMIF(BI45:BI56,$BX56,BS45:BS56),SUMIF(BI45:BI56,$BX56,BN45:BN56)))</f>
        <v>0.97686607626965483</v>
      </c>
      <c r="CB56" s="645">
        <f t="shared" si="13"/>
        <v>23</v>
      </c>
      <c r="CC56" s="645">
        <f>IF(CC57-1&lt;1,CC57+11,CC57-1)</f>
        <v>9</v>
      </c>
    </row>
    <row r="57" spans="61:81" ht="15" customHeight="1">
      <c r="BJ57" s="277"/>
      <c r="BK57" s="277"/>
      <c r="BL57" s="277"/>
      <c r="BM57" s="277"/>
      <c r="BN57" s="277"/>
      <c r="BO57" s="277"/>
      <c r="BP57" s="277"/>
      <c r="BQ57" s="277"/>
      <c r="BR57" s="277"/>
      <c r="BS57" s="277"/>
      <c r="BT57" s="277"/>
      <c r="BW57" s="667" t="str">
        <f>Cover!$M$34</f>
        <v>OCT FY-24</v>
      </c>
      <c r="BX57" s="666" t="str">
        <f>TEXT(CONCATENATE(CC57,"/01/20",CB57),"MMM")</f>
        <v>Oct</v>
      </c>
      <c r="BY57" s="643">
        <f>SUMIF($BI45:$BI56,$BX57,$BR45:$BR56)</f>
        <v>4.0519999999999996</v>
      </c>
      <c r="BZ57" s="657">
        <f>IF(IF(CB57=CB57,SUMIF(BI45:BI56,$BX57,BU45:BU56),SUMIF(BI45:BI56,$BX57,BP45:BP56))=0,NA(),IF(CB57=CB57,SUMIF(BI45:BI56,$BX57,BU45:BU56),SUMIF(BI45:BI56,$BX57,BP45:BP56)))</f>
        <v>0.9</v>
      </c>
      <c r="CA57" s="644">
        <f>IF(SUMIF($BI45:$BI56,$BX57,$BS45:$BS56)=0,NA(),SUMIF($BI45:$BI56,$BX57,$BS45:$BS56))</f>
        <v>0.93040473840078985</v>
      </c>
      <c r="CB57" s="645">
        <f t="shared" si="13"/>
        <v>24</v>
      </c>
      <c r="CC57" s="645">
        <f>MONTH(DATEVALUE(LEFT(BW57,3)&amp;" 1"))</f>
        <v>10</v>
      </c>
    </row>
    <row r="58" spans="61:81" ht="15" customHeight="1">
      <c r="BI58" s="6"/>
      <c r="BJ58" s="6"/>
      <c r="BK58" s="6"/>
      <c r="BL58" s="6"/>
      <c r="BM58" s="6"/>
      <c r="BN58" s="6"/>
      <c r="BO58" s="6"/>
      <c r="BP58" s="6"/>
      <c r="BQ58" s="6"/>
      <c r="BR58" s="6"/>
      <c r="BS58" s="6"/>
      <c r="BT58" s="6"/>
      <c r="BU58" s="6"/>
    </row>
    <row r="59" spans="61:81" ht="15" customHeight="1">
      <c r="BI59" s="54" t="s">
        <v>292</v>
      </c>
      <c r="BJ59" s="287" t="s">
        <v>721</v>
      </c>
      <c r="BK59" s="287"/>
      <c r="BL59" s="287"/>
      <c r="BM59" s="287"/>
      <c r="BN59" s="287"/>
      <c r="BO59" s="287"/>
      <c r="BP59" s="287"/>
      <c r="BQ59" s="287"/>
      <c r="BR59" s="287"/>
      <c r="BS59" s="287"/>
      <c r="BT59" s="287"/>
      <c r="BU59" s="287"/>
    </row>
    <row r="60" spans="61:81" ht="15" customHeight="1">
      <c r="BI60" s="54" t="s">
        <v>296</v>
      </c>
      <c r="BJ60" s="287" t="s">
        <v>412</v>
      </c>
      <c r="BK60" s="287"/>
      <c r="BL60" s="287"/>
      <c r="BM60" s="287"/>
      <c r="BN60" s="287"/>
      <c r="BO60" s="287"/>
      <c r="BP60" s="287"/>
      <c r="BQ60" s="287"/>
      <c r="BR60" s="287"/>
      <c r="BS60" s="287"/>
      <c r="BT60" s="287"/>
      <c r="BU60" s="287"/>
    </row>
    <row r="61" spans="61:81" ht="15" customHeight="1" thickBot="1">
      <c r="BI61" s="54" t="s">
        <v>300</v>
      </c>
      <c r="BJ61" s="287" t="s">
        <v>413</v>
      </c>
      <c r="BK61" s="287"/>
      <c r="BL61" s="287"/>
      <c r="BM61" s="287"/>
      <c r="BN61" s="287"/>
      <c r="BO61" s="287"/>
      <c r="BP61" s="287"/>
      <c r="BQ61" s="287"/>
      <c r="BR61" s="287"/>
      <c r="BS61" s="287"/>
      <c r="BT61" s="287"/>
      <c r="BU61" s="287"/>
    </row>
    <row r="62" spans="61:81" ht="15" customHeight="1" thickBot="1">
      <c r="BI62" s="277"/>
      <c r="BJ62" s="277"/>
      <c r="BK62" s="277"/>
      <c r="BL62" s="1148" t="s">
        <v>302</v>
      </c>
      <c r="BM62" s="1149"/>
      <c r="BN62" s="1149"/>
      <c r="BO62" s="1149"/>
      <c r="BP62" s="1151"/>
      <c r="BQ62" s="1148" t="s">
        <v>719</v>
      </c>
      <c r="BR62" s="1149"/>
      <c r="BS62" s="1149"/>
      <c r="BT62" s="1149"/>
      <c r="BU62" s="1150"/>
      <c r="BW62" s="1148" t="s">
        <v>303</v>
      </c>
      <c r="BX62" s="1149"/>
      <c r="BY62" s="1149"/>
      <c r="BZ62" s="1149"/>
      <c r="CA62" s="1149"/>
      <c r="CB62" s="1149"/>
      <c r="CC62" s="1150"/>
    </row>
    <row r="63" spans="61:81" ht="15" customHeight="1">
      <c r="BI63" s="636" t="s">
        <v>23</v>
      </c>
      <c r="BJ63" s="636" t="s">
        <v>37</v>
      </c>
      <c r="BK63" s="636" t="s">
        <v>304</v>
      </c>
      <c r="BL63" s="637" t="s">
        <v>726</v>
      </c>
      <c r="BM63" s="637" t="s">
        <v>310</v>
      </c>
      <c r="BN63" s="637" t="s">
        <v>311</v>
      </c>
      <c r="BO63" s="278" t="s">
        <v>312</v>
      </c>
      <c r="BP63" s="637" t="s">
        <v>313</v>
      </c>
      <c r="BQ63" s="637" t="s">
        <v>726</v>
      </c>
      <c r="BR63" s="637" t="s">
        <v>715</v>
      </c>
      <c r="BS63" s="637" t="s">
        <v>716</v>
      </c>
      <c r="BT63" s="278" t="s">
        <v>717</v>
      </c>
      <c r="BU63" s="637" t="s">
        <v>718</v>
      </c>
      <c r="BW63" s="279" t="s">
        <v>314</v>
      </c>
      <c r="BX63" s="279" t="s">
        <v>23</v>
      </c>
      <c r="BY63" s="280" t="s">
        <v>315</v>
      </c>
      <c r="BZ63" s="279" t="s">
        <v>122</v>
      </c>
      <c r="CA63" s="279" t="s">
        <v>316</v>
      </c>
      <c r="CB63" s="279" t="s">
        <v>317</v>
      </c>
      <c r="CC63" s="279" t="s">
        <v>318</v>
      </c>
    </row>
    <row r="64" spans="61:81" ht="15" customHeight="1">
      <c r="BI64" s="638" t="s">
        <v>319</v>
      </c>
      <c r="BJ64" s="638">
        <v>1</v>
      </c>
      <c r="BK64" s="638" t="s">
        <v>320</v>
      </c>
      <c r="BL64" s="896">
        <v>88.904640000000015</v>
      </c>
      <c r="BM64" s="858">
        <v>33.676000000000002</v>
      </c>
      <c r="BN64" s="654">
        <f>IF(BM64="","",BL64/BM64)</f>
        <v>2.64</v>
      </c>
      <c r="BO64" s="833">
        <f>IF(SUM(BM64:BM66=0),0,SUM(BL64:BL66)/SUM(BM64:BM66))</f>
        <v>2.546382985539636</v>
      </c>
      <c r="BP64" s="830">
        <v>2.91</v>
      </c>
      <c r="BQ64" s="883">
        <v>18.346</v>
      </c>
      <c r="BR64" s="689">
        <v>32.167999999999999</v>
      </c>
      <c r="BS64" s="654">
        <f t="shared" ref="BS64:BS75" si="17">IF(BR64="","",BQ64/BR64)</f>
        <v>0.57031832877393684</v>
      </c>
      <c r="BT64" s="833">
        <f>IF(SUM(BR64:BR66=0),0,SUM(BQ64:BQ66)/SUM(BR64:BR66))</f>
        <v>0.57031832877393684</v>
      </c>
      <c r="BU64" s="830">
        <v>2.91</v>
      </c>
      <c r="BX64" s="666" t="str">
        <f t="shared" ref="BX64:BX75" si="18">TEXT(CONCATENATE(CC64,"/01/20",CB64),"MMM")</f>
        <v>Oct</v>
      </c>
      <c r="BY64" s="643">
        <f>IF(CB64=$CB76,SUMIF($BI64:$BI75,$BX64,$BR64:$BR75),SUMIF($BI64:$BI75,$BX64,$BM64:$BM75))</f>
        <v>33.676000000000002</v>
      </c>
      <c r="BZ64" s="675">
        <f>IF(IF(CB64=CB76,SUMIF(BI64:BI75,$BX64,BU64:BU75),SUMIF(BI64:BI75,$BX64,BP64:BP75))=0,NA(),IF(CB64=CB76,SUMIF(BI64:BI75,$BX64,BU64:BU75),SUMIF(BI64:BI75,$BX64,BP64:BP75)))</f>
        <v>2.91</v>
      </c>
      <c r="CA64" s="664">
        <f>IF(IF(CB64=CB76,SUMIF(BI64:BI75,$BX64,BS64:BS75),SUMIF(BI64:BI75,$BX64,BN64:BN75))=0,NA(),IF(CB64=CB76,SUMIF(BI64:BI75,$BX64,BS64:BS75),SUMIF(BI64:BI75,$BX64,BN64:BN75)))</f>
        <v>2.64</v>
      </c>
      <c r="CB64" s="645">
        <f>CB45</f>
        <v>23</v>
      </c>
      <c r="CC64" s="645">
        <f t="shared" ref="CC64:CC74" si="19">IF(CC65-1&lt;1,CC65+11,CC65-1)</f>
        <v>10</v>
      </c>
    </row>
    <row r="65" spans="2:81" ht="15" customHeight="1">
      <c r="B65" s="267" t="s">
        <v>242</v>
      </c>
      <c r="C65" s="267"/>
      <c r="D65" s="267"/>
      <c r="E65" s="334"/>
      <c r="F65" s="326"/>
      <c r="G65" s="326"/>
      <c r="H65" s="326"/>
      <c r="I65" s="326"/>
      <c r="J65" s="326"/>
      <c r="K65" s="326"/>
      <c r="L65" s="326"/>
      <c r="M65" s="326"/>
      <c r="N65" s="326"/>
      <c r="O65" s="326"/>
      <c r="P65" s="326"/>
      <c r="Q65" s="326"/>
      <c r="R65" s="326"/>
      <c r="S65" s="326"/>
      <c r="T65" s="326"/>
      <c r="U65" s="326"/>
      <c r="V65" s="326"/>
      <c r="W65" s="326"/>
      <c r="X65" s="326"/>
      <c r="Y65" s="326"/>
      <c r="Z65" s="326"/>
      <c r="AA65" s="326"/>
      <c r="AB65" s="326"/>
      <c r="AE65" s="267"/>
      <c r="AF65" s="267"/>
      <c r="AG65" s="267"/>
      <c r="AH65" s="334"/>
      <c r="AI65" s="326"/>
      <c r="AJ65" s="326"/>
      <c r="AK65" s="326"/>
      <c r="AL65" s="326"/>
      <c r="AM65" s="326"/>
      <c r="AN65" s="326"/>
      <c r="AO65" s="326"/>
      <c r="AP65" s="326"/>
      <c r="AQ65" s="326"/>
      <c r="AR65" s="326"/>
      <c r="AS65" s="326"/>
      <c r="AT65" s="326"/>
      <c r="AU65" s="326"/>
      <c r="AV65" s="326"/>
      <c r="AW65" s="326"/>
      <c r="AX65" s="326"/>
      <c r="AY65" s="326"/>
      <c r="AZ65" s="326"/>
      <c r="BA65" s="326"/>
      <c r="BB65" s="326"/>
      <c r="BC65" s="326"/>
      <c r="BD65" s="326"/>
      <c r="BE65" s="326"/>
      <c r="BI65" s="638" t="s">
        <v>321</v>
      </c>
      <c r="BJ65" s="638">
        <v>2</v>
      </c>
      <c r="BK65" s="638" t="s">
        <v>320</v>
      </c>
      <c r="BL65" s="896">
        <v>86.648999999999987</v>
      </c>
      <c r="BM65" s="858">
        <v>33.979999999999997</v>
      </c>
      <c r="BN65" s="654">
        <f t="shared" ref="BN65:BN75" si="20">IF(BM65="","",BL65/BM65)</f>
        <v>2.5499999999999998</v>
      </c>
      <c r="BO65" s="290"/>
      <c r="BP65" s="830">
        <v>2.91</v>
      </c>
      <c r="BQ65" s="883"/>
      <c r="BR65" s="689"/>
      <c r="BS65" s="654" t="str">
        <f t="shared" si="17"/>
        <v/>
      </c>
      <c r="BT65" s="835"/>
      <c r="BU65" s="830">
        <v>2.91</v>
      </c>
      <c r="BX65" s="666" t="str">
        <f t="shared" si="18"/>
        <v>Nov</v>
      </c>
      <c r="BY65" s="643">
        <f>IF(CB65=$CB76,SUMIF($BI64:$BI75,$BX65,$BR64:$BR75),SUMIF($BI64:$BI75,$BX65,$BM64:$BM75))</f>
        <v>33.979999999999997</v>
      </c>
      <c r="BZ65" s="675">
        <f>IF(IF(CB65=CB76,SUMIF(BI64:BI75,$BX65,BU64:BU75),SUMIF(BI64:BI75,$BX65,BP64:BP75))=0,NA(),IF(CB65=CB76,SUMIF(BI64:BI75,$BX65,BU64:BU75),SUMIF(BI64:BI75,$BX65,BP64:BP75)))</f>
        <v>2.91</v>
      </c>
      <c r="CA65" s="664">
        <f>IF(IF(CB65=CB76,SUMIF(BI64:BI75,$BX65,BS64:BS75),SUMIF(BI64:BI75,$BX65,BN64:BN75))=0,NA(),IF(CB65=CB76,SUMIF(BI64:BI75,$BX65,BS64:BS75),SUMIF(BI64:BI75,$BX65,BN64:BN75)))</f>
        <v>2.5499999999999998</v>
      </c>
      <c r="CB65" s="645">
        <f t="shared" ref="CB65:CB76" si="21">CB46</f>
        <v>23</v>
      </c>
      <c r="CC65" s="645">
        <f t="shared" si="19"/>
        <v>11</v>
      </c>
    </row>
    <row r="66" spans="2:81" ht="15" customHeight="1">
      <c r="B66" s="1304" t="str">
        <f>AC38</f>
        <v>Increase in volume due to including M4A and marketPRO invoices processed (i.e. exceptions) during the period. These counts are now included in the total invoice count for the first time directly contributing to the lower CPI providing a more accurate KPI.
Variance in prior period/year performance directly related to how this KPI was calculated; beginning in FY24 AP is using a cost calculator, resource allocation formula to accurately capture cost per metric</v>
      </c>
      <c r="C66" s="1305"/>
      <c r="D66" s="1305"/>
      <c r="E66" s="1305"/>
      <c r="F66" s="1305"/>
      <c r="G66" s="1305"/>
      <c r="H66" s="1305"/>
      <c r="I66" s="1305"/>
      <c r="J66" s="1305"/>
      <c r="K66" s="1305"/>
      <c r="L66" s="1305"/>
      <c r="M66" s="1305"/>
      <c r="N66" s="1305"/>
      <c r="O66" s="1305"/>
      <c r="P66" s="1305"/>
      <c r="Q66" s="1305"/>
      <c r="R66" s="1305"/>
      <c r="S66" s="1305"/>
      <c r="T66" s="1305"/>
      <c r="U66" s="1305"/>
      <c r="V66" s="1305"/>
      <c r="W66" s="1305"/>
      <c r="X66" s="1305"/>
      <c r="Y66" s="1305"/>
      <c r="Z66" s="1305"/>
      <c r="AA66" s="1305"/>
      <c r="AB66" s="1306"/>
      <c r="AC66" s="576"/>
      <c r="AD66" s="576"/>
      <c r="AE66" s="1137" t="str">
        <f>AC39</f>
        <v>CHANGE in SLA (added 3 days)  to accurately reflect process &amp; special handling requirements across the department
GOAL remains at 90%; will monitor &amp; adjust goal (increase) to ensure we are providing swift service to our businesses
Met goal this period</v>
      </c>
      <c r="AF66" s="1138"/>
      <c r="AG66" s="1138"/>
      <c r="AH66" s="1138"/>
      <c r="AI66" s="1138"/>
      <c r="AJ66" s="1138"/>
      <c r="AK66" s="1138"/>
      <c r="AL66" s="1138"/>
      <c r="AM66" s="1138"/>
      <c r="AN66" s="1138"/>
      <c r="AO66" s="1138"/>
      <c r="AP66" s="1138"/>
      <c r="AQ66" s="1138"/>
      <c r="AR66" s="1138"/>
      <c r="AS66" s="1138"/>
      <c r="AT66" s="1138"/>
      <c r="AU66" s="1138"/>
      <c r="AV66" s="1138"/>
      <c r="AW66" s="1138"/>
      <c r="AX66" s="1138"/>
      <c r="AY66" s="1138"/>
      <c r="AZ66" s="1138"/>
      <c r="BA66" s="1138"/>
      <c r="BB66" s="1138"/>
      <c r="BC66" s="1138"/>
      <c r="BD66" s="1138"/>
      <c r="BE66" s="1139"/>
      <c r="BI66" s="638" t="s">
        <v>322</v>
      </c>
      <c r="BJ66" s="638">
        <v>3</v>
      </c>
      <c r="BK66" s="638" t="s">
        <v>320</v>
      </c>
      <c r="BL66" s="896">
        <v>100.6321513776</v>
      </c>
      <c r="BM66" s="858">
        <v>40.805999999999997</v>
      </c>
      <c r="BN66" s="654">
        <f t="shared" si="20"/>
        <v>2.4661116349948538</v>
      </c>
      <c r="BO66" s="290"/>
      <c r="BP66" s="830">
        <v>2.91</v>
      </c>
      <c r="BQ66" s="883"/>
      <c r="BR66" s="689"/>
      <c r="BS66" s="654" t="str">
        <f t="shared" si="17"/>
        <v/>
      </c>
      <c r="BT66" s="835"/>
      <c r="BU66" s="830">
        <v>2.91</v>
      </c>
      <c r="BX66" s="666" t="str">
        <f t="shared" si="18"/>
        <v>Dec</v>
      </c>
      <c r="BY66" s="643">
        <f>IF(CB66=$CB76,SUMIF($BI64:$BI75,$BX66,$BR64:$BR75),SUMIF($BI64:$BI75,$BX66,$BM64:$BM75))</f>
        <v>40.805999999999997</v>
      </c>
      <c r="BZ66" s="675">
        <f>IF(IF(CB66=CB76,SUMIF(BI64:BI75,$BX66,BU64:BU75),SUMIF(BI64:BI75,$BX66,BP64:BP75))=0,NA(),IF(CB66=CB76,SUMIF(BI64:BI75,$BX66,BU64:BU75),SUMIF(BI64:BI75,$BX66,BP64:BP75)))</f>
        <v>2.91</v>
      </c>
      <c r="CA66" s="664">
        <f>IF(IF(CB66=CB76,SUMIF(BI64:BI75,$BX66,BS64:BS75),SUMIF(BI64:BI75,$BX66,BN64:BN75))=0,NA(),IF(CB66=CB76,SUMIF(BI64:BI75,$BX66,BS64:BS75),SUMIF(BI64:BI75,$BX66,BN64:BN75)))</f>
        <v>2.4661116349948538</v>
      </c>
      <c r="CB66" s="645">
        <f t="shared" si="21"/>
        <v>23</v>
      </c>
      <c r="CC66" s="645">
        <f t="shared" si="19"/>
        <v>12</v>
      </c>
    </row>
    <row r="67" spans="2:81" ht="15" customHeight="1">
      <c r="B67" s="1307"/>
      <c r="C67" s="1308"/>
      <c r="D67" s="1308"/>
      <c r="E67" s="1308"/>
      <c r="F67" s="1308"/>
      <c r="G67" s="1308"/>
      <c r="H67" s="1308"/>
      <c r="I67" s="1308"/>
      <c r="J67" s="1308"/>
      <c r="K67" s="1308"/>
      <c r="L67" s="1308"/>
      <c r="M67" s="1308"/>
      <c r="N67" s="1308"/>
      <c r="O67" s="1308"/>
      <c r="P67" s="1308"/>
      <c r="Q67" s="1308"/>
      <c r="R67" s="1308"/>
      <c r="S67" s="1308"/>
      <c r="T67" s="1308"/>
      <c r="U67" s="1308"/>
      <c r="V67" s="1308"/>
      <c r="W67" s="1308"/>
      <c r="X67" s="1308"/>
      <c r="Y67" s="1308"/>
      <c r="Z67" s="1308"/>
      <c r="AA67" s="1308"/>
      <c r="AB67" s="1309"/>
      <c r="AC67" s="576"/>
      <c r="AD67" s="576"/>
      <c r="AE67" s="1140"/>
      <c r="AF67" s="1141"/>
      <c r="AG67" s="1141"/>
      <c r="AH67" s="1141"/>
      <c r="AI67" s="1141"/>
      <c r="AJ67" s="1141"/>
      <c r="AK67" s="1141"/>
      <c r="AL67" s="1141"/>
      <c r="AM67" s="1141"/>
      <c r="AN67" s="1141"/>
      <c r="AO67" s="1141"/>
      <c r="AP67" s="1141"/>
      <c r="AQ67" s="1141"/>
      <c r="AR67" s="1141"/>
      <c r="AS67" s="1141"/>
      <c r="AT67" s="1141"/>
      <c r="AU67" s="1141"/>
      <c r="AV67" s="1141"/>
      <c r="AW67" s="1141"/>
      <c r="AX67" s="1141"/>
      <c r="AY67" s="1141"/>
      <c r="AZ67" s="1141"/>
      <c r="BA67" s="1141"/>
      <c r="BB67" s="1141"/>
      <c r="BC67" s="1141"/>
      <c r="BD67" s="1141"/>
      <c r="BE67" s="1142"/>
      <c r="BI67" s="638" t="s">
        <v>323</v>
      </c>
      <c r="BJ67" s="638">
        <v>4</v>
      </c>
      <c r="BK67" s="638" t="s">
        <v>324</v>
      </c>
      <c r="BL67" s="896">
        <v>92.633329829999994</v>
      </c>
      <c r="BM67" s="858">
        <v>29.036000000000001</v>
      </c>
      <c r="BN67" s="654">
        <f t="shared" si="20"/>
        <v>3.1902923897919822</v>
      </c>
      <c r="BO67" s="833">
        <f>IF(SUM(BM67:BM69=0),0,SUM(BL67:BL69)/SUM(BM67:BM69))</f>
        <v>2.8919084387474676</v>
      </c>
      <c r="BP67" s="830">
        <v>2.91</v>
      </c>
      <c r="BQ67" s="883"/>
      <c r="BR67" s="689"/>
      <c r="BS67" s="654" t="str">
        <f t="shared" si="17"/>
        <v/>
      </c>
      <c r="BT67" s="833">
        <f>IF(SUM(BR67:BR69=0),0,SUM(BQ67:BQ69)/SUM(BR67:BR69))</f>
        <v>0</v>
      </c>
      <c r="BU67" s="830">
        <v>2.91</v>
      </c>
      <c r="BX67" s="666" t="str">
        <f t="shared" si="18"/>
        <v>Jan</v>
      </c>
      <c r="BY67" s="643">
        <f>IF(CB67=$CB76,SUMIF($BI64:$BI75,$BX67,$BR64:$BR75),SUMIF($BI64:$BI75,$BX67,$BM64:$BM75))</f>
        <v>29.036000000000001</v>
      </c>
      <c r="BZ67" s="675">
        <f>IF(IF(CB67=CB76,SUMIF(BI64:BI75,$BX67,BU64:BU75),SUMIF(BI64:BI75,$BX67,BP64:BP75))=0,NA(),IF(CB67=CB76,SUMIF(BI64:BI75,$BX67,BU64:BU75),SUMIF(BI64:BI75,$BX67,BP64:BP75)))</f>
        <v>2.91</v>
      </c>
      <c r="CA67" s="664">
        <f>IF(IF(CB67=CB76,SUMIF(BI64:BI75,$BX67,BS64:BS75),SUMIF(BI64:BI75,$BX67,BN64:BN75))=0,NA(),IF(CB67=CB76,SUMIF(BI64:BI75,$BX67,BS64:BS75),SUMIF(BI64:BI75,$BX67,BN64:BN75)))</f>
        <v>3.1902923897919822</v>
      </c>
      <c r="CB67" s="645">
        <f t="shared" si="21"/>
        <v>23</v>
      </c>
      <c r="CC67" s="645">
        <f t="shared" si="19"/>
        <v>1</v>
      </c>
    </row>
    <row r="68" spans="2:81" ht="15" customHeight="1">
      <c r="B68" s="1307"/>
      <c r="C68" s="1308"/>
      <c r="D68" s="1308"/>
      <c r="E68" s="1308"/>
      <c r="F68" s="1308"/>
      <c r="G68" s="1308"/>
      <c r="H68" s="1308"/>
      <c r="I68" s="1308"/>
      <c r="J68" s="1308"/>
      <c r="K68" s="1308"/>
      <c r="L68" s="1308"/>
      <c r="M68" s="1308"/>
      <c r="N68" s="1308"/>
      <c r="O68" s="1308"/>
      <c r="P68" s="1308"/>
      <c r="Q68" s="1308"/>
      <c r="R68" s="1308"/>
      <c r="S68" s="1308"/>
      <c r="T68" s="1308"/>
      <c r="U68" s="1308"/>
      <c r="V68" s="1308"/>
      <c r="W68" s="1308"/>
      <c r="X68" s="1308"/>
      <c r="Y68" s="1308"/>
      <c r="Z68" s="1308"/>
      <c r="AA68" s="1308"/>
      <c r="AB68" s="1309"/>
      <c r="AC68" s="576"/>
      <c r="AD68" s="576"/>
      <c r="AE68" s="1140"/>
      <c r="AF68" s="1141"/>
      <c r="AG68" s="1141"/>
      <c r="AH68" s="1141"/>
      <c r="AI68" s="1141"/>
      <c r="AJ68" s="1141"/>
      <c r="AK68" s="1141"/>
      <c r="AL68" s="1141"/>
      <c r="AM68" s="1141"/>
      <c r="AN68" s="1141"/>
      <c r="AO68" s="1141"/>
      <c r="AP68" s="1141"/>
      <c r="AQ68" s="1141"/>
      <c r="AR68" s="1141"/>
      <c r="AS68" s="1141"/>
      <c r="AT68" s="1141"/>
      <c r="AU68" s="1141"/>
      <c r="AV68" s="1141"/>
      <c r="AW68" s="1141"/>
      <c r="AX68" s="1141"/>
      <c r="AY68" s="1141"/>
      <c r="AZ68" s="1141"/>
      <c r="BA68" s="1141"/>
      <c r="BB68" s="1141"/>
      <c r="BC68" s="1141"/>
      <c r="BD68" s="1141"/>
      <c r="BE68" s="1142"/>
      <c r="BI68" s="638" t="s">
        <v>325</v>
      </c>
      <c r="BJ68" s="638">
        <v>5</v>
      </c>
      <c r="BK68" s="638" t="s">
        <v>324</v>
      </c>
      <c r="BL68" s="896">
        <v>92.163439725000003</v>
      </c>
      <c r="BM68" s="858">
        <v>31.518000000000001</v>
      </c>
      <c r="BN68" s="654">
        <f t="shared" si="20"/>
        <v>2.9241525390253189</v>
      </c>
      <c r="BO68" s="290"/>
      <c r="BP68" s="830">
        <v>2.91</v>
      </c>
      <c r="BQ68" s="883"/>
      <c r="BR68" s="689"/>
      <c r="BS68" s="654" t="str">
        <f t="shared" si="17"/>
        <v/>
      </c>
      <c r="BT68" s="835"/>
      <c r="BU68" s="830">
        <v>2.91</v>
      </c>
      <c r="BX68" s="666" t="str">
        <f t="shared" si="18"/>
        <v>Feb</v>
      </c>
      <c r="BY68" s="643">
        <f>IF(CB68=$CB76,SUMIF($BI64:$BI75,$BX68,$BR64:$BR75),SUMIF($BI64:$BI75,$BX68,$BM64:$BM75))</f>
        <v>31.518000000000001</v>
      </c>
      <c r="BZ68" s="675">
        <f>IF(IF(CB68=CB76,SUMIF(BI64:BI75,$BX68,BU64:BU75),SUMIF(BI64:BI75,$BX68,BP64:BP75))=0,NA(),IF(CB68=CB76,SUMIF(BI64:BI75,$BX68,BU64:BU75),SUMIF(BI64:BI75,$BX68,BP64:BP75)))</f>
        <v>2.91</v>
      </c>
      <c r="CA68" s="664">
        <f>IF(IF(CB68=CB76,SUMIF(BI64:BI75,$BX68,BS64:BS75),SUMIF(BI64:BI75,$BX68,BN64:BN75))=0,NA(),IF(CB68=CB76,SUMIF(BI64:BI75,$BX68,BS64:BS75),SUMIF(BI64:BI75,$BX68,BN64:BN75)))</f>
        <v>2.9241525390253189</v>
      </c>
      <c r="CB68" s="645">
        <f t="shared" si="21"/>
        <v>23</v>
      </c>
      <c r="CC68" s="645">
        <f t="shared" si="19"/>
        <v>2</v>
      </c>
    </row>
    <row r="69" spans="2:81" ht="15" customHeight="1">
      <c r="B69" s="1310"/>
      <c r="C69" s="1311"/>
      <c r="D69" s="1311"/>
      <c r="E69" s="1311"/>
      <c r="F69" s="1311"/>
      <c r="G69" s="1311"/>
      <c r="H69" s="1311"/>
      <c r="I69" s="1311"/>
      <c r="J69" s="1311"/>
      <c r="K69" s="1311"/>
      <c r="L69" s="1311"/>
      <c r="M69" s="1311"/>
      <c r="N69" s="1311"/>
      <c r="O69" s="1311"/>
      <c r="P69" s="1311"/>
      <c r="Q69" s="1311"/>
      <c r="R69" s="1311"/>
      <c r="S69" s="1311"/>
      <c r="T69" s="1311"/>
      <c r="U69" s="1311"/>
      <c r="V69" s="1311"/>
      <c r="W69" s="1311"/>
      <c r="X69" s="1311"/>
      <c r="Y69" s="1311"/>
      <c r="Z69" s="1311"/>
      <c r="AA69" s="1311"/>
      <c r="AB69" s="1312"/>
      <c r="AC69" s="576"/>
      <c r="AD69" s="576"/>
      <c r="AE69" s="1143"/>
      <c r="AF69" s="1144"/>
      <c r="AG69" s="1144"/>
      <c r="AH69" s="1144"/>
      <c r="AI69" s="1144"/>
      <c r="AJ69" s="1144"/>
      <c r="AK69" s="1144"/>
      <c r="AL69" s="1144"/>
      <c r="AM69" s="1144"/>
      <c r="AN69" s="1144"/>
      <c r="AO69" s="1144"/>
      <c r="AP69" s="1144"/>
      <c r="AQ69" s="1144"/>
      <c r="AR69" s="1144"/>
      <c r="AS69" s="1144"/>
      <c r="AT69" s="1144"/>
      <c r="AU69" s="1144"/>
      <c r="AV69" s="1144"/>
      <c r="AW69" s="1144"/>
      <c r="AX69" s="1144"/>
      <c r="AY69" s="1144"/>
      <c r="AZ69" s="1144"/>
      <c r="BA69" s="1144"/>
      <c r="BB69" s="1144"/>
      <c r="BC69" s="1144"/>
      <c r="BD69" s="1144"/>
      <c r="BE69" s="1145"/>
      <c r="BI69" s="638" t="s">
        <v>326</v>
      </c>
      <c r="BJ69" s="638">
        <v>6</v>
      </c>
      <c r="BK69" s="638" t="s">
        <v>324</v>
      </c>
      <c r="BL69" s="896">
        <v>109.21199377870002</v>
      </c>
      <c r="BM69" s="859">
        <v>41.112000000000002</v>
      </c>
      <c r="BN69" s="654">
        <f t="shared" si="20"/>
        <v>2.6564505200111892</v>
      </c>
      <c r="BO69" s="290"/>
      <c r="BP69" s="830">
        <v>2.91</v>
      </c>
      <c r="BQ69" s="883"/>
      <c r="BR69" s="690"/>
      <c r="BS69" s="654" t="str">
        <f t="shared" si="17"/>
        <v/>
      </c>
      <c r="BT69" s="835"/>
      <c r="BU69" s="830">
        <v>2.91</v>
      </c>
      <c r="BX69" s="666" t="str">
        <f t="shared" si="18"/>
        <v>Mar</v>
      </c>
      <c r="BY69" s="643">
        <f>IF(CB69=$CB76,SUMIF($BI64:$BI75,$BX69,$BR64:$BR75),SUMIF($BI64:$BI75,$BX69,$BM64:$BM75))</f>
        <v>41.112000000000002</v>
      </c>
      <c r="BZ69" s="675">
        <f>IF(IF(CB69=CB76,SUMIF(BI64:BI75,$BX69,BU64:BU75),SUMIF(BI64:BI75,$BX69,BP64:BP75))=0,NA(),IF(CB69=CB76,SUMIF(BI64:BI75,$BX69,BU64:BU75),SUMIF(BI64:BI75,$BX69,BP64:BP75)))</f>
        <v>2.91</v>
      </c>
      <c r="CA69" s="664">
        <f>IF(IF(CB69=CB76,SUMIF(BI64:BI75,$BX69,BS64:BS75),SUMIF(BI64:BI75,$BX69,BN64:BN75))=0,NA(),IF(CB69=CB76,SUMIF(BI64:BI75,$BX69,BS64:BS75),SUMIF(BI64:BI75,$BX69,BN64:BN75)))</f>
        <v>2.6564505200111892</v>
      </c>
      <c r="CB69" s="645">
        <f t="shared" si="21"/>
        <v>23</v>
      </c>
      <c r="CC69" s="645">
        <f t="shared" si="19"/>
        <v>3</v>
      </c>
    </row>
    <row r="70" spans="2:81" ht="15" customHeight="1">
      <c r="AD70" s="336"/>
      <c r="AE70" s="336"/>
      <c r="AF70" s="336"/>
      <c r="AG70" s="336"/>
      <c r="AH70" s="336"/>
      <c r="AI70" s="336"/>
      <c r="AJ70" s="336"/>
      <c r="AK70" s="336"/>
      <c r="AL70" s="336"/>
      <c r="AM70" s="336"/>
      <c r="AN70" s="336"/>
      <c r="AO70" s="336"/>
      <c r="AP70" s="336"/>
      <c r="AQ70" s="336"/>
      <c r="AR70" s="336"/>
      <c r="AS70" s="336"/>
      <c r="AT70" s="336"/>
      <c r="AU70" s="336"/>
      <c r="AV70" s="336"/>
      <c r="AW70" s="336"/>
      <c r="AX70" s="336"/>
      <c r="AY70" s="336"/>
      <c r="AZ70" s="336"/>
      <c r="BA70" s="336"/>
      <c r="BB70" s="336"/>
      <c r="BC70" s="336"/>
      <c r="BD70" s="336"/>
      <c r="BI70" s="638" t="s">
        <v>327</v>
      </c>
      <c r="BJ70" s="638">
        <v>7</v>
      </c>
      <c r="BK70" s="638" t="s">
        <v>328</v>
      </c>
      <c r="BL70" s="896">
        <v>80.798119843303198</v>
      </c>
      <c r="BM70" s="859">
        <v>32.881</v>
      </c>
      <c r="BN70" s="654">
        <f t="shared" si="20"/>
        <v>2.4572890071257931</v>
      </c>
      <c r="BO70" s="833">
        <f>IF(SUM(BM70:BM72=0),0,SUM(BL70:BL72)/SUM(BM70:BM72))</f>
        <v>2.583672491935916</v>
      </c>
      <c r="BP70" s="830">
        <v>2.91</v>
      </c>
      <c r="BQ70" s="883"/>
      <c r="BR70" s="690"/>
      <c r="BS70" s="654" t="str">
        <f t="shared" si="17"/>
        <v/>
      </c>
      <c r="BT70" s="833">
        <f>IF(SUM(BR70:BR72=0),0,SUM(BQ70:BQ72)/SUM(BR70:BR72))</f>
        <v>0</v>
      </c>
      <c r="BU70" s="830">
        <v>2.91</v>
      </c>
      <c r="BX70" s="666" t="str">
        <f t="shared" si="18"/>
        <v>Apr</v>
      </c>
      <c r="BY70" s="643">
        <f>IF(CB70=$CB76,SUMIF($BI64:$BI75,$BX70,$BR64:$BR75),SUMIF($BI64:$BI75,$BX70,$BM64:$BM75))</f>
        <v>32.881</v>
      </c>
      <c r="BZ70" s="675">
        <f>IF(IF(CB70=CB76,SUMIF(BI64:BI75,$BX70,BU64:BU75),SUMIF(BI64:BI75,$BX70,BP64:BP75))=0,NA(),IF(CB70=CB76,SUMIF(BI64:BI75,$BX70,BU64:BU75),SUMIF(BI64:BI75,$BX70,BP64:BP75)))</f>
        <v>2.91</v>
      </c>
      <c r="CA70" s="664">
        <f>IF(IF(CB70=CB76,SUMIF(BI64:BI75,$BX70,BS64:BS75),SUMIF(BI64:BI75,$BX70,BN64:BN75))=0,NA(),IF(CB70=CB76,SUMIF(BI64:BI75,$BX70,BS64:BS75),SUMIF(BI64:BI75,$BX70,BN64:BN75)))</f>
        <v>2.4572890071257931</v>
      </c>
      <c r="CB70" s="645">
        <f t="shared" si="21"/>
        <v>23</v>
      </c>
      <c r="CC70" s="645">
        <f t="shared" si="19"/>
        <v>4</v>
      </c>
    </row>
    <row r="71" spans="2:81" ht="15" customHeight="1">
      <c r="AD71" s="336"/>
      <c r="AE71" s="336"/>
      <c r="AF71" s="336"/>
      <c r="AG71" s="336"/>
      <c r="AH71" s="336"/>
      <c r="AI71" s="336"/>
      <c r="AJ71" s="336"/>
      <c r="AK71" s="336"/>
      <c r="AL71" s="336"/>
      <c r="AM71" s="336"/>
      <c r="AN71" s="336"/>
      <c r="AO71" s="336"/>
      <c r="AP71" s="336"/>
      <c r="AQ71" s="336"/>
      <c r="AR71" s="336"/>
      <c r="AS71" s="336"/>
      <c r="AT71" s="336"/>
      <c r="AU71" s="336"/>
      <c r="AV71" s="336"/>
      <c r="AW71" s="336"/>
      <c r="AX71" s="336"/>
      <c r="AY71" s="336"/>
      <c r="AZ71" s="336"/>
      <c r="BA71" s="336"/>
      <c r="BB71" s="336"/>
      <c r="BC71" s="336"/>
      <c r="BD71" s="336"/>
      <c r="BI71" s="638" t="s">
        <v>329</v>
      </c>
      <c r="BJ71" s="638">
        <v>8</v>
      </c>
      <c r="BK71" s="638" t="s">
        <v>328</v>
      </c>
      <c r="BL71" s="896">
        <v>81.932912822749998</v>
      </c>
      <c r="BM71" s="859">
        <v>34.823999999999998</v>
      </c>
      <c r="BN71" s="654">
        <f t="shared" si="20"/>
        <v>2.3527714456337585</v>
      </c>
      <c r="BO71" s="290"/>
      <c r="BP71" s="830">
        <v>2.91</v>
      </c>
      <c r="BQ71" s="883"/>
      <c r="BR71" s="690"/>
      <c r="BS71" s="654" t="str">
        <f t="shared" si="17"/>
        <v/>
      </c>
      <c r="BT71" s="835"/>
      <c r="BU71" s="830">
        <v>2.91</v>
      </c>
      <c r="BX71" s="666" t="str">
        <f t="shared" si="18"/>
        <v>May</v>
      </c>
      <c r="BY71" s="643">
        <f>IF(CB71=$CB76,SUMIF($BI64:$BI75,$BX71,$BR64:$BR75),SUMIF($BI64:$BI75,$BX71,$BM64:$BM75))</f>
        <v>34.823999999999998</v>
      </c>
      <c r="BZ71" s="675">
        <f>IF(IF(CB71=CB76,SUMIF(BI64:BI75,$BX71,BU64:BU75),SUMIF(BI64:BI75,$BX71,BP64:BP75))=0,NA(),IF(CB71=CB76,SUMIF(BI64:BI75,$BX71,BU64:BU75),SUMIF(BI64:BI75,$BX71,BP64:BP75)))</f>
        <v>2.91</v>
      </c>
      <c r="CA71" s="664">
        <f>IF(IF(CB71=CB76,SUMIF(BI64:BI75,$BX71,BS64:BS75),SUMIF(BI64:BI75,$BX71,BN64:BN75))=0,NA(),IF(CB71=CB76,SUMIF(BI64:BI75,$BX71,BS64:BS75),SUMIF(BI64:BI75,$BX71,BN64:BN75)))</f>
        <v>2.3527714456337585</v>
      </c>
      <c r="CB71" s="645">
        <f t="shared" si="21"/>
        <v>23</v>
      </c>
      <c r="CC71" s="645">
        <f t="shared" si="19"/>
        <v>5</v>
      </c>
    </row>
    <row r="72" spans="2:81" ht="15" customHeight="1">
      <c r="AD72" s="336"/>
      <c r="AE72" s="336"/>
      <c r="AF72" s="336"/>
      <c r="AG72" s="336"/>
      <c r="AH72" s="336"/>
      <c r="AI72" s="336"/>
      <c r="AJ72" s="336"/>
      <c r="AK72" s="336"/>
      <c r="AL72" s="336"/>
      <c r="AM72" s="336"/>
      <c r="AN72" s="336"/>
      <c r="AO72" s="336"/>
      <c r="AP72" s="336"/>
      <c r="AQ72" s="336"/>
      <c r="AR72" s="336"/>
      <c r="AS72" s="336"/>
      <c r="AT72" s="336"/>
      <c r="AU72" s="336"/>
      <c r="AV72" s="336"/>
      <c r="AW72" s="336"/>
      <c r="AX72" s="336"/>
      <c r="AY72" s="336"/>
      <c r="AZ72" s="336"/>
      <c r="BA72" s="336"/>
      <c r="BB72" s="336"/>
      <c r="BC72" s="336"/>
      <c r="BD72" s="336"/>
      <c r="BI72" s="638" t="s">
        <v>331</v>
      </c>
      <c r="BJ72" s="638">
        <v>9</v>
      </c>
      <c r="BK72" s="638" t="s">
        <v>328</v>
      </c>
      <c r="BL72" s="896">
        <v>100.39275758519246</v>
      </c>
      <c r="BM72" s="859">
        <v>34.135999999999996</v>
      </c>
      <c r="BN72" s="654">
        <f t="shared" si="20"/>
        <v>2.940964307042198</v>
      </c>
      <c r="BO72" s="290"/>
      <c r="BP72" s="830">
        <v>2.91</v>
      </c>
      <c r="BQ72" s="883"/>
      <c r="BR72" s="690"/>
      <c r="BS72" s="654" t="str">
        <f t="shared" si="17"/>
        <v/>
      </c>
      <c r="BT72" s="835"/>
      <c r="BU72" s="830">
        <v>2.91</v>
      </c>
      <c r="BX72" s="666" t="str">
        <f t="shared" si="18"/>
        <v>Jun</v>
      </c>
      <c r="BY72" s="643">
        <f>IF(CB72=$CB76,SUMIF($BI64:$BI75,$BX72,$BR64:$BR75),SUMIF($BI64:$BI75,$BX72,$BM64:$BM75))</f>
        <v>34.135999999999996</v>
      </c>
      <c r="BZ72" s="675">
        <f>IF(IF(CB72=CB76,SUMIF(BI64:BI75,$BX72,BU64:BU75),SUMIF(BI64:BI75,$BX72,BP64:BP75))=0,NA(),IF(CB72=CB76,SUMIF(BI64:BI75,$BX72,BU64:BU75),SUMIF(BI64:BI75,$BX72,BP64:BP75)))</f>
        <v>2.91</v>
      </c>
      <c r="CA72" s="664">
        <f>IF(IF(CB72=CB76,SUMIF(BI64:BI75,$BX72,BS64:BS75),SUMIF(BI64:BI75,$BX72,BN64:BN75))=0,NA(),IF(CB72=CB76,SUMIF(BI64:BI75,$BX72,BS64:BS75),SUMIF(BI64:BI75,$BX72,BN64:BN75)))</f>
        <v>2.940964307042198</v>
      </c>
      <c r="CB72" s="645">
        <f t="shared" si="21"/>
        <v>23</v>
      </c>
      <c r="CC72" s="645">
        <f t="shared" si="19"/>
        <v>6</v>
      </c>
    </row>
    <row r="73" spans="2:81" ht="15" customHeight="1">
      <c r="AD73" s="336"/>
      <c r="AE73" s="336"/>
      <c r="AF73" s="336"/>
      <c r="AG73" s="336"/>
      <c r="AH73" s="336"/>
      <c r="AI73" s="336"/>
      <c r="AJ73" s="336"/>
      <c r="AK73" s="336"/>
      <c r="AL73" s="336"/>
      <c r="AM73" s="336"/>
      <c r="AN73" s="336"/>
      <c r="AO73" s="336"/>
      <c r="AP73" s="336"/>
      <c r="AQ73" s="336"/>
      <c r="AR73" s="336"/>
      <c r="AS73" s="336"/>
      <c r="AT73" s="336"/>
      <c r="AU73" s="336"/>
      <c r="AV73" s="336"/>
      <c r="AW73" s="336"/>
      <c r="AX73" s="336"/>
      <c r="AY73" s="336"/>
      <c r="AZ73" s="336"/>
      <c r="BA73" s="336"/>
      <c r="BB73" s="336"/>
      <c r="BC73" s="336"/>
      <c r="BD73" s="336"/>
      <c r="BI73" s="638" t="s">
        <v>337</v>
      </c>
      <c r="BJ73" s="638">
        <v>10</v>
      </c>
      <c r="BK73" s="638" t="s">
        <v>338</v>
      </c>
      <c r="BL73" s="896">
        <v>42.661999999999999</v>
      </c>
      <c r="BM73" s="897">
        <v>27.873000000000001</v>
      </c>
      <c r="BN73" s="654">
        <f t="shared" si="20"/>
        <v>1.5305851540917732</v>
      </c>
      <c r="BO73" s="833">
        <f>IF(SUM(BM73:BM75=0),0,SUM(BL73:BL75)/SUM(BM73:BM75))</f>
        <v>1.4923253740641682</v>
      </c>
      <c r="BP73" s="830">
        <v>2.91</v>
      </c>
      <c r="BQ73" s="883"/>
      <c r="BR73" s="834"/>
      <c r="BS73" s="654" t="str">
        <f t="shared" si="17"/>
        <v/>
      </c>
      <c r="BT73" s="833">
        <f>IF(SUM(BR73:BR75=0),0,SUM(BQ73:BQ75)/SUM(BR73:BR75))</f>
        <v>0</v>
      </c>
      <c r="BU73" s="830">
        <v>2.91</v>
      </c>
      <c r="BX73" s="666" t="str">
        <f t="shared" si="18"/>
        <v>Jul</v>
      </c>
      <c r="BY73" s="643">
        <f>IF(CB73=$CB76,SUMIF($BI64:$BI75,$BX73,$BR64:$BR75),SUMIF($BI64:$BI75,$BX73,$BM64:$BM75))</f>
        <v>27.873000000000001</v>
      </c>
      <c r="BZ73" s="675">
        <f>IF(IF(CB73=CB76,SUMIF(BI64:BI75,$BX73,BU64:BU75),SUMIF(BI64:BI75,$BX73,BP64:BP75))=0,NA(),IF(CB73=CB76,SUMIF(BI64:BI75,$BX73,BU64:BU75),SUMIF(BI64:BI75,$BX73,BP64:BP75)))</f>
        <v>2.91</v>
      </c>
      <c r="CA73" s="664">
        <f>IF(IF(CB73=CB76,SUMIF(BI64:BI75,$BX73,BS64:BS75),SUMIF(BI64:BI75,$BX73,BN64:BN75))=0,NA(),IF(CB73=CB76,SUMIF(BI64:BI75,$BX73,BS64:BS75),SUMIF(BI64:BI75,$BX73,BN64:BN75)))</f>
        <v>1.5305851540917732</v>
      </c>
      <c r="CB73" s="645">
        <f t="shared" si="21"/>
        <v>23</v>
      </c>
      <c r="CC73" s="645">
        <f t="shared" si="19"/>
        <v>7</v>
      </c>
    </row>
    <row r="74" spans="2:81" ht="15" customHeight="1">
      <c r="AD74" s="336"/>
      <c r="AE74" s="336"/>
      <c r="AF74" s="336"/>
      <c r="AG74" s="336"/>
      <c r="AH74" s="336"/>
      <c r="AI74" s="336"/>
      <c r="AJ74" s="336"/>
      <c r="AK74" s="336"/>
      <c r="AL74" s="336"/>
      <c r="AM74" s="336"/>
      <c r="AN74" s="336"/>
      <c r="AO74" s="336"/>
      <c r="AP74" s="336"/>
      <c r="AQ74" s="336"/>
      <c r="AR74" s="336"/>
      <c r="AS74" s="336"/>
      <c r="AT74" s="336"/>
      <c r="AU74" s="336"/>
      <c r="AV74" s="336"/>
      <c r="AW74" s="336"/>
      <c r="AX74" s="336"/>
      <c r="AY74" s="336"/>
      <c r="AZ74" s="336"/>
      <c r="BA74" s="336"/>
      <c r="BB74" s="336"/>
      <c r="BC74" s="336"/>
      <c r="BD74" s="336"/>
      <c r="BI74" s="638" t="s">
        <v>343</v>
      </c>
      <c r="BJ74" s="638">
        <v>11</v>
      </c>
      <c r="BK74" s="638" t="s">
        <v>338</v>
      </c>
      <c r="BL74" s="896">
        <v>48.015999999999998</v>
      </c>
      <c r="BM74" s="859">
        <v>28.23</v>
      </c>
      <c r="BN74" s="654">
        <f t="shared" si="20"/>
        <v>1.7008855827134253</v>
      </c>
      <c r="BO74" s="290"/>
      <c r="BP74" s="830">
        <v>2.91</v>
      </c>
      <c r="BQ74" s="883"/>
      <c r="BR74" s="690"/>
      <c r="BS74" s="654" t="str">
        <f t="shared" si="17"/>
        <v/>
      </c>
      <c r="BT74" s="835"/>
      <c r="BU74" s="830">
        <v>2.91</v>
      </c>
      <c r="BX74" s="666" t="str">
        <f t="shared" si="18"/>
        <v>Aug</v>
      </c>
      <c r="BY74" s="643">
        <f>IF(CB74=$CB76,SUMIF($BI64:$BI75,$BX74,$BR64:$BR75),SUMIF($BI64:$BI75,$BX74,$BM64:$BM75))</f>
        <v>28.23</v>
      </c>
      <c r="BZ74" s="675">
        <f>IF(IF(CB74=CB76,SUMIF(BI64:BI75,$BX74,BU64:BU75),SUMIF(BI64:BI75,$BX74,BP64:BP75))=0,NA(),IF(CB74=CB76,SUMIF(BI64:BI75,$BX74,BU64:BU75),SUMIF(BI64:BI75,$BX74,BP64:BP75)))</f>
        <v>2.91</v>
      </c>
      <c r="CA74" s="664">
        <f>IF(IF(CB74=CB76,SUMIF(BI64:BI75,$BX74,BS64:BS75),SUMIF(BI64:BI75,$BX74,BN64:BN75))=0,NA(),IF(CB74=CB76,SUMIF(BI64:BI75,$BX74,BS64:BS75),SUMIF(BI64:BI75,$BX74,BN64:BN75)))</f>
        <v>1.7008855827134253</v>
      </c>
      <c r="CB74" s="645">
        <f t="shared" si="21"/>
        <v>23</v>
      </c>
      <c r="CC74" s="645">
        <f t="shared" si="19"/>
        <v>8</v>
      </c>
    </row>
    <row r="75" spans="2:81" ht="15" customHeight="1">
      <c r="AD75" s="336"/>
      <c r="AE75" s="336"/>
      <c r="AF75" s="336"/>
      <c r="AG75" s="336"/>
      <c r="AH75" s="336"/>
      <c r="AI75" s="336"/>
      <c r="AJ75" s="336"/>
      <c r="AK75" s="336"/>
      <c r="AL75" s="336"/>
      <c r="AM75" s="336"/>
      <c r="AN75" s="336"/>
      <c r="AO75" s="336"/>
      <c r="AP75" s="336"/>
      <c r="AQ75" s="336"/>
      <c r="AR75" s="336"/>
      <c r="AS75" s="336"/>
      <c r="AT75" s="336"/>
      <c r="AU75" s="336"/>
      <c r="AV75" s="336"/>
      <c r="AW75" s="336"/>
      <c r="AX75" s="336"/>
      <c r="AY75" s="336"/>
      <c r="AZ75" s="336"/>
      <c r="BA75" s="336"/>
      <c r="BB75" s="336"/>
      <c r="BC75" s="336"/>
      <c r="BD75" s="336"/>
      <c r="BI75" s="638" t="s">
        <v>344</v>
      </c>
      <c r="BJ75" s="638">
        <v>12</v>
      </c>
      <c r="BK75" s="638" t="s">
        <v>338</v>
      </c>
      <c r="BL75" s="896">
        <v>48.256</v>
      </c>
      <c r="BM75" s="859">
        <v>36.996000000000002</v>
      </c>
      <c r="BN75" s="654">
        <f t="shared" si="20"/>
        <v>1.3043572278084117</v>
      </c>
      <c r="BO75" s="290"/>
      <c r="BP75" s="830">
        <v>2.91</v>
      </c>
      <c r="BQ75" s="883"/>
      <c r="BR75" s="690"/>
      <c r="BS75" s="654" t="str">
        <f t="shared" si="17"/>
        <v/>
      </c>
      <c r="BT75" s="835"/>
      <c r="BU75" s="830">
        <v>2.91</v>
      </c>
      <c r="BX75" s="666" t="str">
        <f t="shared" si="18"/>
        <v>Sep</v>
      </c>
      <c r="BY75" s="643">
        <f>IF(CB75=$CB76,SUMIF($BI64:$BI75,$BX75,$BR64:$BR75),SUMIF($BI64:$BI75,$BX75,$BM64:$BM75))</f>
        <v>36.996000000000002</v>
      </c>
      <c r="BZ75" s="675">
        <f>IF(IF(CB75=CB76,SUMIF(BI64:BI75,$BX75,BU64:BU75),SUMIF(BI64:BI75,$BX75,BP64:BP75))=0,NA(),IF(CB75=CB76,SUMIF(BI64:BI75,$BX75,BU64:BU75),SUMIF(BI64:BI75,$BX75,BP64:BP75)))</f>
        <v>2.91</v>
      </c>
      <c r="CA75" s="664">
        <f>IF(IF(CB75=CB76,SUMIF(BI64:BI75,$BX75,BS64:BS75),SUMIF(BI64:BI75,$BX75,BN64:BN75))=0,NA(),IF(CB75=CB76,SUMIF(BI64:BI75,$BX75,BS64:BS75),SUMIF(BI64:BI75,$BX75,BN64:BN75)))</f>
        <v>1.3043572278084117</v>
      </c>
      <c r="CB75" s="645">
        <f t="shared" si="21"/>
        <v>23</v>
      </c>
      <c r="CC75" s="645">
        <f>IF(CC76-1&lt;1,CC76+11,CC76-1)</f>
        <v>9</v>
      </c>
    </row>
    <row r="76" spans="2:81" ht="15" customHeight="1">
      <c r="AD76" s="336"/>
      <c r="AE76" s="336"/>
      <c r="AF76" s="336"/>
      <c r="AG76" s="336"/>
      <c r="AH76" s="336"/>
      <c r="AI76" s="336"/>
      <c r="AJ76" s="336"/>
      <c r="AK76" s="336"/>
      <c r="AL76" s="336"/>
      <c r="AM76" s="336"/>
      <c r="AN76" s="336"/>
      <c r="AO76" s="336"/>
      <c r="AP76" s="336"/>
      <c r="AQ76" s="336"/>
      <c r="AR76" s="336"/>
      <c r="AS76" s="336"/>
      <c r="AT76" s="336"/>
      <c r="AU76" s="336"/>
      <c r="AV76" s="336"/>
      <c r="AW76" s="336"/>
      <c r="AX76" s="336"/>
      <c r="AY76" s="336"/>
      <c r="AZ76" s="336"/>
      <c r="BA76" s="336"/>
      <c r="BB76" s="336"/>
      <c r="BC76" s="336"/>
      <c r="BD76" s="336"/>
      <c r="BJ76" s="277"/>
      <c r="BK76" s="277"/>
      <c r="BL76" s="277"/>
      <c r="BM76" s="277"/>
      <c r="BN76" s="277"/>
      <c r="BO76" s="277"/>
      <c r="BP76" s="277"/>
      <c r="BQ76" s="277"/>
      <c r="BR76" s="277"/>
      <c r="BS76" s="277"/>
      <c r="BT76" s="277"/>
      <c r="BW76" s="667" t="str">
        <f>Cover!$M$34</f>
        <v>OCT FY-24</v>
      </c>
      <c r="BX76" s="666" t="str">
        <f>TEXT(CONCATENATE(CC76,"/01/20",CB76),"MMM")</f>
        <v>Oct</v>
      </c>
      <c r="BY76" s="643">
        <f>SUMIF($BI64:$BI75,$BX76,$BR64:$BR75)</f>
        <v>32.167999999999999</v>
      </c>
      <c r="BZ76" s="675">
        <f>IF(IF(CB76=CB76,SUMIF(BI64:BI75,$BX76,BU64:BU75),SUMIF(BI64:BI75,$BX76,BP64:BP75))=0,NA(),IF(CB76=CB76,SUMIF(BI64:BI75,$BX76,BU64:BU75),SUMIF(BI64:BI75,$BX76,BP64:BP75)))</f>
        <v>2.91</v>
      </c>
      <c r="CA76" s="664">
        <f>IF(SUMIF($BI64:$BI75,$BX76,$BS64:$BS75)=0,NA(),SUMIF($BI64:$BI75,$BX76,$BS64:$BS75))</f>
        <v>0.57031832877393684</v>
      </c>
      <c r="CB76" s="645">
        <f t="shared" si="21"/>
        <v>24</v>
      </c>
      <c r="CC76" s="645">
        <f>MONTH(DATEVALUE(LEFT(BW76,3)&amp;" 1"))</f>
        <v>10</v>
      </c>
    </row>
    <row r="77" spans="2:81" ht="15" customHeight="1">
      <c r="AD77" s="336"/>
      <c r="AE77" s="336"/>
      <c r="AF77" s="336"/>
      <c r="AG77" s="336"/>
      <c r="AH77" s="336"/>
      <c r="AI77" s="336"/>
      <c r="AJ77" s="336"/>
      <c r="AK77" s="336"/>
      <c r="AL77" s="336"/>
      <c r="AM77" s="336"/>
      <c r="AN77" s="336"/>
      <c r="AO77" s="336"/>
      <c r="AP77" s="336"/>
      <c r="AQ77" s="336"/>
      <c r="AR77" s="336"/>
      <c r="AS77" s="336"/>
      <c r="AT77" s="336"/>
      <c r="AU77" s="336"/>
      <c r="AV77" s="336"/>
      <c r="AW77" s="336"/>
      <c r="AX77" s="336"/>
      <c r="AY77" s="336"/>
      <c r="AZ77" s="336"/>
      <c r="BA77" s="336"/>
      <c r="BB77" s="336"/>
      <c r="BC77" s="336"/>
      <c r="BD77" s="336"/>
      <c r="BI77" s="6"/>
      <c r="BJ77" s="6"/>
      <c r="BK77" s="6"/>
      <c r="BL77" s="6"/>
      <c r="BM77" s="6"/>
      <c r="BN77" s="6"/>
      <c r="BO77" s="6"/>
      <c r="BP77" s="6"/>
      <c r="BQ77" s="6"/>
      <c r="BR77" s="6"/>
      <c r="BS77" s="6"/>
      <c r="BT77" s="6"/>
      <c r="BU77" s="6"/>
    </row>
    <row r="78" spans="2:81" ht="15" customHeight="1">
      <c r="AD78" s="336"/>
      <c r="AE78" s="336"/>
      <c r="AF78" s="336"/>
      <c r="AG78" s="336"/>
      <c r="AH78" s="336"/>
      <c r="AI78" s="336"/>
      <c r="AJ78" s="336"/>
      <c r="AK78" s="336"/>
      <c r="AL78" s="336"/>
      <c r="AM78" s="336"/>
      <c r="AN78" s="336"/>
      <c r="AO78" s="336"/>
      <c r="AP78" s="336"/>
      <c r="AQ78" s="336"/>
      <c r="AR78" s="336"/>
      <c r="AS78" s="336"/>
      <c r="AT78" s="336"/>
      <c r="AU78" s="336"/>
      <c r="AV78" s="336"/>
      <c r="AW78" s="336"/>
      <c r="AX78" s="336"/>
      <c r="AY78" s="336"/>
      <c r="AZ78" s="336"/>
      <c r="BA78" s="336"/>
      <c r="BB78" s="336"/>
      <c r="BC78" s="336"/>
      <c r="BD78" s="336"/>
      <c r="BI78" s="54" t="s">
        <v>292</v>
      </c>
      <c r="BJ78" s="287" t="s">
        <v>734</v>
      </c>
      <c r="BK78" s="287"/>
      <c r="BL78" s="287"/>
      <c r="BM78" s="287"/>
      <c r="BN78" s="287"/>
      <c r="BO78" s="287"/>
      <c r="BP78" s="287"/>
      <c r="BQ78" s="287"/>
      <c r="BR78" s="287"/>
      <c r="BS78" s="287"/>
      <c r="BT78" s="287"/>
      <c r="BU78" s="287"/>
    </row>
    <row r="79" spans="2:81" ht="15" customHeight="1">
      <c r="AD79" s="336"/>
      <c r="AE79" s="336"/>
      <c r="AF79" s="336"/>
      <c r="AG79" s="336"/>
      <c r="AH79" s="336"/>
      <c r="AI79" s="336"/>
      <c r="AJ79" s="336"/>
      <c r="AK79" s="336"/>
      <c r="AL79" s="336"/>
      <c r="AM79" s="336"/>
      <c r="AN79" s="336"/>
      <c r="AO79" s="336"/>
      <c r="AP79" s="336"/>
      <c r="AQ79" s="336"/>
      <c r="AR79" s="336"/>
      <c r="AS79" s="336"/>
      <c r="AT79" s="336"/>
      <c r="AU79" s="336"/>
      <c r="AV79" s="336"/>
      <c r="AW79" s="336"/>
      <c r="AX79" s="336"/>
      <c r="AY79" s="336"/>
      <c r="AZ79" s="336"/>
      <c r="BA79" s="336"/>
      <c r="BB79" s="336"/>
      <c r="BC79" s="336"/>
      <c r="BD79" s="336"/>
      <c r="BI79" s="54" t="s">
        <v>296</v>
      </c>
      <c r="BJ79" s="287" t="s">
        <v>410</v>
      </c>
      <c r="BK79" s="287"/>
      <c r="BL79" s="287"/>
      <c r="BM79" s="287"/>
      <c r="BN79" s="287"/>
      <c r="BO79" s="287"/>
      <c r="BP79" s="287"/>
      <c r="BQ79" s="287"/>
      <c r="BR79" s="287"/>
      <c r="BS79" s="287"/>
      <c r="BT79" s="287"/>
      <c r="BU79" s="287"/>
    </row>
    <row r="80" spans="2:81" ht="15" customHeight="1" thickBot="1">
      <c r="AD80" s="336"/>
      <c r="AE80" s="336"/>
      <c r="AF80" s="336"/>
      <c r="AG80" s="336"/>
      <c r="AH80" s="336"/>
      <c r="AI80" s="336"/>
      <c r="AJ80" s="336"/>
      <c r="AK80" s="336"/>
      <c r="AL80" s="336"/>
      <c r="AM80" s="336"/>
      <c r="AN80" s="336"/>
      <c r="AO80" s="336"/>
      <c r="AP80" s="336"/>
      <c r="AQ80" s="336"/>
      <c r="AR80" s="336"/>
      <c r="AS80" s="336"/>
      <c r="AT80" s="336"/>
      <c r="AU80" s="336"/>
      <c r="AV80" s="336"/>
      <c r="AW80" s="336"/>
      <c r="AX80" s="336"/>
      <c r="AY80" s="336"/>
      <c r="AZ80" s="336"/>
      <c r="BA80" s="336"/>
      <c r="BB80" s="336"/>
      <c r="BC80" s="336"/>
      <c r="BD80" s="336"/>
      <c r="BI80" s="54" t="s">
        <v>300</v>
      </c>
      <c r="BJ80" s="287" t="s">
        <v>411</v>
      </c>
      <c r="BK80" s="287"/>
      <c r="BL80" s="287"/>
      <c r="BM80" s="287"/>
      <c r="BN80" s="287"/>
      <c r="BO80" s="287"/>
      <c r="BP80" s="287"/>
      <c r="BQ80" s="287"/>
      <c r="BR80" s="287"/>
      <c r="BS80" s="287"/>
      <c r="BT80" s="287"/>
      <c r="BU80" s="287"/>
    </row>
    <row r="81" spans="1:86" ht="15" customHeight="1" thickBot="1">
      <c r="AD81" s="336"/>
      <c r="AE81" s="336"/>
      <c r="AF81" s="336"/>
      <c r="AG81" s="336"/>
      <c r="AH81" s="336"/>
      <c r="AI81" s="336"/>
      <c r="AJ81" s="336"/>
      <c r="AK81" s="336"/>
      <c r="AL81" s="336"/>
      <c r="AM81" s="336"/>
      <c r="AN81" s="336"/>
      <c r="AO81" s="336"/>
      <c r="AP81" s="336"/>
      <c r="AQ81" s="336"/>
      <c r="AR81" s="336"/>
      <c r="AS81" s="336"/>
      <c r="AT81" s="336"/>
      <c r="AU81" s="336"/>
      <c r="AV81" s="336"/>
      <c r="AW81" s="336"/>
      <c r="AX81" s="336"/>
      <c r="AY81" s="336"/>
      <c r="AZ81" s="336"/>
      <c r="BA81" s="336"/>
      <c r="BB81" s="336"/>
      <c r="BC81" s="336"/>
      <c r="BD81" s="336"/>
      <c r="BI81" s="277"/>
      <c r="BJ81" s="277"/>
      <c r="BK81" s="277"/>
      <c r="BL81" s="1148" t="s">
        <v>302</v>
      </c>
      <c r="BM81" s="1149"/>
      <c r="BN81" s="1149"/>
      <c r="BO81" s="1149"/>
      <c r="BP81" s="1151"/>
      <c r="BQ81" s="1148" t="s">
        <v>719</v>
      </c>
      <c r="BR81" s="1149"/>
      <c r="BS81" s="1149"/>
      <c r="BT81" s="1149"/>
      <c r="BU81" s="1150"/>
      <c r="BW81" s="1148" t="s">
        <v>303</v>
      </c>
      <c r="BX81" s="1149"/>
      <c r="BY81" s="1149"/>
      <c r="BZ81" s="1149"/>
      <c r="CA81" s="1149"/>
      <c r="CB81" s="1149"/>
      <c r="CC81" s="1150"/>
    </row>
    <row r="82" spans="1:86" ht="15" customHeight="1">
      <c r="AD82" s="336"/>
      <c r="AE82" s="336"/>
      <c r="AF82" s="336"/>
      <c r="AG82" s="336"/>
      <c r="AH82" s="336"/>
      <c r="AI82" s="336"/>
      <c r="AJ82" s="336"/>
      <c r="AK82" s="336"/>
      <c r="AL82" s="336"/>
      <c r="AM82" s="336"/>
      <c r="AN82" s="336"/>
      <c r="AO82" s="336"/>
      <c r="AP82" s="336"/>
      <c r="AQ82" s="336"/>
      <c r="AR82" s="336"/>
      <c r="AS82" s="336"/>
      <c r="AT82" s="336"/>
      <c r="AU82" s="336"/>
      <c r="AV82" s="336"/>
      <c r="AW82" s="336"/>
      <c r="AX82" s="336"/>
      <c r="AY82" s="336"/>
      <c r="AZ82" s="336"/>
      <c r="BA82" s="336"/>
      <c r="BB82" s="336"/>
      <c r="BC82" s="336"/>
      <c r="BD82" s="336"/>
      <c r="BI82" s="636" t="s">
        <v>23</v>
      </c>
      <c r="BJ82" s="636" t="s">
        <v>37</v>
      </c>
      <c r="BK82" s="636" t="s">
        <v>304</v>
      </c>
      <c r="BL82" s="637" t="s">
        <v>305</v>
      </c>
      <c r="BM82" s="637" t="s">
        <v>310</v>
      </c>
      <c r="BN82" s="637" t="s">
        <v>311</v>
      </c>
      <c r="BO82" s="278" t="s">
        <v>312</v>
      </c>
      <c r="BP82" s="637" t="s">
        <v>313</v>
      </c>
      <c r="BQ82" s="637" t="s">
        <v>305</v>
      </c>
      <c r="BR82" s="637" t="s">
        <v>715</v>
      </c>
      <c r="BS82" s="637" t="s">
        <v>716</v>
      </c>
      <c r="BT82" s="278" t="s">
        <v>717</v>
      </c>
      <c r="BU82" s="637" t="s">
        <v>718</v>
      </c>
      <c r="BW82" s="279" t="s">
        <v>314</v>
      </c>
      <c r="BX82" s="279" t="s">
        <v>23</v>
      </c>
      <c r="BY82" s="280" t="s">
        <v>315</v>
      </c>
      <c r="BZ82" s="875" t="s">
        <v>122</v>
      </c>
      <c r="CA82" s="279" t="s">
        <v>316</v>
      </c>
      <c r="CB82" s="279" t="s">
        <v>317</v>
      </c>
      <c r="CC82" s="279" t="s">
        <v>318</v>
      </c>
    </row>
    <row r="83" spans="1:86" ht="15" customHeight="1">
      <c r="AD83" s="336"/>
      <c r="AE83" s="336"/>
      <c r="AF83" s="336"/>
      <c r="AG83" s="336"/>
      <c r="AH83" s="336"/>
      <c r="AI83" s="336"/>
      <c r="AJ83" s="336"/>
      <c r="AK83" s="336"/>
      <c r="AL83" s="336"/>
      <c r="AM83" s="336"/>
      <c r="AN83" s="336"/>
      <c r="AO83" s="336"/>
      <c r="AP83" s="336"/>
      <c r="AQ83" s="336"/>
      <c r="AR83" s="336"/>
      <c r="AS83" s="336"/>
      <c r="AT83" s="336"/>
      <c r="AU83" s="336"/>
      <c r="AV83" s="336"/>
      <c r="AW83" s="336"/>
      <c r="AX83" s="336"/>
      <c r="AY83" s="336"/>
      <c r="AZ83" s="336"/>
      <c r="BA83" s="336"/>
      <c r="BB83" s="336"/>
      <c r="BC83" s="336"/>
      <c r="BD83" s="336"/>
      <c r="BI83" s="638" t="s">
        <v>319</v>
      </c>
      <c r="BJ83" s="638">
        <v>1</v>
      </c>
      <c r="BK83" s="638" t="s">
        <v>320</v>
      </c>
      <c r="BL83" s="822">
        <v>1.006</v>
      </c>
      <c r="BM83" s="689">
        <v>1.0489999999999999</v>
      </c>
      <c r="BN83" s="653">
        <f>IF(BM83="","",BL83/BM83)</f>
        <v>0.95900857959961872</v>
      </c>
      <c r="BO83" s="289">
        <f>IF(SUM(BM83:BM85=0),0,SUM(BL83:BL85)/SUM(BM83:BM85))</f>
        <v>0.87297106563161631</v>
      </c>
      <c r="BP83" s="821">
        <v>0.9</v>
      </c>
      <c r="BQ83" s="822">
        <v>0.79100000000000004</v>
      </c>
      <c r="BR83" s="689">
        <v>0.90300000000000002</v>
      </c>
      <c r="BS83" s="653">
        <f>IF(BR83="","",BQ83/BR83)</f>
        <v>0.87596899224806202</v>
      </c>
      <c r="BT83" s="289">
        <f>IF(SUM(BR83:BR85=0),0,SUM(BQ83:BQ85)/SUM(BR83:BR85))</f>
        <v>0.87596899224806202</v>
      </c>
      <c r="BU83" s="821">
        <v>0.9</v>
      </c>
      <c r="BX83" s="666" t="str">
        <f t="shared" ref="BX83:BX94" si="22">TEXT(CONCATENATE(CC83,"/01/20",CB83),"MMM")</f>
        <v>Oct</v>
      </c>
      <c r="BY83" s="643">
        <f>IF(CB83=$CB95,SUMIF($BI83:$BI94,$BX83,$BR83:$BR94),SUMIF($BI83:$BI94,$BX83,$BM83:$BM94))</f>
        <v>1.0489999999999999</v>
      </c>
      <c r="BZ83" s="821">
        <f>IF(IF(CB83=CB95,SUMIF(BI83:BI94,$BX83,BU83:BU94),SUMIF(BI83:BI94,$BX83,BP83:BP94))=0,NA(),IF(CB83=CB95,SUMIF(BI83:BI94,$BX83,BU83:BU94),SUMIF(BI83:BI94,$BX83,BP83:BP94)))</f>
        <v>0.9</v>
      </c>
      <c r="CA83" s="640">
        <f>IF(IF(CB83=CB95,SUMIF(BI83:BI94,$BX83,BS83:BS94),SUMIF(BI83:BI94,$BX83,BN83:BN94))=0,NA(),IF(CB83=CB95,SUMIF(BI83:BI94,$BX83,BS83:BS94),SUMIF(BI83:BI94,$BX83,BN83:BN94)))</f>
        <v>0.95900857959961872</v>
      </c>
      <c r="CB83" s="645">
        <f>CB64</f>
        <v>23</v>
      </c>
      <c r="CC83" s="645">
        <f t="shared" ref="CC83:CC93" si="23">IF(CC84-1&lt;1,CC84+11,CC84-1)</f>
        <v>10</v>
      </c>
    </row>
    <row r="84" spans="1:86" ht="15" customHeight="1">
      <c r="AD84" s="336"/>
      <c r="AE84" s="336"/>
      <c r="AF84" s="336"/>
      <c r="AG84" s="336"/>
      <c r="AH84" s="336"/>
      <c r="AI84" s="336"/>
      <c r="AJ84" s="336"/>
      <c r="AK84" s="336"/>
      <c r="AL84" s="336"/>
      <c r="AM84" s="336"/>
      <c r="AN84" s="336"/>
      <c r="AO84" s="336"/>
      <c r="AP84" s="336"/>
      <c r="AQ84" s="336"/>
      <c r="AR84" s="336"/>
      <c r="AS84" s="336"/>
      <c r="AT84" s="336"/>
      <c r="AU84" s="336"/>
      <c r="AV84" s="336"/>
      <c r="AW84" s="336"/>
      <c r="AX84" s="336"/>
      <c r="AY84" s="336"/>
      <c r="AZ84" s="336"/>
      <c r="BA84" s="336"/>
      <c r="BB84" s="336"/>
      <c r="BC84" s="336"/>
      <c r="BD84" s="336"/>
      <c r="BI84" s="638" t="s">
        <v>321</v>
      </c>
      <c r="BJ84" s="638">
        <v>2</v>
      </c>
      <c r="BK84" s="638" t="s">
        <v>320</v>
      </c>
      <c r="BL84" s="822">
        <v>0.71799999999999997</v>
      </c>
      <c r="BM84" s="689">
        <v>0.83499999999999996</v>
      </c>
      <c r="BN84" s="653">
        <f t="shared" ref="BN84:BN94" si="24">IF(BM84="","",BL84/BM84)</f>
        <v>0.85988023952095805</v>
      </c>
      <c r="BO84" s="290"/>
      <c r="BP84" s="821">
        <v>0.9</v>
      </c>
      <c r="BQ84" s="822"/>
      <c r="BR84" s="689"/>
      <c r="BS84" s="653" t="str">
        <f t="shared" ref="BS84:BS94" si="25">IF(BR84="","",BQ84/BR84)</f>
        <v/>
      </c>
      <c r="BT84" s="290"/>
      <c r="BU84" s="821">
        <v>0.9</v>
      </c>
      <c r="BX84" s="666" t="str">
        <f t="shared" si="22"/>
        <v>Nov</v>
      </c>
      <c r="BY84" s="643">
        <f>IF(CB84=$CB95,SUMIF($BI83:$BI94,$BX84,$BR83:$BR94),SUMIF($BI83:$BI94,$BX84,$BM83:$BM94))</f>
        <v>0.83499999999999996</v>
      </c>
      <c r="BZ84" s="821">
        <f>IF(IF(CB84=CB95,SUMIF(BI83:BI94,$BX84,BU83:BU94),SUMIF(BI83:BI94,$BX84,BP83:BP94))=0,NA(),IF(CB84=CB95,SUMIF(BI83:BI94,$BX84,BU83:BU94),SUMIF(BI83:BI94,$BX84,BP83:BP94)))</f>
        <v>0.9</v>
      </c>
      <c r="CA84" s="640">
        <f>IF(IF(CB84=CB95,SUMIF(BI83:BI94,$BX84,BS83:BS94),SUMIF(BI83:BI94,$BX84,BN83:BN94))=0,NA(),IF(CB84=CB95,SUMIF(BI83:BI94,$BX84,BS83:BS94),SUMIF(BI83:BI94,$BX84,BN83:BN94)))</f>
        <v>0.85988023952095805</v>
      </c>
      <c r="CB84" s="645">
        <f t="shared" ref="CB84:CB95" si="26">CB65</f>
        <v>23</v>
      </c>
      <c r="CC84" s="645">
        <f t="shared" si="23"/>
        <v>11</v>
      </c>
    </row>
    <row r="85" spans="1:86" ht="15" customHeight="1">
      <c r="AD85" s="336"/>
      <c r="AE85" s="336"/>
      <c r="AF85" s="336"/>
      <c r="AG85" s="336"/>
      <c r="AH85" s="336"/>
      <c r="AI85" s="336"/>
      <c r="AJ85" s="336"/>
      <c r="AK85" s="336"/>
      <c r="AL85" s="336"/>
      <c r="AM85" s="336"/>
      <c r="AN85" s="336"/>
      <c r="AO85" s="336"/>
      <c r="AP85" s="336"/>
      <c r="AQ85" s="336"/>
      <c r="AR85" s="336"/>
      <c r="AS85" s="336"/>
      <c r="AT85" s="336"/>
      <c r="AU85" s="336"/>
      <c r="AV85" s="336"/>
      <c r="AW85" s="336"/>
      <c r="AX85" s="336"/>
      <c r="AY85" s="336"/>
      <c r="AZ85" s="336"/>
      <c r="BA85" s="336"/>
      <c r="BB85" s="336"/>
      <c r="BC85" s="336"/>
      <c r="BD85" s="336"/>
      <c r="BI85" s="638" t="s">
        <v>322</v>
      </c>
      <c r="BJ85" s="638">
        <v>3</v>
      </c>
      <c r="BK85" s="638" t="s">
        <v>320</v>
      </c>
      <c r="BL85" s="822">
        <v>0.75</v>
      </c>
      <c r="BM85" s="689">
        <v>0.95</v>
      </c>
      <c r="BN85" s="653">
        <f t="shared" si="24"/>
        <v>0.78947368421052633</v>
      </c>
      <c r="BO85" s="290"/>
      <c r="BP85" s="821">
        <v>0.9</v>
      </c>
      <c r="BQ85" s="822"/>
      <c r="BR85" s="689"/>
      <c r="BS85" s="653" t="str">
        <f t="shared" si="25"/>
        <v/>
      </c>
      <c r="BT85" s="290"/>
      <c r="BU85" s="821">
        <v>0.9</v>
      </c>
      <c r="BX85" s="666" t="str">
        <f t="shared" si="22"/>
        <v>Dec</v>
      </c>
      <c r="BY85" s="643">
        <f>IF(CB85=$CB95,SUMIF($BI83:$BI94,$BX85,$BR83:$BR94),SUMIF($BI83:$BI94,$BX85,$BM83:$BM94))</f>
        <v>0.95</v>
      </c>
      <c r="BZ85" s="821">
        <f>IF(IF(CB85=CB95,SUMIF(BI83:BI94,$BX85,BU83:BU94),SUMIF(BI83:BI94,$BX85,BP83:BP94))=0,NA(),IF(CB85=CB95,SUMIF(BI83:BI94,$BX85,BU83:BU94),SUMIF(BI83:BI94,$BX85,BP83:BP94)))</f>
        <v>0.9</v>
      </c>
      <c r="CA85" s="640">
        <f>IF(IF(CB85=CB95,SUMIF(BI83:BI94,$BX85,BS83:BS94),SUMIF(BI83:BI94,$BX85,BN83:BN94))=0,NA(),IF(CB85=CB95,SUMIF(BI83:BI94,$BX85,BS83:BS94),SUMIF(BI83:BI94,$BX85,BN83:BN94)))</f>
        <v>0.78947368421052633</v>
      </c>
      <c r="CB85" s="645">
        <f t="shared" si="26"/>
        <v>23</v>
      </c>
      <c r="CC85" s="645">
        <f t="shared" si="23"/>
        <v>12</v>
      </c>
    </row>
    <row r="86" spans="1:86" ht="15" customHeight="1">
      <c r="AD86" s="336"/>
      <c r="AE86" s="336"/>
      <c r="AF86" s="336"/>
      <c r="AG86" s="336"/>
      <c r="AH86" s="336"/>
      <c r="AI86" s="336"/>
      <c r="AJ86" s="336"/>
      <c r="AK86" s="336"/>
      <c r="AL86" s="336"/>
      <c r="AM86" s="336"/>
      <c r="AN86" s="336"/>
      <c r="AO86" s="336"/>
      <c r="AP86" s="336"/>
      <c r="AQ86" s="336"/>
      <c r="AR86" s="336"/>
      <c r="AS86" s="336"/>
      <c r="AT86" s="336"/>
      <c r="AU86" s="336"/>
      <c r="AV86" s="336"/>
      <c r="AW86" s="336"/>
      <c r="AX86" s="336"/>
      <c r="AY86" s="336"/>
      <c r="AZ86" s="336"/>
      <c r="BA86" s="336"/>
      <c r="BB86" s="336"/>
      <c r="BC86" s="336"/>
      <c r="BD86" s="336"/>
      <c r="BI86" s="638" t="s">
        <v>323</v>
      </c>
      <c r="BJ86" s="638">
        <v>4</v>
      </c>
      <c r="BK86" s="638" t="s">
        <v>324</v>
      </c>
      <c r="BL86" s="822">
        <v>0.746</v>
      </c>
      <c r="BM86" s="689">
        <v>0.79500000000000004</v>
      </c>
      <c r="BN86" s="653">
        <f t="shared" si="24"/>
        <v>0.93836477987421374</v>
      </c>
      <c r="BO86" s="289">
        <f>IF(SUM(BM86:BM88=0),0,SUM(BL86:BL88)/SUM(BM86:BM88))</f>
        <v>0.90955457327439648</v>
      </c>
      <c r="BP86" s="821">
        <v>0.9</v>
      </c>
      <c r="BQ86" s="822"/>
      <c r="BR86" s="689"/>
      <c r="BS86" s="653" t="str">
        <f t="shared" si="25"/>
        <v/>
      </c>
      <c r="BT86" s="289">
        <f>IF(SUM(BR86:BR88=0),0,SUM(BQ86:BQ88)/SUM(BR86:BR88))</f>
        <v>0</v>
      </c>
      <c r="BU86" s="821">
        <v>0.9</v>
      </c>
      <c r="BX86" s="666" t="str">
        <f t="shared" si="22"/>
        <v>Jan</v>
      </c>
      <c r="BY86" s="643">
        <f>IF(CB86=$CB95,SUMIF($BI83:$BI94,$BX86,$BR83:$BR94),SUMIF($BI83:$BI94,$BX86,$BM83:$BM94))</f>
        <v>0.79500000000000004</v>
      </c>
      <c r="BZ86" s="821">
        <f>IF(IF(CB86=CB95,SUMIF(BI83:BI94,$BX86,BU83:BU94),SUMIF(BI83:BI94,$BX86,BP83:BP94))=0,NA(),IF(CB86=CB95,SUMIF(BI83:BI94,$BX86,BU83:BU94),SUMIF(BI83:BI94,$BX86,BP83:BP94)))</f>
        <v>0.9</v>
      </c>
      <c r="CA86" s="640">
        <f>IF(IF(CB86=CB95,SUMIF(BI83:BI94,$BX86,BS83:BS94),SUMIF(BI83:BI94,$BX86,BN83:BN94))=0,NA(),IF(CB86=CB95,SUMIF(BI83:BI94,$BX86,BS83:BS94),SUMIF(BI83:BI94,$BX86,BN83:BN94)))</f>
        <v>0.93836477987421374</v>
      </c>
      <c r="CB86" s="645">
        <f t="shared" si="26"/>
        <v>23</v>
      </c>
      <c r="CC86" s="645">
        <f t="shared" si="23"/>
        <v>1</v>
      </c>
    </row>
    <row r="87" spans="1:86" ht="15" customHeight="1">
      <c r="AD87" s="336"/>
      <c r="AE87" s="336"/>
      <c r="AF87" s="336"/>
      <c r="AG87" s="336"/>
      <c r="AH87" s="336"/>
      <c r="AI87" s="336"/>
      <c r="AJ87" s="336"/>
      <c r="AK87" s="336"/>
      <c r="AL87" s="336"/>
      <c r="AM87" s="336"/>
      <c r="AN87" s="336"/>
      <c r="AO87" s="336"/>
      <c r="AP87" s="336"/>
      <c r="AQ87" s="336"/>
      <c r="AR87" s="336"/>
      <c r="AS87" s="336"/>
      <c r="AT87" s="336"/>
      <c r="AU87" s="336"/>
      <c r="AV87" s="336"/>
      <c r="AW87" s="336"/>
      <c r="AX87" s="336"/>
      <c r="AY87" s="336"/>
      <c r="AZ87" s="336"/>
      <c r="BA87" s="336"/>
      <c r="BB87" s="336"/>
      <c r="BC87" s="336"/>
      <c r="BD87" s="336"/>
      <c r="BI87" s="638" t="s">
        <v>325</v>
      </c>
      <c r="BJ87" s="638">
        <v>5</v>
      </c>
      <c r="BK87" s="638" t="s">
        <v>324</v>
      </c>
      <c r="BL87" s="690">
        <v>0.84499999999999997</v>
      </c>
      <c r="BM87" s="822">
        <v>0.93600000000000005</v>
      </c>
      <c r="BN87" s="653">
        <f t="shared" si="24"/>
        <v>0.90277777777777768</v>
      </c>
      <c r="BO87" s="290"/>
      <c r="BP87" s="821">
        <v>0.9</v>
      </c>
      <c r="BQ87" s="690"/>
      <c r="BR87" s="822"/>
      <c r="BS87" s="653" t="str">
        <f t="shared" si="25"/>
        <v/>
      </c>
      <c r="BT87" s="290"/>
      <c r="BU87" s="821">
        <v>0.9</v>
      </c>
      <c r="BX87" s="666" t="str">
        <f t="shared" si="22"/>
        <v>Feb</v>
      </c>
      <c r="BY87" s="643">
        <f>IF(CB87=$CB95,SUMIF($BI83:$BI94,$BX87,$BR83:$BR94),SUMIF($BI83:$BI94,$BX87,$BM83:$BM94))</f>
        <v>0.93600000000000005</v>
      </c>
      <c r="BZ87" s="821">
        <f>IF(IF(CB87=CB95,SUMIF(BI83:BI94,$BX87,BU83:BU94),SUMIF(BI83:BI94,$BX87,BP83:BP94))=0,NA(),IF(CB87=CB95,SUMIF(BI83:BI94,$BX87,BU83:BU94),SUMIF(BI83:BI94,$BX87,BP83:BP94)))</f>
        <v>0.9</v>
      </c>
      <c r="CA87" s="640">
        <f>IF(IF(CB87=CB95,SUMIF(BI83:BI94,$BX87,BS83:BS94),SUMIF(BI83:BI94,$BX87,BN83:BN94))=0,NA(),IF(CB87=CB95,SUMIF(BI83:BI94,$BX87,BS83:BS94),SUMIF(BI83:BI94,$BX87,BN83:BN94)))</f>
        <v>0.90277777777777768</v>
      </c>
      <c r="CB87" s="645">
        <f t="shared" si="26"/>
        <v>23</v>
      </c>
      <c r="CC87" s="645">
        <f t="shared" si="23"/>
        <v>2</v>
      </c>
    </row>
    <row r="88" spans="1:86" ht="15" customHeight="1">
      <c r="B88" s="267" t="s">
        <v>242</v>
      </c>
      <c r="C88" s="267"/>
      <c r="D88" s="267"/>
      <c r="E88" s="334"/>
      <c r="F88" s="326"/>
      <c r="G88" s="326"/>
      <c r="H88" s="326"/>
      <c r="I88" s="326"/>
      <c r="J88" s="326"/>
      <c r="K88" s="326"/>
      <c r="L88" s="326"/>
      <c r="M88" s="326"/>
      <c r="N88" s="326"/>
      <c r="O88" s="326"/>
      <c r="P88" s="326"/>
      <c r="Q88" s="326"/>
      <c r="R88" s="326"/>
      <c r="S88" s="326"/>
      <c r="T88" s="326"/>
      <c r="U88" s="326"/>
      <c r="V88" s="326"/>
      <c r="W88" s="326"/>
      <c r="X88" s="326"/>
      <c r="Y88" s="326"/>
      <c r="Z88" s="326"/>
      <c r="AA88" s="326"/>
      <c r="AB88" s="326"/>
      <c r="AE88" s="267" t="s">
        <v>242</v>
      </c>
      <c r="AF88" s="267"/>
      <c r="AG88" s="267"/>
      <c r="AH88" s="334"/>
      <c r="AI88" s="326"/>
      <c r="AJ88" s="326"/>
      <c r="AK88" s="326"/>
      <c r="AL88" s="326"/>
      <c r="AM88" s="326"/>
      <c r="AN88" s="326"/>
      <c r="AO88" s="326"/>
      <c r="AP88" s="326"/>
      <c r="AQ88" s="326"/>
      <c r="AR88" s="326"/>
      <c r="AS88" s="326"/>
      <c r="AT88" s="326"/>
      <c r="AU88" s="326"/>
      <c r="AV88" s="326"/>
      <c r="AW88" s="326"/>
      <c r="AX88" s="326"/>
      <c r="AY88" s="326"/>
      <c r="AZ88" s="326"/>
      <c r="BA88" s="326"/>
      <c r="BB88" s="326"/>
      <c r="BC88" s="326"/>
      <c r="BD88" s="326"/>
      <c r="BE88" s="326"/>
      <c r="BI88" s="638" t="s">
        <v>326</v>
      </c>
      <c r="BJ88" s="638">
        <v>6</v>
      </c>
      <c r="BK88" s="638" t="s">
        <v>324</v>
      </c>
      <c r="BL88" s="690">
        <v>1.0840000000000001</v>
      </c>
      <c r="BM88" s="822">
        <v>1.21</v>
      </c>
      <c r="BN88" s="653">
        <f t="shared" si="24"/>
        <v>0.89586776859504136</v>
      </c>
      <c r="BO88" s="290"/>
      <c r="BP88" s="821">
        <v>0.9</v>
      </c>
      <c r="BQ88" s="690"/>
      <c r="BR88" s="822"/>
      <c r="BS88" s="653" t="str">
        <f t="shared" si="25"/>
        <v/>
      </c>
      <c r="BT88" s="290"/>
      <c r="BU88" s="821">
        <v>0.9</v>
      </c>
      <c r="BX88" s="666" t="str">
        <f t="shared" si="22"/>
        <v>Mar</v>
      </c>
      <c r="BY88" s="643">
        <f>IF(CB88=$CB95,SUMIF($BI83:$BI94,$BX88,$BR83:$BR94),SUMIF($BI83:$BI94,$BX88,$BM83:$BM94))</f>
        <v>1.21</v>
      </c>
      <c r="BZ88" s="821">
        <f>IF(IF(CB88=CB95,SUMIF(BI83:BI94,$BX88,BU83:BU94),SUMIF(BI83:BI94,$BX88,BP83:BP94))=0,NA(),IF(CB88=CB95,SUMIF(BI83:BI94,$BX88,BU83:BU94),SUMIF(BI83:BI94,$BX88,BP83:BP94)))</f>
        <v>0.9</v>
      </c>
      <c r="CA88" s="640">
        <f>IF(IF(CB88=CB95,SUMIF(BI83:BI94,$BX88,BS83:BS94),SUMIF(BI83:BI94,$BX88,BN83:BN94))=0,NA(),IF(CB88=CB95,SUMIF(BI83:BI94,$BX88,BS83:BS94),SUMIF(BI83:BI94,$BX88,BN83:BN94)))</f>
        <v>0.89586776859504136</v>
      </c>
      <c r="CB88" s="645">
        <f t="shared" si="26"/>
        <v>23</v>
      </c>
      <c r="CC88" s="645">
        <f t="shared" si="23"/>
        <v>3</v>
      </c>
    </row>
    <row r="89" spans="1:86" ht="15" customHeight="1">
      <c r="B89" s="1137" t="str">
        <f>AC40</f>
        <v>Variance in prior period/year metric directly related to how this KPI was calculated previously; beginning in FY24 AP is using a cost calculator, resource allocation formula to accurately capture cost per metric. Prior reporting also included manager/director salary and did not take into account other tasks related to payment processing. We will potentially adjust the goal within the FY.</v>
      </c>
      <c r="C89" s="1138"/>
      <c r="D89" s="1138"/>
      <c r="E89" s="1138"/>
      <c r="F89" s="1138"/>
      <c r="G89" s="1138"/>
      <c r="H89" s="1138"/>
      <c r="I89" s="1138"/>
      <c r="J89" s="1138"/>
      <c r="K89" s="1138"/>
      <c r="L89" s="1138"/>
      <c r="M89" s="1138"/>
      <c r="N89" s="1138"/>
      <c r="O89" s="1138"/>
      <c r="P89" s="1138"/>
      <c r="Q89" s="1138"/>
      <c r="R89" s="1138"/>
      <c r="S89" s="1138"/>
      <c r="T89" s="1138"/>
      <c r="U89" s="1138"/>
      <c r="V89" s="1138"/>
      <c r="W89" s="1138"/>
      <c r="X89" s="1138"/>
      <c r="Y89" s="1138"/>
      <c r="Z89" s="1138"/>
      <c r="AA89" s="1138"/>
      <c r="AB89" s="1139"/>
      <c r="AC89" s="564"/>
      <c r="AD89" s="564"/>
      <c r="AE89" s="1137" t="str">
        <f>AC41</f>
        <v>CHANGE in SLA (added 1 day) to accurately reflect process &amp; special handling requirements across the department
GOAL remains at 90%; will monitor &amp; adjust goal (increase) to ensure we are providing swift service to our businesses
Missed goal this period; primary incident resolution resource was on extended vacation; discovered gap in ticket resolution; incident resolution training across entire team underway to cover future gaps</v>
      </c>
      <c r="AF89" s="1138"/>
      <c r="AG89" s="1138"/>
      <c r="AH89" s="1138"/>
      <c r="AI89" s="1138"/>
      <c r="AJ89" s="1138"/>
      <c r="AK89" s="1138"/>
      <c r="AL89" s="1138"/>
      <c r="AM89" s="1138"/>
      <c r="AN89" s="1138"/>
      <c r="AO89" s="1138"/>
      <c r="AP89" s="1138"/>
      <c r="AQ89" s="1138"/>
      <c r="AR89" s="1138"/>
      <c r="AS89" s="1138"/>
      <c r="AT89" s="1138"/>
      <c r="AU89" s="1138"/>
      <c r="AV89" s="1138"/>
      <c r="AW89" s="1138"/>
      <c r="AX89" s="1138"/>
      <c r="AY89" s="1138"/>
      <c r="AZ89" s="1138"/>
      <c r="BA89" s="1138"/>
      <c r="BB89" s="1138"/>
      <c r="BC89" s="1138"/>
      <c r="BD89" s="1138"/>
      <c r="BE89" s="1139"/>
      <c r="BI89" s="638" t="s">
        <v>327</v>
      </c>
      <c r="BJ89" s="638">
        <v>7</v>
      </c>
      <c r="BK89" s="638" t="s">
        <v>328</v>
      </c>
      <c r="BL89" s="690">
        <v>0.72399999999999998</v>
      </c>
      <c r="BM89" s="822">
        <v>0.85199999999999998</v>
      </c>
      <c r="BN89" s="653">
        <f t="shared" si="24"/>
        <v>0.84976525821596238</v>
      </c>
      <c r="BO89" s="289">
        <f>IF(SUM(BM89:BM91=0),0,SUM(BL89:BL91)/SUM(BM89:BM91))</f>
        <v>0.84183296378418326</v>
      </c>
      <c r="BP89" s="821">
        <v>0.9</v>
      </c>
      <c r="BQ89" s="690"/>
      <c r="BR89" s="822"/>
      <c r="BS89" s="653" t="str">
        <f t="shared" si="25"/>
        <v/>
      </c>
      <c r="BT89" s="289">
        <f>IF(SUM(BR89:BR91=0),0,SUM(BQ89:BQ91)/SUM(BR89:BR91))</f>
        <v>0</v>
      </c>
      <c r="BU89" s="821">
        <v>0.9</v>
      </c>
      <c r="BX89" s="666" t="str">
        <f t="shared" si="22"/>
        <v>Apr</v>
      </c>
      <c r="BY89" s="643">
        <f>IF(CB89=$CB95,SUMIF($BI83:$BI94,$BX89,$BR83:$BR94),SUMIF($BI83:$BI94,$BX89,$BM83:$BM94))</f>
        <v>0.85199999999999998</v>
      </c>
      <c r="BZ89" s="821">
        <f>IF(IF(CB89=CB95,SUMIF(BI83:BI94,$BX89,BU83:BU94),SUMIF(BI83:BI94,$BX89,BP83:BP94))=0,NA(),IF(CB89=CB95,SUMIF(BI83:BI94,$BX89,BU83:BU94),SUMIF(BI83:BI94,$BX89,BP83:BP94)))</f>
        <v>0.9</v>
      </c>
      <c r="CA89" s="640">
        <f>IF(IF(CB89=CB95,SUMIF(BI83:BI94,$BX89,BS83:BS94),SUMIF(BI83:BI94,$BX89,BN83:BN94))=0,NA(),IF(CB89=CB95,SUMIF(BI83:BI94,$BX89,BS83:BS94),SUMIF(BI83:BI94,$BX89,BN83:BN94)))</f>
        <v>0.84976525821596238</v>
      </c>
      <c r="CB89" s="645">
        <f t="shared" si="26"/>
        <v>23</v>
      </c>
      <c r="CC89" s="645">
        <f t="shared" si="23"/>
        <v>4</v>
      </c>
    </row>
    <row r="90" spans="1:86" ht="15" customHeight="1">
      <c r="B90" s="1140"/>
      <c r="C90" s="1141"/>
      <c r="D90" s="1141"/>
      <c r="E90" s="1141"/>
      <c r="F90" s="1141"/>
      <c r="G90" s="1141"/>
      <c r="H90" s="1141"/>
      <c r="I90" s="1141"/>
      <c r="J90" s="1141"/>
      <c r="K90" s="1141"/>
      <c r="L90" s="1141"/>
      <c r="M90" s="1141"/>
      <c r="N90" s="1141"/>
      <c r="O90" s="1141"/>
      <c r="P90" s="1141"/>
      <c r="Q90" s="1141"/>
      <c r="R90" s="1141"/>
      <c r="S90" s="1141"/>
      <c r="T90" s="1141"/>
      <c r="U90" s="1141"/>
      <c r="V90" s="1141"/>
      <c r="W90" s="1141"/>
      <c r="X90" s="1141"/>
      <c r="Y90" s="1141"/>
      <c r="Z90" s="1141"/>
      <c r="AA90" s="1141"/>
      <c r="AB90" s="1142"/>
      <c r="AC90" s="564"/>
      <c r="AD90" s="564"/>
      <c r="AE90" s="1140"/>
      <c r="AF90" s="1141"/>
      <c r="AG90" s="1141"/>
      <c r="AH90" s="1141"/>
      <c r="AI90" s="1141"/>
      <c r="AJ90" s="1141"/>
      <c r="AK90" s="1141"/>
      <c r="AL90" s="1141"/>
      <c r="AM90" s="1141"/>
      <c r="AN90" s="1141"/>
      <c r="AO90" s="1141"/>
      <c r="AP90" s="1141"/>
      <c r="AQ90" s="1141"/>
      <c r="AR90" s="1141"/>
      <c r="AS90" s="1141"/>
      <c r="AT90" s="1141"/>
      <c r="AU90" s="1141"/>
      <c r="AV90" s="1141"/>
      <c r="AW90" s="1141"/>
      <c r="AX90" s="1141"/>
      <c r="AY90" s="1141"/>
      <c r="AZ90" s="1141"/>
      <c r="BA90" s="1141"/>
      <c r="BB90" s="1141"/>
      <c r="BC90" s="1141"/>
      <c r="BD90" s="1141"/>
      <c r="BE90" s="1142"/>
      <c r="BI90" s="638" t="s">
        <v>329</v>
      </c>
      <c r="BJ90" s="638">
        <v>8</v>
      </c>
      <c r="BK90" s="638" t="s">
        <v>328</v>
      </c>
      <c r="BL90" s="690">
        <v>0.69799999999999995</v>
      </c>
      <c r="BM90" s="822">
        <v>0.80100000000000005</v>
      </c>
      <c r="BN90" s="653">
        <f t="shared" si="24"/>
        <v>0.87141073657927581</v>
      </c>
      <c r="BO90" s="290"/>
      <c r="BP90" s="821">
        <v>0.9</v>
      </c>
      <c r="BQ90" s="690"/>
      <c r="BR90" s="822"/>
      <c r="BS90" s="653" t="str">
        <f t="shared" si="25"/>
        <v/>
      </c>
      <c r="BT90" s="290"/>
      <c r="BU90" s="821">
        <v>0.9</v>
      </c>
      <c r="BX90" s="666" t="str">
        <f t="shared" si="22"/>
        <v>May</v>
      </c>
      <c r="BY90" s="643">
        <f>IF(CB90=$CB95,SUMIF($BI83:$BI94,$BX90,$BR83:$BR94),SUMIF($BI83:$BI94,$BX90,$BM83:$BM94))</f>
        <v>0.80100000000000005</v>
      </c>
      <c r="BZ90" s="821">
        <f>IF(IF(CB90=CB95,SUMIF(BI83:BI94,$BX90,BU83:BU94),SUMIF(BI83:BI94,$BX90,BP83:BP94))=0,NA(),IF(CB90=CB95,SUMIF(BI83:BI94,$BX90,BU83:BU94),SUMIF(BI83:BI94,$BX90,BP83:BP94)))</f>
        <v>0.9</v>
      </c>
      <c r="CA90" s="640">
        <f>IF(IF(CB90=CB95,SUMIF(BI83:BI94,$BX90,BS83:BS94),SUMIF(BI83:BI94,$BX90,BN83:BN94))=0,NA(),IF(CB90=CB95,SUMIF(BI83:BI94,$BX90,BS83:BS94),SUMIF(BI83:BI94,$BX90,BN83:BN94)))</f>
        <v>0.87141073657927581</v>
      </c>
      <c r="CB90" s="645">
        <f t="shared" si="26"/>
        <v>23</v>
      </c>
      <c r="CC90" s="645">
        <f t="shared" si="23"/>
        <v>5</v>
      </c>
    </row>
    <row r="91" spans="1:86" ht="15" customHeight="1">
      <c r="A91"/>
      <c r="B91" s="1140"/>
      <c r="C91" s="1141"/>
      <c r="D91" s="1141"/>
      <c r="E91" s="1141"/>
      <c r="F91" s="1141"/>
      <c r="G91" s="1141"/>
      <c r="H91" s="1141"/>
      <c r="I91" s="1141"/>
      <c r="J91" s="1141"/>
      <c r="K91" s="1141"/>
      <c r="L91" s="1141"/>
      <c r="M91" s="1141"/>
      <c r="N91" s="1141"/>
      <c r="O91" s="1141"/>
      <c r="P91" s="1141"/>
      <c r="Q91" s="1141"/>
      <c r="R91" s="1141"/>
      <c r="S91" s="1141"/>
      <c r="T91" s="1141"/>
      <c r="U91" s="1141"/>
      <c r="V91" s="1141"/>
      <c r="W91" s="1141"/>
      <c r="X91" s="1141"/>
      <c r="Y91" s="1141"/>
      <c r="Z91" s="1141"/>
      <c r="AA91" s="1141"/>
      <c r="AB91" s="1142"/>
      <c r="AC91" s="564"/>
      <c r="AD91" s="564"/>
      <c r="AE91" s="1140"/>
      <c r="AF91" s="1141"/>
      <c r="AG91" s="1141"/>
      <c r="AH91" s="1141"/>
      <c r="AI91" s="1141"/>
      <c r="AJ91" s="1141"/>
      <c r="AK91" s="1141"/>
      <c r="AL91" s="1141"/>
      <c r="AM91" s="1141"/>
      <c r="AN91" s="1141"/>
      <c r="AO91" s="1141"/>
      <c r="AP91" s="1141"/>
      <c r="AQ91" s="1141"/>
      <c r="AR91" s="1141"/>
      <c r="AS91" s="1141"/>
      <c r="AT91" s="1141"/>
      <c r="AU91" s="1141"/>
      <c r="AV91" s="1141"/>
      <c r="AW91" s="1141"/>
      <c r="AX91" s="1141"/>
      <c r="AY91" s="1141"/>
      <c r="AZ91" s="1141"/>
      <c r="BA91" s="1141"/>
      <c r="BB91" s="1141"/>
      <c r="BC91" s="1141"/>
      <c r="BD91" s="1141"/>
      <c r="BE91" s="1142"/>
      <c r="BF91"/>
      <c r="BI91" s="638" t="s">
        <v>331</v>
      </c>
      <c r="BJ91" s="638">
        <v>9</v>
      </c>
      <c r="BK91" s="638" t="s">
        <v>328</v>
      </c>
      <c r="BL91" s="690">
        <v>0.85599999999999998</v>
      </c>
      <c r="BM91" s="822">
        <v>1.0529999999999999</v>
      </c>
      <c r="BN91" s="653">
        <f t="shared" si="24"/>
        <v>0.81291547958214627</v>
      </c>
      <c r="BO91" s="290"/>
      <c r="BP91" s="821">
        <v>0.9</v>
      </c>
      <c r="BQ91" s="690"/>
      <c r="BR91" s="822"/>
      <c r="BS91" s="653" t="str">
        <f>IF(BR91="","",BQ91/BR91)</f>
        <v/>
      </c>
      <c r="BT91" s="290"/>
      <c r="BU91" s="821">
        <v>0.9</v>
      </c>
      <c r="BX91" s="666" t="str">
        <f t="shared" si="22"/>
        <v>Jun</v>
      </c>
      <c r="BY91" s="643">
        <f>IF(CB91=$CB95,SUMIF($BI83:$BI94,$BX91,$BR83:$BR94),SUMIF($BI83:$BI94,$BX91,$BM83:$BM94))</f>
        <v>1.0529999999999999</v>
      </c>
      <c r="BZ91" s="821">
        <f>IF(IF(CB91=CB95,SUMIF(BI83:BI94,$BX91,BU83:BU94),SUMIF(BI83:BI94,$BX91,BP83:BP94))=0,NA(),IF(CB91=CB95,SUMIF(BI83:BI94,$BX91,BU83:BU94),SUMIF(BI83:BI94,$BX91,BP83:BP94)))</f>
        <v>0.9</v>
      </c>
      <c r="CA91" s="640">
        <f>IF(IF(CB91=CB95,SUMIF(BI83:BI94,$BX91,BS83:BS94),SUMIF(BI83:BI94,$BX91,BN83:BN94))=0,NA(),IF(CB91=CB95,SUMIF(BI83:BI94,$BX91,BS83:BS94),SUMIF(BI83:BI94,$BX91,BN83:BN94)))</f>
        <v>0.81291547958214627</v>
      </c>
      <c r="CB91" s="645">
        <f t="shared" si="26"/>
        <v>23</v>
      </c>
      <c r="CC91" s="645">
        <f t="shared" si="23"/>
        <v>6</v>
      </c>
      <c r="CD91" s="167"/>
      <c r="CE91" s="167"/>
      <c r="CF91" s="167"/>
      <c r="CG91" s="167"/>
      <c r="CH91" s="167"/>
    </row>
    <row r="92" spans="1:86" ht="15" customHeight="1">
      <c r="B92" s="1143"/>
      <c r="C92" s="1144"/>
      <c r="D92" s="1144"/>
      <c r="E92" s="1144"/>
      <c r="F92" s="1144"/>
      <c r="G92" s="1144"/>
      <c r="H92" s="1144"/>
      <c r="I92" s="1144"/>
      <c r="J92" s="1144"/>
      <c r="K92" s="1144"/>
      <c r="L92" s="1144"/>
      <c r="M92" s="1144"/>
      <c r="N92" s="1144"/>
      <c r="O92" s="1144"/>
      <c r="P92" s="1144"/>
      <c r="Q92" s="1144"/>
      <c r="R92" s="1144"/>
      <c r="S92" s="1144"/>
      <c r="T92" s="1144"/>
      <c r="U92" s="1144"/>
      <c r="V92" s="1144"/>
      <c r="W92" s="1144"/>
      <c r="X92" s="1144"/>
      <c r="Y92" s="1144"/>
      <c r="Z92" s="1144"/>
      <c r="AA92" s="1144"/>
      <c r="AB92" s="1145"/>
      <c r="AC92" s="564"/>
      <c r="AD92" s="564"/>
      <c r="AE92" s="1143"/>
      <c r="AF92" s="1144"/>
      <c r="AG92" s="1144"/>
      <c r="AH92" s="1144"/>
      <c r="AI92" s="1144"/>
      <c r="AJ92" s="1144"/>
      <c r="AK92" s="1144"/>
      <c r="AL92" s="1144"/>
      <c r="AM92" s="1144"/>
      <c r="AN92" s="1144"/>
      <c r="AO92" s="1144"/>
      <c r="AP92" s="1144"/>
      <c r="AQ92" s="1144"/>
      <c r="AR92" s="1144"/>
      <c r="AS92" s="1144"/>
      <c r="AT92" s="1144"/>
      <c r="AU92" s="1144"/>
      <c r="AV92" s="1144"/>
      <c r="AW92" s="1144"/>
      <c r="AX92" s="1144"/>
      <c r="AY92" s="1144"/>
      <c r="AZ92" s="1144"/>
      <c r="BA92" s="1144"/>
      <c r="BB92" s="1144"/>
      <c r="BC92" s="1144"/>
      <c r="BD92" s="1144"/>
      <c r="BE92" s="1145"/>
      <c r="BI92" s="638" t="s">
        <v>337</v>
      </c>
      <c r="BJ92" s="638">
        <v>10</v>
      </c>
      <c r="BK92" s="638" t="s">
        <v>338</v>
      </c>
      <c r="BL92" s="690">
        <v>0.80500000000000005</v>
      </c>
      <c r="BM92" s="822">
        <v>0.83</v>
      </c>
      <c r="BN92" s="653">
        <f t="shared" si="24"/>
        <v>0.96987951807228923</v>
      </c>
      <c r="BO92" s="289">
        <f>IF(SUM(BM92:BM94=0),0,SUM(BL92:BL94)/SUM(BM92:BM94))</f>
        <v>0.96836902800658975</v>
      </c>
      <c r="BP92" s="821">
        <v>0.9</v>
      </c>
      <c r="BQ92" s="690"/>
      <c r="BR92" s="822"/>
      <c r="BS92" s="653" t="str">
        <f t="shared" si="25"/>
        <v/>
      </c>
      <c r="BT92" s="289">
        <f>IF(SUM(BR92:BR94=0),0,SUM(BQ92:BQ94)/SUM(BR92:BR94))</f>
        <v>0</v>
      </c>
      <c r="BU92" s="821">
        <v>0.9</v>
      </c>
      <c r="BV92" s="259"/>
      <c r="BX92" s="666" t="str">
        <f t="shared" si="22"/>
        <v>Jul</v>
      </c>
      <c r="BY92" s="643">
        <f>IF(CB92=$CB95,SUMIF($BI83:$BI94,$BX92,$BR83:$BR94),SUMIF($BI83:$BI94,$BX92,$BM83:$BM94))</f>
        <v>0.83</v>
      </c>
      <c r="BZ92" s="821">
        <f>IF(IF(CB92=CB95,SUMIF(BI83:BI94,$BX92,BU83:BU94),SUMIF(BI83:BI94,$BX92,BP83:BP94))=0,NA(),IF(CB92=CB95,SUMIF(BI83:BI94,$BX92,BU83:BU94),SUMIF(BI83:BI94,$BX92,BP83:BP94)))</f>
        <v>0.9</v>
      </c>
      <c r="CA92" s="640">
        <f>IF(IF(CB92=CB95,SUMIF(BI83:BI94,$BX92,BS83:BS94),SUMIF(BI83:BI94,$BX92,BN83:BN94))=0,NA(),IF(CB92=CB95,SUMIF(BI83:BI94,$BX92,BS83:BS94),SUMIF(BI83:BI94,$BX92,BN83:BN94)))</f>
        <v>0.96987951807228923</v>
      </c>
      <c r="CB92" s="645">
        <f t="shared" si="26"/>
        <v>23</v>
      </c>
      <c r="CC92" s="645">
        <f t="shared" si="23"/>
        <v>7</v>
      </c>
    </row>
    <row r="93" spans="1:86" ht="15" customHeight="1">
      <c r="F93" s="337"/>
      <c r="G93" s="338"/>
      <c r="BI93" s="638" t="s">
        <v>343</v>
      </c>
      <c r="BJ93" s="638">
        <v>11</v>
      </c>
      <c r="BK93" s="638" t="s">
        <v>338</v>
      </c>
      <c r="BL93" s="690">
        <v>0.88200000000000001</v>
      </c>
      <c r="BM93" s="822">
        <v>0.92700000000000005</v>
      </c>
      <c r="BN93" s="653">
        <f t="shared" si="24"/>
        <v>0.95145631067961156</v>
      </c>
      <c r="BO93" s="290"/>
      <c r="BP93" s="821">
        <v>0.9</v>
      </c>
      <c r="BQ93" s="690"/>
      <c r="BR93" s="822"/>
      <c r="BS93" s="653" t="str">
        <f t="shared" si="25"/>
        <v/>
      </c>
      <c r="BT93" s="290"/>
      <c r="BU93" s="821">
        <v>0.9</v>
      </c>
      <c r="BX93" s="666" t="str">
        <f t="shared" si="22"/>
        <v>Aug</v>
      </c>
      <c r="BY93" s="643">
        <f>IF(CB93=$CB95,SUMIF($BI83:$BI94,$BX93,$BR83:$BR94),SUMIF($BI83:$BI94,$BX93,$BM83:$BM94))</f>
        <v>0.92700000000000005</v>
      </c>
      <c r="BZ93" s="821">
        <f>IF(IF(CB93=CB95,SUMIF(BI83:BI94,$BX93,BU83:BU94),SUMIF(BI83:BI94,$BX93,BP83:BP94))=0,NA(),IF(CB93=CB95,SUMIF(BI83:BI94,$BX93,BU83:BU94),SUMIF(BI83:BI94,$BX93,BP83:BP94)))</f>
        <v>0.9</v>
      </c>
      <c r="CA93" s="640">
        <f>IF(IF(CB93=CB95,SUMIF(BI83:BI94,$BX93,BS83:BS94),SUMIF(BI83:BI94,$BX93,BN83:BN94))=0,NA(),IF(CB93=CB95,SUMIF(BI83:BI94,$BX93,BS83:BS94),SUMIF(BI83:BI94,$BX93,BN83:BN94)))</f>
        <v>0.95145631067961156</v>
      </c>
      <c r="CB93" s="645">
        <f t="shared" si="26"/>
        <v>23</v>
      </c>
      <c r="CC93" s="645">
        <f t="shared" si="23"/>
        <v>8</v>
      </c>
    </row>
    <row r="94" spans="1:86" ht="15" customHeight="1">
      <c r="B94" s="1188"/>
      <c r="C94" s="1188"/>
      <c r="D94" s="1188"/>
      <c r="E94" s="1188"/>
      <c r="F94" s="337"/>
      <c r="G94" s="338"/>
      <c r="BI94" s="638" t="s">
        <v>344</v>
      </c>
      <c r="BJ94" s="638">
        <v>12</v>
      </c>
      <c r="BK94" s="638" t="s">
        <v>338</v>
      </c>
      <c r="BL94" s="690">
        <v>1.252</v>
      </c>
      <c r="BM94" s="822">
        <v>1.278</v>
      </c>
      <c r="BN94" s="653">
        <f t="shared" si="24"/>
        <v>0.97965571205007818</v>
      </c>
      <c r="BO94" s="290"/>
      <c r="BP94" s="821">
        <v>0.9</v>
      </c>
      <c r="BQ94" s="690"/>
      <c r="BR94" s="822"/>
      <c r="BS94" s="653" t="str">
        <f t="shared" si="25"/>
        <v/>
      </c>
      <c r="BT94" s="290"/>
      <c r="BU94" s="821">
        <v>0.9</v>
      </c>
      <c r="BX94" s="666" t="str">
        <f t="shared" si="22"/>
        <v>Sep</v>
      </c>
      <c r="BY94" s="643">
        <f>IF(CB94=$CB95,SUMIF($BI83:$BI94,$BX94,$BR83:$BR94),SUMIF($BI83:$BI94,$BX94,$BM83:$BM94))</f>
        <v>1.278</v>
      </c>
      <c r="BZ94" s="821">
        <f>IF(IF(CB94=CB95,SUMIF(BI83:BI94,$BX94,BU83:BU94),SUMIF(BI83:BI94,$BX94,BP83:BP94))=0,NA(),IF(CB94=CB95,SUMIF(BI83:BI94,$BX94,BU83:BU94),SUMIF(BI83:BI94,$BX94,BP83:BP94)))</f>
        <v>0.9</v>
      </c>
      <c r="CA94" s="640">
        <f>IF(IF(CB94=CB95,SUMIF(BI83:BI94,$BX94,BS83:BS94),SUMIF(BI83:BI94,$BX94,BN83:BN94))=0,NA(),IF(CB94=CB95,SUMIF(BI83:BI94,$BX94,BS83:BS94),SUMIF(BI83:BI94,$BX94,BN83:BN94)))</f>
        <v>0.97965571205007818</v>
      </c>
      <c r="CB94" s="645">
        <f t="shared" si="26"/>
        <v>23</v>
      </c>
      <c r="CC94" s="645">
        <f>IF(CC95-1&lt;1,CC95+11,CC95-1)</f>
        <v>9</v>
      </c>
    </row>
    <row r="95" spans="1:86" ht="15" customHeight="1">
      <c r="BJ95" s="277"/>
      <c r="BK95" s="277"/>
      <c r="BL95" s="277"/>
      <c r="BM95" s="277"/>
      <c r="BN95" s="277"/>
      <c r="BO95" s="277"/>
      <c r="BP95" s="277"/>
      <c r="BQ95" s="277"/>
      <c r="BR95" s="277"/>
      <c r="BS95" s="277"/>
      <c r="BT95" s="277"/>
      <c r="BW95" s="667" t="str">
        <f>Cover!$M$34</f>
        <v>OCT FY-24</v>
      </c>
      <c r="BX95" s="666" t="str">
        <f>TEXT(CONCATENATE(CC95,"/01/20",CB95),"MMM")</f>
        <v>Oct</v>
      </c>
      <c r="BY95" s="643">
        <f>SUMIF($BI83:$BI94,$BX95,$BR83:$BR94)</f>
        <v>0.90300000000000002</v>
      </c>
      <c r="BZ95" s="821">
        <f>IF(IF(CB95=CB95,SUMIF(BI83:BI94,$BX95,BU83:BU94),SUMIF(BI83:BI94,$BX95,BP83:BP94))=0,NA(),IF(CB95=CB95,SUMIF(BI83:BI94,$BX95,BU83:BU94),SUMIF(BI83:BI94,$BX95,BP83:BP94)))</f>
        <v>0.9</v>
      </c>
      <c r="CA95" s="640">
        <f>IF(SUMIF($BI83:$BI94,$BX95,$BS83:$BS94)=0,NA(),SUMIF($BI83:$BI94,$BX95,$BS83:$BS94))</f>
        <v>0.87596899224806202</v>
      </c>
      <c r="CB95" s="645">
        <f t="shared" si="26"/>
        <v>24</v>
      </c>
      <c r="CC95" s="645">
        <f>MONTH(DATEVALUE(LEFT(BW95,3)&amp;" 1"))</f>
        <v>10</v>
      </c>
    </row>
    <row r="96" spans="1:86" ht="15" customHeight="1">
      <c r="BI96" s="6"/>
      <c r="BJ96" s="6"/>
      <c r="BK96" s="6"/>
      <c r="BL96" s="6"/>
      <c r="BM96" s="6"/>
      <c r="BN96" s="6"/>
      <c r="BO96" s="6"/>
      <c r="BP96" s="6"/>
      <c r="BQ96" s="6"/>
      <c r="BR96" s="6"/>
      <c r="BS96" s="6"/>
      <c r="BT96" s="6"/>
      <c r="BU96" s="6"/>
    </row>
    <row r="97" spans="2:89" ht="15" customHeight="1">
      <c r="BI97" s="54" t="s">
        <v>292</v>
      </c>
      <c r="BJ97" s="287" t="s">
        <v>722</v>
      </c>
      <c r="BK97" s="287"/>
      <c r="BL97" s="287"/>
      <c r="BM97" s="287"/>
      <c r="BN97" s="287"/>
      <c r="BO97" s="287"/>
      <c r="BP97" s="287"/>
      <c r="BQ97" s="287"/>
      <c r="BR97" s="287"/>
      <c r="BS97" s="287"/>
      <c r="BT97" s="287"/>
      <c r="BU97" s="287"/>
    </row>
    <row r="98" spans="2:89" ht="15" customHeight="1">
      <c r="BI98" s="54" t="s">
        <v>296</v>
      </c>
      <c r="BJ98" s="287" t="s">
        <v>730</v>
      </c>
      <c r="BK98" s="287"/>
      <c r="BL98" s="287"/>
      <c r="BM98" s="287"/>
      <c r="BN98" s="287"/>
      <c r="BO98" s="287"/>
      <c r="BP98" s="287"/>
      <c r="BQ98" s="287"/>
      <c r="BR98" s="287"/>
      <c r="BS98" s="287"/>
      <c r="BT98" s="287"/>
      <c r="BU98" s="287"/>
    </row>
    <row r="99" spans="2:89" ht="15" customHeight="1" thickBot="1">
      <c r="BI99" s="54" t="s">
        <v>300</v>
      </c>
      <c r="BJ99" s="287" t="s">
        <v>405</v>
      </c>
      <c r="BK99" s="287"/>
      <c r="BL99" s="287"/>
      <c r="BM99" s="287"/>
      <c r="BN99" s="287"/>
      <c r="BO99" s="287"/>
      <c r="BP99" s="287"/>
      <c r="BQ99" s="287"/>
      <c r="BR99" s="287"/>
      <c r="BS99" s="287"/>
      <c r="BT99" s="287"/>
      <c r="BU99" s="287"/>
    </row>
    <row r="100" spans="2:89" ht="15" customHeight="1" thickBot="1">
      <c r="BI100" s="277"/>
      <c r="BJ100" s="277"/>
      <c r="BK100" s="277"/>
      <c r="BL100" s="1148" t="s">
        <v>302</v>
      </c>
      <c r="BM100" s="1149"/>
      <c r="BN100" s="1149"/>
      <c r="BO100" s="1149"/>
      <c r="BP100" s="1149"/>
      <c r="BQ100" s="1149"/>
      <c r="BR100" s="1149"/>
      <c r="BS100" s="1150"/>
      <c r="BT100" s="1148" t="s">
        <v>719</v>
      </c>
      <c r="BU100" s="1149"/>
      <c r="BV100" s="1149"/>
      <c r="BW100" s="1149"/>
      <c r="BX100" s="1149"/>
      <c r="BY100" s="1149"/>
      <c r="BZ100" s="1149"/>
      <c r="CA100" s="1150"/>
      <c r="CB100" s="270"/>
      <c r="CC100" s="1148" t="s">
        <v>303</v>
      </c>
      <c r="CD100" s="1149"/>
      <c r="CE100" s="1149"/>
      <c r="CF100" s="1149"/>
      <c r="CG100" s="1149"/>
      <c r="CH100" s="1149"/>
      <c r="CI100" s="1149"/>
      <c r="CJ100" s="1149"/>
      <c r="CK100" s="1150"/>
    </row>
    <row r="101" spans="2:89" ht="15" customHeight="1">
      <c r="BI101" s="636" t="s">
        <v>23</v>
      </c>
      <c r="BJ101" s="636" t="s">
        <v>37</v>
      </c>
      <c r="BK101" s="636" t="s">
        <v>304</v>
      </c>
      <c r="BL101" s="637" t="s">
        <v>726</v>
      </c>
      <c r="BM101" s="838" t="s">
        <v>782</v>
      </c>
      <c r="BN101" s="838" t="s">
        <v>760</v>
      </c>
      <c r="BO101" s="838" t="s">
        <v>729</v>
      </c>
      <c r="BP101" s="637" t="s">
        <v>310</v>
      </c>
      <c r="BQ101" s="637" t="s">
        <v>311</v>
      </c>
      <c r="BR101" s="278" t="s">
        <v>312</v>
      </c>
      <c r="BS101" s="637" t="s">
        <v>313</v>
      </c>
      <c r="BT101" s="637" t="s">
        <v>726</v>
      </c>
      <c r="BU101" s="838" t="s">
        <v>782</v>
      </c>
      <c r="BV101" s="838" t="s">
        <v>760</v>
      </c>
      <c r="BW101" s="838" t="s">
        <v>729</v>
      </c>
      <c r="BX101" s="637" t="s">
        <v>715</v>
      </c>
      <c r="BY101" s="637" t="s">
        <v>716</v>
      </c>
      <c r="BZ101" s="278" t="s">
        <v>717</v>
      </c>
      <c r="CA101" s="637" t="s">
        <v>718</v>
      </c>
      <c r="CB101" s="270"/>
      <c r="CC101" s="279" t="s">
        <v>314</v>
      </c>
      <c r="CD101" s="279" t="s">
        <v>23</v>
      </c>
      <c r="CE101" s="279" t="s">
        <v>782</v>
      </c>
      <c r="CF101" s="279" t="s">
        <v>760</v>
      </c>
      <c r="CG101" s="279" t="s">
        <v>729</v>
      </c>
      <c r="CH101" s="279" t="s">
        <v>122</v>
      </c>
      <c r="CI101" s="279" t="s">
        <v>316</v>
      </c>
      <c r="CJ101" s="279" t="s">
        <v>317</v>
      </c>
      <c r="CK101" s="279" t="s">
        <v>318</v>
      </c>
    </row>
    <row r="102" spans="2:89" ht="15" customHeight="1">
      <c r="BI102" s="638" t="s">
        <v>319</v>
      </c>
      <c r="BJ102" s="638">
        <v>1</v>
      </c>
      <c r="BK102" s="638" t="s">
        <v>320</v>
      </c>
      <c r="BL102" s="822">
        <v>38.752000000000002</v>
      </c>
      <c r="BM102" s="887">
        <v>4.2850000000000001</v>
      </c>
      <c r="BN102" s="887"/>
      <c r="BO102" s="887"/>
      <c r="BP102" s="955">
        <f>IF(BM102+BN102+BO102=0,"",BM102+BN102+BO102)</f>
        <v>4.2850000000000001</v>
      </c>
      <c r="BQ102" s="653">
        <f t="shared" ref="BQ102:BQ113" si="27">IF(BP102="","",BL102/BP102)</f>
        <v>9.043640606767795</v>
      </c>
      <c r="BR102" s="289">
        <f>IF(SUM(BP102:BP104=0),0,SUM(BL102:BL104)/SUM(BP102:BP104))</f>
        <v>6.5483783637446527</v>
      </c>
      <c r="BS102" s="655">
        <v>7</v>
      </c>
      <c r="BT102" s="822">
        <v>27.145</v>
      </c>
      <c r="BU102" s="887">
        <v>0.88800000000000001</v>
      </c>
      <c r="BV102" s="887">
        <v>1.0029999999999999</v>
      </c>
      <c r="BW102" s="887">
        <v>2.9020000000000001</v>
      </c>
      <c r="BX102" s="955">
        <f>IF(BU102+BV102+BW102=0,"",BU102+BV102+BW102)</f>
        <v>4.7930000000000001</v>
      </c>
      <c r="BY102" s="653">
        <f t="shared" ref="BY102:BY113" si="28">IF(BX102="","",BT102/BX102)</f>
        <v>5.6634675568537451</v>
      </c>
      <c r="BZ102" s="289">
        <f>IF(SUM(BX102:BX104=""),0,SUM(BT102:BT104)/SUM(BX102:BX104))</f>
        <v>5.6634675568537451</v>
      </c>
      <c r="CA102" s="655">
        <v>7</v>
      </c>
      <c r="CB102" s="270"/>
      <c r="CD102" s="666" t="str">
        <f t="shared" ref="CD102:CD114" si="29">TEXT(CONCATENATE(CK102,"/01/20",CJ102),"MMM")</f>
        <v>Oct</v>
      </c>
      <c r="CE102" s="944">
        <f t="shared" ref="CE102:CE114" si="30">IF(IF($CJ102=$CJ$114,SUMIF($BI$102:$BI$113,$CD102,$BU$102:$BU$113),SUMIF($BI$102:$BI$113,$CD102,$BM$102:$BM$113))=0,NA(),IF($CJ102=$CJ$114,SUMIF($BI$102:$BI$113,$CD102,$BU$102:$BU$113),SUMIF($BI$102:$BI$113,$CD102,$BM$102:$BM$113)))</f>
        <v>4.2850000000000001</v>
      </c>
      <c r="CF102" s="944" t="e">
        <f t="shared" ref="CF102:CF114" si="31">IF(IF($CJ102=$CJ$114,SUMIF($BI$102:$BI$113,$CD102,$BV$102:$BV$113),SUMIF($BI$102:$BI$113,$CD102,$BN$102:$BN$113))=0,NA(),IF($CJ102=$CJ$114,SUMIF($BI$102:$BI$113,$CD102,$BV$102:$BV$113),SUMIF($BI$102:$BI$113,$CD102,$BN$102:$BN$113)))</f>
        <v>#N/A</v>
      </c>
      <c r="CG102" s="944" t="e">
        <f t="shared" ref="CG102:CG114" si="32">IF(IF($CJ102=$CJ$114,SUMIF($BI$102:$BI$113,$CD102,$BW$102:$BW$113),SUMIF($BI$102:$BI$113,$CD102,$BO$102:$BO$113))=0,NA(),IF($CJ102=$CJ$114,SUMIF($BI$102:$BI$113,$CD102,$BW$102:$BW$113),SUMIF($BI$102:$BI$113,$CD102,$BO$102:$BO$113)))</f>
        <v>#N/A</v>
      </c>
      <c r="CH102" s="675">
        <f>IF(IF(CJ102=CJ114,SUMIF(BI102:BI113,$CD102,CA102:CA113),SUMIF(BI102:BI113,$CD102,BS102:BS113))=0,NA(),IF(CJ102=CJ114,SUMIF(BI102:BI113,$CD102,CA102:CA113),SUMIF(BI102:BI113,$CD102,BS102:BS113)))</f>
        <v>7</v>
      </c>
      <c r="CI102" s="664">
        <f>IF(IF(CJ102=CJ114,SUMIF(BI102:BI113,$CD102,BY102:BY113),SUMIF(BI102:BI113,$CD102,BQ102:BQ113))=0,NA(),IF(CJ102=CJ114,SUMIF(BI102:BI113,$CD102,BY102:BY113),SUMIF(BI102:BI113,$CD102,BQ102:BQ113)))</f>
        <v>9.043640606767795</v>
      </c>
      <c r="CJ102" s="645">
        <f t="shared" ref="CJ102:CJ114" si="33">CB83</f>
        <v>23</v>
      </c>
      <c r="CK102" s="645">
        <f t="shared" ref="CK102:CK112" si="34">IF(CK103-1&lt;1,CK103+11,CK103-1)</f>
        <v>10</v>
      </c>
    </row>
    <row r="103" spans="2:89" ht="15" customHeight="1">
      <c r="BI103" s="638" t="s">
        <v>321</v>
      </c>
      <c r="BJ103" s="638">
        <v>2</v>
      </c>
      <c r="BK103" s="638" t="s">
        <v>320</v>
      </c>
      <c r="BL103" s="822">
        <v>36.515000000000001</v>
      </c>
      <c r="BM103" s="887">
        <v>4.7830000000000004</v>
      </c>
      <c r="BN103" s="887"/>
      <c r="BO103" s="887"/>
      <c r="BP103" s="955">
        <f t="shared" ref="BP103:BP113" si="35">IF(BM103+BN103+BO103=0,"",BM103+BN103+BO103)</f>
        <v>4.7830000000000004</v>
      </c>
      <c r="BQ103" s="653">
        <f t="shared" si="27"/>
        <v>7.6343299184612166</v>
      </c>
      <c r="BR103" s="290"/>
      <c r="BS103" s="655">
        <v>7</v>
      </c>
      <c r="BT103" s="822"/>
      <c r="BU103" s="887"/>
      <c r="BV103" s="887"/>
      <c r="BW103" s="887"/>
      <c r="BX103" s="955" t="str">
        <f t="shared" ref="BX103:BX113" si="36">IF(BU103+BV103+BW103=0,"",BU103+BV103+BW103)</f>
        <v/>
      </c>
      <c r="BY103" s="653" t="str">
        <f t="shared" si="28"/>
        <v/>
      </c>
      <c r="BZ103" s="290"/>
      <c r="CA103" s="655">
        <v>7</v>
      </c>
      <c r="CB103" s="270"/>
      <c r="CD103" s="666" t="str">
        <f t="shared" si="29"/>
        <v>Nov</v>
      </c>
      <c r="CE103" s="944">
        <f t="shared" si="30"/>
        <v>4.7830000000000004</v>
      </c>
      <c r="CF103" s="944" t="e">
        <f t="shared" si="31"/>
        <v>#N/A</v>
      </c>
      <c r="CG103" s="944" t="e">
        <f t="shared" si="32"/>
        <v>#N/A</v>
      </c>
      <c r="CH103" s="675">
        <f>IF(IF(CJ103=CJ114,SUMIF(BI102:BI113,$CD103,CA102:CA113),SUMIF(BI102:BI113,$CD103,BS102:BS113))=0,NA(),IF(CJ103=CJ114,SUMIF(BI102:BI113,$CD103,CA102:CA113),SUMIF(BI102:BI113,$CD103,BS102:BS113)))</f>
        <v>7</v>
      </c>
      <c r="CI103" s="664">
        <f>IF(IF(CJ103=CJ114,SUMIF(BI102:BI113,$CD103,BY102:BY113),SUMIF(BI102:BI113,$CD103,BQ102:BQ113))=0,NA(),IF(CJ103=CJ114,SUMIF(BI102:BI113,$CD103,BY102:BY113),SUMIF(BI102:BI113,$CD103,BQ102:BQ113)))</f>
        <v>7.6343299184612166</v>
      </c>
      <c r="CJ103" s="645">
        <f t="shared" si="33"/>
        <v>23</v>
      </c>
      <c r="CK103" s="645">
        <f t="shared" si="34"/>
        <v>11</v>
      </c>
    </row>
    <row r="104" spans="2:89" ht="15" customHeight="1">
      <c r="BI104" s="638" t="s">
        <v>322</v>
      </c>
      <c r="BJ104" s="638">
        <v>3</v>
      </c>
      <c r="BK104" s="638" t="s">
        <v>320</v>
      </c>
      <c r="BL104" s="822">
        <v>45.674999999999997</v>
      </c>
      <c r="BM104" s="887">
        <v>9.4009999999999998</v>
      </c>
      <c r="BN104" s="887"/>
      <c r="BO104" s="887"/>
      <c r="BP104" s="955">
        <f t="shared" si="35"/>
        <v>9.4009999999999998</v>
      </c>
      <c r="BQ104" s="653">
        <f t="shared" si="27"/>
        <v>4.8585256887565151</v>
      </c>
      <c r="BR104" s="290"/>
      <c r="BS104" s="655">
        <v>7</v>
      </c>
      <c r="BT104" s="822"/>
      <c r="BU104" s="887"/>
      <c r="BV104" s="887"/>
      <c r="BW104" s="887"/>
      <c r="BX104" s="955" t="str">
        <f t="shared" si="36"/>
        <v/>
      </c>
      <c r="BY104" s="653" t="str">
        <f t="shared" si="28"/>
        <v/>
      </c>
      <c r="BZ104" s="290"/>
      <c r="CA104" s="655">
        <v>7</v>
      </c>
      <c r="CB104" s="270"/>
      <c r="CD104" s="666" t="str">
        <f t="shared" si="29"/>
        <v>Dec</v>
      </c>
      <c r="CE104" s="944">
        <f t="shared" si="30"/>
        <v>9.4009999999999998</v>
      </c>
      <c r="CF104" s="944" t="e">
        <f t="shared" si="31"/>
        <v>#N/A</v>
      </c>
      <c r="CG104" s="944" t="e">
        <f t="shared" si="32"/>
        <v>#N/A</v>
      </c>
      <c r="CH104" s="675">
        <f>IF(IF(CJ104=CJ114,SUMIF(BI102:BI113,$CD104,CA102:CA113),SUMIF(BI102:BI113,$CD104,BS102:BS113))=0,NA(),IF(CJ104=CJ114,SUMIF(BI102:BI113,$CD104,CA102:CA113),SUMIF(BI102:BI113,$CD104,BS102:BS113)))</f>
        <v>7</v>
      </c>
      <c r="CI104" s="664">
        <f>IF(IF(CJ104=CJ114,SUMIF(BI102:BI113,$CD104,BY102:BY113),SUMIF(BI102:BI113,$CD104,BQ102:BQ113))=0,NA(),IF(CJ104=CJ114,SUMIF(BI102:BI113,$CD104,BY102:BY113),SUMIF(BI102:BI113,$CD104,BQ102:BQ113)))</f>
        <v>4.8585256887565151</v>
      </c>
      <c r="CJ104" s="645">
        <f t="shared" si="33"/>
        <v>23</v>
      </c>
      <c r="CK104" s="645">
        <f t="shared" si="34"/>
        <v>12</v>
      </c>
    </row>
    <row r="105" spans="2:89" ht="15" customHeight="1">
      <c r="BI105" s="638" t="s">
        <v>323</v>
      </c>
      <c r="BJ105" s="638">
        <v>4</v>
      </c>
      <c r="BK105" s="638" t="s">
        <v>324</v>
      </c>
      <c r="BL105" s="822">
        <v>36.768999999999998</v>
      </c>
      <c r="BM105" s="887">
        <v>6.3019999999999996</v>
      </c>
      <c r="BN105" s="887"/>
      <c r="BO105" s="887"/>
      <c r="BP105" s="955">
        <f t="shared" si="35"/>
        <v>6.3019999999999996</v>
      </c>
      <c r="BQ105" s="653">
        <f t="shared" si="27"/>
        <v>5.8344969850841002</v>
      </c>
      <c r="BR105" s="289">
        <f>IF(SUM(BP105:BP107=0),0,SUM(BL105:BL107)/SUM(BP105:BP107))</f>
        <v>7.5515332197614988</v>
      </c>
      <c r="BS105" s="655">
        <v>7</v>
      </c>
      <c r="BT105" s="822"/>
      <c r="BU105" s="887"/>
      <c r="BV105" s="887"/>
      <c r="BW105" s="887"/>
      <c r="BX105" s="955" t="str">
        <f t="shared" si="36"/>
        <v/>
      </c>
      <c r="BY105" s="653" t="str">
        <f t="shared" si="28"/>
        <v/>
      </c>
      <c r="BZ105" s="289">
        <f>IF(SUM(BX105:BX107=""),0,SUM(BT105:BT107)/SUM(BX105:BX107))</f>
        <v>0</v>
      </c>
      <c r="CA105" s="655">
        <v>7</v>
      </c>
      <c r="CB105" s="270"/>
      <c r="CD105" s="666" t="str">
        <f t="shared" si="29"/>
        <v>Jan</v>
      </c>
      <c r="CE105" s="944">
        <f t="shared" si="30"/>
        <v>6.3019999999999996</v>
      </c>
      <c r="CF105" s="944" t="e">
        <f t="shared" si="31"/>
        <v>#N/A</v>
      </c>
      <c r="CG105" s="944" t="e">
        <f t="shared" si="32"/>
        <v>#N/A</v>
      </c>
      <c r="CH105" s="675">
        <f>IF(IF(CJ105=CJ114,SUMIF(BI102:BI113,$CD105,CA102:CA113),SUMIF(BI102:BI113,$CD105,BS102:BS113))=0,NA(),IF(CJ105=CJ114,SUMIF(BI102:BI113,$CD105,CA102:CA113),SUMIF(BI102:BI113,$CD105,BS102:BS113)))</f>
        <v>7</v>
      </c>
      <c r="CI105" s="664">
        <f>IF(IF(CJ105=CJ114,SUMIF(BI102:BI113,$CD105,BY102:BY113),SUMIF(BI102:BI113,$CD105,BQ102:BQ113))=0,NA(),IF(CJ105=CJ114,SUMIF(BI102:BI113,$CD105,BY102:BY113),SUMIF(BI102:BI113,$CD105,BQ102:BQ113)))</f>
        <v>5.8344969850841002</v>
      </c>
      <c r="CJ105" s="645">
        <f t="shared" si="33"/>
        <v>23</v>
      </c>
      <c r="CK105" s="645">
        <f t="shared" si="34"/>
        <v>1</v>
      </c>
    </row>
    <row r="106" spans="2:89" ht="15" customHeight="1">
      <c r="BI106" s="638" t="s">
        <v>325</v>
      </c>
      <c r="BJ106" s="638">
        <v>5</v>
      </c>
      <c r="BK106" s="638" t="s">
        <v>324</v>
      </c>
      <c r="BL106" s="822">
        <v>40.222000000000001</v>
      </c>
      <c r="BM106" s="887">
        <v>5.1120000000000001</v>
      </c>
      <c r="BN106" s="887"/>
      <c r="BO106" s="887"/>
      <c r="BP106" s="955">
        <f t="shared" si="35"/>
        <v>5.1120000000000001</v>
      </c>
      <c r="BQ106" s="653">
        <f t="shared" si="27"/>
        <v>7.8681533646322377</v>
      </c>
      <c r="BR106" s="290"/>
      <c r="BS106" s="655">
        <v>7</v>
      </c>
      <c r="BT106" s="822"/>
      <c r="BU106" s="887"/>
      <c r="BV106" s="887"/>
      <c r="BW106" s="887"/>
      <c r="BX106" s="955" t="str">
        <f t="shared" si="36"/>
        <v/>
      </c>
      <c r="BY106" s="653" t="str">
        <f t="shared" si="28"/>
        <v/>
      </c>
      <c r="BZ106" s="290"/>
      <c r="CA106" s="655">
        <v>7</v>
      </c>
      <c r="CB106" s="270"/>
      <c r="CD106" s="666" t="str">
        <f t="shared" si="29"/>
        <v>Feb</v>
      </c>
      <c r="CE106" s="944">
        <f t="shared" si="30"/>
        <v>5.1120000000000001</v>
      </c>
      <c r="CF106" s="944" t="e">
        <f t="shared" si="31"/>
        <v>#N/A</v>
      </c>
      <c r="CG106" s="944" t="e">
        <f t="shared" si="32"/>
        <v>#N/A</v>
      </c>
      <c r="CH106" s="675">
        <f>IF(IF(CJ106=CJ114,SUMIF(BI102:BI113,$CD106,CA102:CA113),SUMIF(BI102:BI113,$CD106,BS102:BS113))=0,NA(),IF(CJ106=CJ114,SUMIF(BI102:BI113,$CD106,CA102:CA113),SUMIF(BI102:BI113,$CD106,BS102:BS113)))</f>
        <v>7</v>
      </c>
      <c r="CI106" s="664">
        <f>IF(IF(CJ106=CJ114,SUMIF(BI102:BI113,$CD106,BY102:BY113),SUMIF(BI102:BI113,$CD106,BQ102:BQ113))=0,NA(),IF(CJ106=CJ114,SUMIF(BI102:BI113,$CD106,BY102:BY113),SUMIF(BI102:BI113,$CD106,BQ102:BQ113)))</f>
        <v>7.8681533646322377</v>
      </c>
      <c r="CJ106" s="645">
        <f t="shared" si="33"/>
        <v>23</v>
      </c>
      <c r="CK106" s="645">
        <f t="shared" si="34"/>
        <v>2</v>
      </c>
    </row>
    <row r="107" spans="2:89" ht="15" customHeight="1">
      <c r="BI107" s="638" t="s">
        <v>326</v>
      </c>
      <c r="BJ107" s="638">
        <v>6</v>
      </c>
      <c r="BK107" s="638" t="s">
        <v>324</v>
      </c>
      <c r="BL107" s="690">
        <v>47.125999999999998</v>
      </c>
      <c r="BM107" s="885">
        <v>5.0220000000000002</v>
      </c>
      <c r="BN107" s="885"/>
      <c r="BO107" s="885"/>
      <c r="BP107" s="955">
        <f t="shared" si="35"/>
        <v>5.0220000000000002</v>
      </c>
      <c r="BQ107" s="653">
        <f t="shared" si="27"/>
        <v>9.3839107925129426</v>
      </c>
      <c r="BR107" s="290"/>
      <c r="BS107" s="655">
        <v>7</v>
      </c>
      <c r="BT107" s="690"/>
      <c r="BU107" s="885"/>
      <c r="BV107" s="885"/>
      <c r="BW107" s="885"/>
      <c r="BX107" s="955" t="str">
        <f t="shared" si="36"/>
        <v/>
      </c>
      <c r="BY107" s="653" t="str">
        <f t="shared" si="28"/>
        <v/>
      </c>
      <c r="BZ107" s="290"/>
      <c r="CA107" s="655">
        <v>7</v>
      </c>
      <c r="CB107" s="270"/>
      <c r="CD107" s="666" t="str">
        <f t="shared" si="29"/>
        <v>Mar</v>
      </c>
      <c r="CE107" s="944">
        <f t="shared" si="30"/>
        <v>5.0220000000000002</v>
      </c>
      <c r="CF107" s="944" t="e">
        <f t="shared" si="31"/>
        <v>#N/A</v>
      </c>
      <c r="CG107" s="944" t="e">
        <f t="shared" si="32"/>
        <v>#N/A</v>
      </c>
      <c r="CH107" s="675">
        <f>IF(IF(CJ107=CJ114,SUMIF(BI102:BI113,$CD107,CA102:CA113),SUMIF(BI102:BI113,$CD107,BS102:BS113))=0,NA(),IF(CJ107=CJ114,SUMIF(BI102:BI113,$CD107,CA102:CA113),SUMIF(BI102:BI113,$CD107,BS102:BS113)))</f>
        <v>7</v>
      </c>
      <c r="CI107" s="664">
        <f>IF(IF(CJ107=CJ114,SUMIF(BI102:BI113,$CD107,BY102:BY113),SUMIF(BI102:BI113,$CD107,BQ102:BQ113))=0,NA(),IF(CJ107=CJ114,SUMIF(BI102:BI113,$CD107,BY102:BY113),SUMIF(BI102:BI113,$CD107,BQ102:BQ113)))</f>
        <v>9.3839107925129426</v>
      </c>
      <c r="CJ107" s="645">
        <f t="shared" si="33"/>
        <v>23</v>
      </c>
      <c r="CK107" s="645">
        <f t="shared" si="34"/>
        <v>3</v>
      </c>
    </row>
    <row r="108" spans="2:89" ht="15" customHeight="1">
      <c r="BI108" s="638" t="s">
        <v>327</v>
      </c>
      <c r="BJ108" s="638">
        <v>7</v>
      </c>
      <c r="BK108" s="638" t="s">
        <v>328</v>
      </c>
      <c r="BL108" s="690">
        <v>38.219000000000001</v>
      </c>
      <c r="BM108" s="885">
        <v>8.7829999999999995</v>
      </c>
      <c r="BN108" s="885"/>
      <c r="BO108" s="885"/>
      <c r="BP108" s="955">
        <f t="shared" si="35"/>
        <v>8.7829999999999995</v>
      </c>
      <c r="BQ108" s="653">
        <f t="shared" si="27"/>
        <v>4.3514744392576574</v>
      </c>
      <c r="BR108" s="289">
        <f>IF(SUM(BP108:BP110=0),0,SUM(BL108:BL110)/SUM(BP108:BP110))</f>
        <v>7.0792588396637042</v>
      </c>
      <c r="BS108" s="655">
        <v>7</v>
      </c>
      <c r="BT108" s="690"/>
      <c r="BU108" s="885"/>
      <c r="BV108" s="885"/>
      <c r="BW108" s="885"/>
      <c r="BX108" s="955" t="str">
        <f t="shared" si="36"/>
        <v/>
      </c>
      <c r="BY108" s="653" t="str">
        <f t="shared" si="28"/>
        <v/>
      </c>
      <c r="BZ108" s="289">
        <f>IF(SUM(BX108:BX110=""),0,SUM(BT108:BT110)/SUM(BX108:BX110))</f>
        <v>0</v>
      </c>
      <c r="CA108" s="655">
        <v>7</v>
      </c>
      <c r="CB108" s="270"/>
      <c r="CD108" s="666" t="str">
        <f t="shared" si="29"/>
        <v>Apr</v>
      </c>
      <c r="CE108" s="944">
        <f t="shared" si="30"/>
        <v>8.7829999999999995</v>
      </c>
      <c r="CF108" s="944" t="e">
        <f t="shared" si="31"/>
        <v>#N/A</v>
      </c>
      <c r="CG108" s="944" t="e">
        <f t="shared" si="32"/>
        <v>#N/A</v>
      </c>
      <c r="CH108" s="675">
        <f>IF(IF(CJ108=CJ114,SUMIF(BI102:BI113,$CD108,CA102:CA113),SUMIF(BI102:BI113,$CD108,BS102:BS113))=0,NA(),IF(CJ108=CJ114,SUMIF(BI102:BI113,$CD108,CA102:CA113),SUMIF(BI102:BI113,$CD108,BS102:BS113)))</f>
        <v>7</v>
      </c>
      <c r="CI108" s="664">
        <f>IF(IF(CJ108=CJ114,SUMIF(BI102:BI113,$CD108,BY102:BY113),SUMIF(BI102:BI113,$CD108,BQ102:BQ113))=0,NA(),IF(CJ108=CJ114,SUMIF(BI102:BI113,$CD108,BY102:BY113),SUMIF(BI102:BI113,$CD108,BQ102:BQ113)))</f>
        <v>4.3514744392576574</v>
      </c>
      <c r="CJ108" s="645">
        <f t="shared" si="33"/>
        <v>23</v>
      </c>
      <c r="CK108" s="645">
        <f t="shared" si="34"/>
        <v>4</v>
      </c>
    </row>
    <row r="109" spans="2:89" ht="15" customHeight="1">
      <c r="BI109" s="638" t="s">
        <v>329</v>
      </c>
      <c r="BJ109" s="638">
        <v>8</v>
      </c>
      <c r="BK109" s="638" t="s">
        <v>328</v>
      </c>
      <c r="BL109" s="690">
        <v>35.780999999999999</v>
      </c>
      <c r="BM109" s="885">
        <v>3.798</v>
      </c>
      <c r="BN109" s="885"/>
      <c r="BO109" s="885"/>
      <c r="BP109" s="955">
        <f t="shared" si="35"/>
        <v>3.798</v>
      </c>
      <c r="BQ109" s="653">
        <f t="shared" si="27"/>
        <v>9.4210110584518159</v>
      </c>
      <c r="BR109" s="290"/>
      <c r="BS109" s="655">
        <v>7</v>
      </c>
      <c r="BT109" s="859"/>
      <c r="BU109" s="943"/>
      <c r="BV109" s="943"/>
      <c r="BW109" s="943"/>
      <c r="BX109" s="955" t="str">
        <f t="shared" si="36"/>
        <v/>
      </c>
      <c r="BY109" s="653" t="str">
        <f t="shared" si="28"/>
        <v/>
      </c>
      <c r="BZ109" s="290"/>
      <c r="CA109" s="655">
        <v>7</v>
      </c>
      <c r="CB109" s="270"/>
      <c r="CD109" s="666" t="str">
        <f t="shared" si="29"/>
        <v>May</v>
      </c>
      <c r="CE109" s="944">
        <f t="shared" si="30"/>
        <v>3.798</v>
      </c>
      <c r="CF109" s="944" t="e">
        <f t="shared" si="31"/>
        <v>#N/A</v>
      </c>
      <c r="CG109" s="944" t="e">
        <f t="shared" si="32"/>
        <v>#N/A</v>
      </c>
      <c r="CH109" s="675">
        <f>IF(IF(CJ109=CJ114,SUMIF(BI102:BI113,$CD109,CA102:CA113),SUMIF(BI102:BI113,$CD109,BS102:BS113))=0,NA(),IF(CJ109=CJ114,SUMIF(BI102:BI113,$CD109,CA102:CA113),SUMIF(BI102:BI113,$CD109,BS102:BS113)))</f>
        <v>7</v>
      </c>
      <c r="CI109" s="664">
        <f>IF(IF(CJ109=CJ114,SUMIF(BI102:BI113,$CD109,BY102:BY113),SUMIF(BI102:BI113,$CD109,BQ102:BQ113))=0,NA(),IF(CJ109=CJ114,SUMIF(BI102:BI113,$CD109,BY102:BY113),SUMIF(BI102:BI113,$CD109,BQ102:BQ113)))</f>
        <v>9.4210110584518159</v>
      </c>
      <c r="CJ109" s="645">
        <f t="shared" si="33"/>
        <v>23</v>
      </c>
      <c r="CK109" s="645">
        <f t="shared" si="34"/>
        <v>5</v>
      </c>
    </row>
    <row r="110" spans="2:89" ht="15" customHeight="1">
      <c r="BI110" s="638" t="s">
        <v>331</v>
      </c>
      <c r="BJ110" s="638">
        <v>9</v>
      </c>
      <c r="BK110" s="638" t="s">
        <v>328</v>
      </c>
      <c r="BL110" s="690">
        <v>44.72625</v>
      </c>
      <c r="BM110" s="885">
        <v>4.1900000000000004</v>
      </c>
      <c r="BN110" s="885"/>
      <c r="BO110" s="885"/>
      <c r="BP110" s="955">
        <f t="shared" si="35"/>
        <v>4.1900000000000004</v>
      </c>
      <c r="BQ110" s="653">
        <f t="shared" si="27"/>
        <v>10.674522673031026</v>
      </c>
      <c r="BR110" s="290"/>
      <c r="BS110" s="655">
        <v>7</v>
      </c>
      <c r="BT110" s="859"/>
      <c r="BU110" s="943"/>
      <c r="BV110" s="943"/>
      <c r="BW110" s="943"/>
      <c r="BX110" s="955" t="str">
        <f t="shared" si="36"/>
        <v/>
      </c>
      <c r="BY110" s="653" t="str">
        <f t="shared" si="28"/>
        <v/>
      </c>
      <c r="BZ110" s="290"/>
      <c r="CA110" s="655">
        <v>7</v>
      </c>
      <c r="CB110" s="270"/>
      <c r="CD110" s="666" t="str">
        <f t="shared" si="29"/>
        <v>Jun</v>
      </c>
      <c r="CE110" s="944">
        <f t="shared" si="30"/>
        <v>4.1900000000000004</v>
      </c>
      <c r="CF110" s="944" t="e">
        <f t="shared" si="31"/>
        <v>#N/A</v>
      </c>
      <c r="CG110" s="944" t="e">
        <f t="shared" si="32"/>
        <v>#N/A</v>
      </c>
      <c r="CH110" s="675">
        <f>IF(IF(CJ110=CJ114,SUMIF(BI102:BI113,$CD110,CA102:CA113),SUMIF(BI102:BI113,$CD110,BS102:BS113))=0,NA(),IF(CJ110=CJ114,SUMIF(BI102:BI113,$CD110,CA102:CA113),SUMIF(BI102:BI113,$CD110,BS102:BS113)))</f>
        <v>7</v>
      </c>
      <c r="CI110" s="664">
        <f>IF(IF(CJ110=CJ114,SUMIF(BI102:BI113,$CD110,BY102:BY113),SUMIF(BI102:BI113,$CD110,BQ102:BQ113))=0,NA(),IF(CJ110=CJ114,SUMIF(BI102:BI113,$CD110,BY102:BY113),SUMIF(BI102:BI113,$CD110,BQ102:BQ113)))</f>
        <v>10.674522673031026</v>
      </c>
      <c r="CJ110" s="645">
        <f t="shared" si="33"/>
        <v>23</v>
      </c>
      <c r="CK110" s="645">
        <f t="shared" si="34"/>
        <v>6</v>
      </c>
    </row>
    <row r="111" spans="2:89" ht="15" customHeight="1">
      <c r="B111" s="267" t="s">
        <v>242</v>
      </c>
      <c r="C111" s="267"/>
      <c r="D111" s="267"/>
      <c r="E111" s="334"/>
      <c r="F111" s="326"/>
      <c r="G111" s="326"/>
      <c r="H111" s="326"/>
      <c r="I111" s="326"/>
      <c r="J111" s="326"/>
      <c r="K111" s="326"/>
      <c r="L111" s="326"/>
      <c r="M111" s="326"/>
      <c r="N111" s="326"/>
      <c r="O111" s="326"/>
      <c r="P111" s="326"/>
      <c r="Q111" s="326"/>
      <c r="R111" s="326"/>
      <c r="S111" s="326"/>
      <c r="T111" s="326"/>
      <c r="U111" s="326"/>
      <c r="V111" s="326"/>
      <c r="W111" s="326"/>
      <c r="X111" s="326"/>
      <c r="Y111" s="326"/>
      <c r="Z111" s="326"/>
      <c r="AA111" s="326"/>
      <c r="AB111" s="326"/>
      <c r="AE111" s="267" t="s">
        <v>242</v>
      </c>
      <c r="AF111" s="267"/>
      <c r="AG111" s="267"/>
      <c r="AH111" s="334"/>
      <c r="AI111" s="326"/>
      <c r="AJ111" s="326"/>
      <c r="AK111" s="326"/>
      <c r="AL111" s="326"/>
      <c r="AM111" s="326"/>
      <c r="AN111" s="326"/>
      <c r="AO111" s="326"/>
      <c r="AP111" s="326"/>
      <c r="AQ111" s="326"/>
      <c r="AR111" s="326"/>
      <c r="AS111" s="326"/>
      <c r="AT111" s="326"/>
      <c r="AU111" s="326"/>
      <c r="AV111" s="326"/>
      <c r="AW111" s="326"/>
      <c r="AX111" s="326"/>
      <c r="AY111" s="326"/>
      <c r="AZ111" s="326"/>
      <c r="BA111" s="326"/>
      <c r="BB111" s="326"/>
      <c r="BC111" s="326"/>
      <c r="BD111" s="326"/>
      <c r="BE111" s="326"/>
      <c r="BI111" s="638" t="s">
        <v>337</v>
      </c>
      <c r="BJ111" s="638">
        <v>10</v>
      </c>
      <c r="BK111" s="638" t="s">
        <v>338</v>
      </c>
      <c r="BL111" s="690">
        <v>60.366999999999997</v>
      </c>
      <c r="BM111" s="885">
        <v>4.7990000000000004</v>
      </c>
      <c r="BN111" s="885"/>
      <c r="BO111" s="885"/>
      <c r="BP111" s="955">
        <f t="shared" si="35"/>
        <v>4.7990000000000004</v>
      </c>
      <c r="BQ111" s="653">
        <f t="shared" si="27"/>
        <v>12.579078974786412</v>
      </c>
      <c r="BR111" s="289">
        <f>IF(SUM(BP111:BP113=0),0,SUM(BL111:BL113)/SUM(BP111:BP113))</f>
        <v>10.72596775290836</v>
      </c>
      <c r="BS111" s="655">
        <v>7</v>
      </c>
      <c r="BT111" s="690"/>
      <c r="BU111" s="885"/>
      <c r="BV111" s="885"/>
      <c r="BW111" s="885"/>
      <c r="BX111" s="955" t="str">
        <f t="shared" si="36"/>
        <v/>
      </c>
      <c r="BY111" s="653" t="str">
        <f t="shared" si="28"/>
        <v/>
      </c>
      <c r="BZ111" s="289">
        <f>IF(SUM(BX111:BX113=""),0,SUM(BT111:BT113)/SUM(BX111:BX113))</f>
        <v>0</v>
      </c>
      <c r="CA111" s="655">
        <v>7</v>
      </c>
      <c r="CB111" s="270"/>
      <c r="CD111" s="666" t="str">
        <f t="shared" si="29"/>
        <v>Jul</v>
      </c>
      <c r="CE111" s="944">
        <f t="shared" si="30"/>
        <v>4.7990000000000004</v>
      </c>
      <c r="CF111" s="944" t="e">
        <f t="shared" si="31"/>
        <v>#N/A</v>
      </c>
      <c r="CG111" s="944" t="e">
        <f t="shared" si="32"/>
        <v>#N/A</v>
      </c>
      <c r="CH111" s="675">
        <f>IF(IF(CJ111=CJ114,SUMIF(BI102:BI113,$CD111,CA102:CA113),SUMIF(BI102:BI113,$CD111,BS102:BS113))=0,NA(),IF(CJ111=CJ114,SUMIF(BI102:BI113,$CD111,CA102:CA113),SUMIF(BI102:BI113,$CD111,BS102:BS113)))</f>
        <v>7</v>
      </c>
      <c r="CI111" s="664">
        <f>IF(IF(CJ111=CJ114,SUMIF(BI102:BI113,$CD111,BY102:BY113),SUMIF(BI102:BI113,$CD111,BQ102:BQ113))=0,NA(),IF(CJ111=CJ114,SUMIF(BI102:BI113,$CD111,BY102:BY113),SUMIF(BI102:BI113,$CD111,BQ102:BQ113)))</f>
        <v>12.579078974786412</v>
      </c>
      <c r="CJ111" s="645">
        <f t="shared" si="33"/>
        <v>23</v>
      </c>
      <c r="CK111" s="645">
        <f t="shared" si="34"/>
        <v>7</v>
      </c>
    </row>
    <row r="112" spans="2:89" ht="15" customHeight="1">
      <c r="B112" s="1137" t="str">
        <f>AC42</f>
        <v xml:space="preserve">NEW Goal established; Beginning in FY24 AP is using a cost calculator, resource allocation formula to accurately capture cost per metric; Overall vendor set-up volume decreased from prior period as we are exiting peak season; AP12 (1875 vendor deactivations) added to Manual volume count. </v>
      </c>
      <c r="C112" s="1138"/>
      <c r="D112" s="1138"/>
      <c r="E112" s="1138"/>
      <c r="F112" s="1138"/>
      <c r="G112" s="1138"/>
      <c r="H112" s="1138"/>
      <c r="I112" s="1138"/>
      <c r="J112" s="1138"/>
      <c r="K112" s="1138"/>
      <c r="L112" s="1138"/>
      <c r="M112" s="1138"/>
      <c r="N112" s="1138"/>
      <c r="O112" s="1138"/>
      <c r="P112" s="1138"/>
      <c r="Q112" s="1138"/>
      <c r="R112" s="1138"/>
      <c r="S112" s="1138"/>
      <c r="T112" s="1138"/>
      <c r="U112" s="1138"/>
      <c r="V112" s="1138"/>
      <c r="W112" s="1138"/>
      <c r="X112" s="1138"/>
      <c r="Y112" s="1138"/>
      <c r="Z112" s="1138"/>
      <c r="AA112" s="1138"/>
      <c r="AB112" s="1139"/>
      <c r="AC112" s="576"/>
      <c r="AD112" s="576"/>
      <c r="AE112" s="1137" t="str">
        <f>AC43</f>
        <v>CHANGE in SLA (reduced 5 days) to accurately reflect process &amp; special handling requirements across the department
GOAL remains at 90%; will monitor &amp; adjust goal (increase) to ensure we are providing swift service to our businesses
Missed goal this period, directly related to cutting SLA in half from previous months; volume still relatively high with opportunity to have improved Tier 1 resolution; weekly calls continue with PS CC seeking those improvements</v>
      </c>
      <c r="AF112" s="1138"/>
      <c r="AG112" s="1138"/>
      <c r="AH112" s="1138"/>
      <c r="AI112" s="1138"/>
      <c r="AJ112" s="1138"/>
      <c r="AK112" s="1138"/>
      <c r="AL112" s="1138"/>
      <c r="AM112" s="1138"/>
      <c r="AN112" s="1138"/>
      <c r="AO112" s="1138"/>
      <c r="AP112" s="1138"/>
      <c r="AQ112" s="1138"/>
      <c r="AR112" s="1138"/>
      <c r="AS112" s="1138"/>
      <c r="AT112" s="1138"/>
      <c r="AU112" s="1138"/>
      <c r="AV112" s="1138"/>
      <c r="AW112" s="1138"/>
      <c r="AX112" s="1138"/>
      <c r="AY112" s="1138"/>
      <c r="AZ112" s="1138"/>
      <c r="BA112" s="1138"/>
      <c r="BB112" s="1138"/>
      <c r="BC112" s="1138"/>
      <c r="BD112" s="1138"/>
      <c r="BE112" s="1139"/>
      <c r="BI112" s="638" t="s">
        <v>343</v>
      </c>
      <c r="BJ112" s="638">
        <v>11</v>
      </c>
      <c r="BK112" s="638" t="s">
        <v>338</v>
      </c>
      <c r="BL112" s="690">
        <v>48.856000000000002</v>
      </c>
      <c r="BM112" s="885">
        <v>4.0830000000000002</v>
      </c>
      <c r="BN112" s="885"/>
      <c r="BO112" s="885"/>
      <c r="BP112" s="955">
        <f t="shared" si="35"/>
        <v>4.0830000000000002</v>
      </c>
      <c r="BQ112" s="653">
        <f t="shared" si="27"/>
        <v>11.965711486651971</v>
      </c>
      <c r="BR112" s="290"/>
      <c r="BS112" s="655">
        <v>7</v>
      </c>
      <c r="BT112" s="690"/>
      <c r="BU112" s="885"/>
      <c r="BV112" s="885"/>
      <c r="BW112" s="885"/>
      <c r="BX112" s="955" t="str">
        <f t="shared" si="36"/>
        <v/>
      </c>
      <c r="BY112" s="653" t="str">
        <f t="shared" si="28"/>
        <v/>
      </c>
      <c r="BZ112" s="290"/>
      <c r="CA112" s="655">
        <v>7</v>
      </c>
      <c r="CB112" s="270"/>
      <c r="CD112" s="666" t="str">
        <f t="shared" si="29"/>
        <v>Aug</v>
      </c>
      <c r="CE112" s="944">
        <f t="shared" si="30"/>
        <v>4.0830000000000002</v>
      </c>
      <c r="CF112" s="944" t="e">
        <f t="shared" si="31"/>
        <v>#N/A</v>
      </c>
      <c r="CG112" s="944" t="e">
        <f t="shared" si="32"/>
        <v>#N/A</v>
      </c>
      <c r="CH112" s="675">
        <f>IF(IF(CJ112=CJ114,SUMIF(BI102:BI113,$CD112,CA102:CA113),SUMIF(BI102:BI113,$CD112,BS102:BS113))=0,NA(),IF(CJ112=CJ114,SUMIF(BI102:BI113,$CD112,CA102:CA113),SUMIF(BI102:BI113,$CD112,BS102:BS113)))</f>
        <v>7</v>
      </c>
      <c r="CI112" s="664">
        <f>IF(IF(CJ112=CJ114,SUMIF(BI102:BI113,$CD112,BY102:BY113),SUMIF(BI102:BI113,$CD112,BQ102:BQ113))=0,NA(),IF(CJ112=CJ114,SUMIF(BI102:BI113,$CD112,BY102:BY113),SUMIF(BI102:BI113,$CD112,BQ102:BQ113)))</f>
        <v>11.965711486651971</v>
      </c>
      <c r="CJ112" s="645">
        <f t="shared" si="33"/>
        <v>23</v>
      </c>
      <c r="CK112" s="645">
        <f t="shared" si="34"/>
        <v>8</v>
      </c>
    </row>
    <row r="113" spans="2:89" ht="15" customHeight="1">
      <c r="B113" s="1140"/>
      <c r="C113" s="1206"/>
      <c r="D113" s="1206"/>
      <c r="E113" s="1206"/>
      <c r="F113" s="1206"/>
      <c r="G113" s="1206"/>
      <c r="H113" s="1206"/>
      <c r="I113" s="1206"/>
      <c r="J113" s="1206"/>
      <c r="K113" s="1206"/>
      <c r="L113" s="1206"/>
      <c r="M113" s="1206"/>
      <c r="N113" s="1206"/>
      <c r="O113" s="1206"/>
      <c r="P113" s="1206"/>
      <c r="Q113" s="1206"/>
      <c r="R113" s="1206"/>
      <c r="S113" s="1206"/>
      <c r="T113" s="1206"/>
      <c r="U113" s="1206"/>
      <c r="V113" s="1206"/>
      <c r="W113" s="1206"/>
      <c r="X113" s="1206"/>
      <c r="Y113" s="1206"/>
      <c r="Z113" s="1206"/>
      <c r="AA113" s="1206"/>
      <c r="AB113" s="1142"/>
      <c r="AC113" s="576"/>
      <c r="AD113" s="576"/>
      <c r="AE113" s="1140"/>
      <c r="AF113" s="1141"/>
      <c r="AG113" s="1141"/>
      <c r="AH113" s="1141"/>
      <c r="AI113" s="1141"/>
      <c r="AJ113" s="1141"/>
      <c r="AK113" s="1141"/>
      <c r="AL113" s="1141"/>
      <c r="AM113" s="1141"/>
      <c r="AN113" s="1141"/>
      <c r="AO113" s="1141"/>
      <c r="AP113" s="1141"/>
      <c r="AQ113" s="1141"/>
      <c r="AR113" s="1141"/>
      <c r="AS113" s="1141"/>
      <c r="AT113" s="1141"/>
      <c r="AU113" s="1141"/>
      <c r="AV113" s="1141"/>
      <c r="AW113" s="1141"/>
      <c r="AX113" s="1141"/>
      <c r="AY113" s="1141"/>
      <c r="AZ113" s="1141"/>
      <c r="BA113" s="1141"/>
      <c r="BB113" s="1141"/>
      <c r="BC113" s="1141"/>
      <c r="BD113" s="1141"/>
      <c r="BE113" s="1142"/>
      <c r="BI113" s="638" t="s">
        <v>344</v>
      </c>
      <c r="BJ113" s="638">
        <v>12</v>
      </c>
      <c r="BK113" s="638" t="s">
        <v>338</v>
      </c>
      <c r="BL113" s="690">
        <v>48.438000000000002</v>
      </c>
      <c r="BM113" s="885">
        <v>5.8170000000000002</v>
      </c>
      <c r="BN113" s="885"/>
      <c r="BO113" s="885"/>
      <c r="BP113" s="955">
        <f t="shared" si="35"/>
        <v>5.8170000000000002</v>
      </c>
      <c r="BQ113" s="653">
        <f t="shared" si="27"/>
        <v>8.3269726663228472</v>
      </c>
      <c r="BR113" s="290"/>
      <c r="BS113" s="655">
        <v>7</v>
      </c>
      <c r="BT113" s="690"/>
      <c r="BU113" s="885"/>
      <c r="BV113" s="885"/>
      <c r="BW113" s="885"/>
      <c r="BX113" s="955" t="str">
        <f t="shared" si="36"/>
        <v/>
      </c>
      <c r="BY113" s="653" t="str">
        <f t="shared" si="28"/>
        <v/>
      </c>
      <c r="BZ113" s="290"/>
      <c r="CA113" s="655">
        <v>7</v>
      </c>
      <c r="CB113" s="270"/>
      <c r="CD113" s="666" t="str">
        <f t="shared" si="29"/>
        <v>Sep</v>
      </c>
      <c r="CE113" s="944">
        <f t="shared" si="30"/>
        <v>5.8170000000000002</v>
      </c>
      <c r="CF113" s="944" t="e">
        <f t="shared" si="31"/>
        <v>#N/A</v>
      </c>
      <c r="CG113" s="944" t="e">
        <f t="shared" si="32"/>
        <v>#N/A</v>
      </c>
      <c r="CH113" s="675">
        <f>IF(IF(CJ113=CJ114,SUMIF(BI102:BI113,$CD113,CA102:CA113),SUMIF(BI102:BI113,$CD113,BS102:BS113))=0,NA(),IF(CJ113=CJ114,SUMIF(BI102:BI113,$CD113,CA102:CA113),SUMIF(BI102:BI113,$CD113,BS102:BS113)))</f>
        <v>7</v>
      </c>
      <c r="CI113" s="664">
        <f>IF(IF(CJ113=CJ114,SUMIF(BI102:BI113,$CD113,BY102:BY113),SUMIF(BI102:BI113,$CD113,BQ102:BQ113))=0,NA(),IF(CJ113=CJ114,SUMIF(BI102:BI113,$CD113,BY102:BY113),SUMIF(BI102:BI113,$CD113,BQ102:BQ113)))</f>
        <v>8.3269726663228472</v>
      </c>
      <c r="CJ113" s="645">
        <f t="shared" si="33"/>
        <v>23</v>
      </c>
      <c r="CK113" s="645">
        <f>IF(CK114-1&lt;1,CK114+11,CK114-1)</f>
        <v>9</v>
      </c>
    </row>
    <row r="114" spans="2:89" ht="15" customHeight="1">
      <c r="B114" s="1140"/>
      <c r="C114" s="1206"/>
      <c r="D114" s="1206"/>
      <c r="E114" s="1206"/>
      <c r="F114" s="1206"/>
      <c r="G114" s="1206"/>
      <c r="H114" s="1206"/>
      <c r="I114" s="1206"/>
      <c r="J114" s="1206"/>
      <c r="K114" s="1206"/>
      <c r="L114" s="1206"/>
      <c r="M114" s="1206"/>
      <c r="N114" s="1206"/>
      <c r="O114" s="1206"/>
      <c r="P114" s="1206"/>
      <c r="Q114" s="1206"/>
      <c r="R114" s="1206"/>
      <c r="S114" s="1206"/>
      <c r="T114" s="1206"/>
      <c r="U114" s="1206"/>
      <c r="V114" s="1206"/>
      <c r="W114" s="1206"/>
      <c r="X114" s="1206"/>
      <c r="Y114" s="1206"/>
      <c r="Z114" s="1206"/>
      <c r="AA114" s="1206"/>
      <c r="AB114" s="1142"/>
      <c r="AC114" s="576"/>
      <c r="AD114" s="576"/>
      <c r="AE114" s="1140"/>
      <c r="AF114" s="1141"/>
      <c r="AG114" s="1141"/>
      <c r="AH114" s="1141"/>
      <c r="AI114" s="1141"/>
      <c r="AJ114" s="1141"/>
      <c r="AK114" s="1141"/>
      <c r="AL114" s="1141"/>
      <c r="AM114" s="1141"/>
      <c r="AN114" s="1141"/>
      <c r="AO114" s="1141"/>
      <c r="AP114" s="1141"/>
      <c r="AQ114" s="1141"/>
      <c r="AR114" s="1141"/>
      <c r="AS114" s="1141"/>
      <c r="AT114" s="1141"/>
      <c r="AU114" s="1141"/>
      <c r="AV114" s="1141"/>
      <c r="AW114" s="1141"/>
      <c r="AX114" s="1141"/>
      <c r="AY114" s="1141"/>
      <c r="AZ114" s="1141"/>
      <c r="BA114" s="1141"/>
      <c r="BB114" s="1141"/>
      <c r="BC114" s="1141"/>
      <c r="BD114" s="1141"/>
      <c r="BE114" s="1142"/>
      <c r="BJ114" s="277"/>
      <c r="BK114" s="277"/>
      <c r="BL114" s="277"/>
      <c r="BM114" s="277"/>
      <c r="BN114" s="277"/>
      <c r="BO114" s="277"/>
      <c r="BP114" s="277"/>
      <c r="BQ114" s="277"/>
      <c r="BR114" s="277"/>
      <c r="BS114" s="277"/>
      <c r="BT114" s="277"/>
      <c r="BU114" s="277"/>
      <c r="BV114" s="277"/>
      <c r="BW114" s="277"/>
      <c r="BX114" s="277"/>
      <c r="BY114" s="277"/>
      <c r="BZ114" s="277"/>
      <c r="CA114" s="270"/>
      <c r="CB114" s="270"/>
      <c r="CC114" s="667" t="str">
        <f>Cover!$M$34</f>
        <v>OCT FY-24</v>
      </c>
      <c r="CD114" s="666" t="str">
        <f t="shared" si="29"/>
        <v>Oct</v>
      </c>
      <c r="CE114" s="944">
        <f t="shared" si="30"/>
        <v>0.88800000000000001</v>
      </c>
      <c r="CF114" s="944">
        <f t="shared" si="31"/>
        <v>1.0029999999999999</v>
      </c>
      <c r="CG114" s="944">
        <f t="shared" si="32"/>
        <v>2.9020000000000001</v>
      </c>
      <c r="CH114" s="675">
        <f>IF(IF(CJ114=CJ114,SUMIF(BI102:BI113,$CD114,CA102:CA113),SUMIF(BI102:BI113,$CD114,BS102:BS113))=0,NA(),IF(CJ114=CJ114,SUMIF(BI102:BI113,$CD114,CA102:CA113),SUMIF(BI102:BI113,$CD114,BS102:BS113)))</f>
        <v>7</v>
      </c>
      <c r="CI114" s="664">
        <f>IF(SUMIF($BI102:$BI113,$CD114,$BY102:$BY113)=0,NA(),SUMIF($BI102:$BI113,$CD114,$BY102:$BY113))</f>
        <v>5.6634675568537451</v>
      </c>
      <c r="CJ114" s="645">
        <f t="shared" si="33"/>
        <v>24</v>
      </c>
      <c r="CK114" s="645">
        <f>MONTH(DATEVALUE(LEFT(CC114,3)&amp;" 1"))</f>
        <v>10</v>
      </c>
    </row>
    <row r="115" spans="2:89" ht="15" customHeight="1">
      <c r="B115" s="1143"/>
      <c r="C115" s="1144"/>
      <c r="D115" s="1144"/>
      <c r="E115" s="1144"/>
      <c r="F115" s="1144"/>
      <c r="G115" s="1144"/>
      <c r="H115" s="1144"/>
      <c r="I115" s="1144"/>
      <c r="J115" s="1144"/>
      <c r="K115" s="1144"/>
      <c r="L115" s="1144"/>
      <c r="M115" s="1144"/>
      <c r="N115" s="1144"/>
      <c r="O115" s="1144"/>
      <c r="P115" s="1144"/>
      <c r="Q115" s="1144"/>
      <c r="R115" s="1144"/>
      <c r="S115" s="1144"/>
      <c r="T115" s="1144"/>
      <c r="U115" s="1144"/>
      <c r="V115" s="1144"/>
      <c r="W115" s="1144"/>
      <c r="X115" s="1144"/>
      <c r="Y115" s="1144"/>
      <c r="Z115" s="1144"/>
      <c r="AA115" s="1144"/>
      <c r="AB115" s="1145"/>
      <c r="AC115" s="576"/>
      <c r="AD115" s="576"/>
      <c r="AE115" s="1143"/>
      <c r="AF115" s="1144"/>
      <c r="AG115" s="1144"/>
      <c r="AH115" s="1144"/>
      <c r="AI115" s="1144"/>
      <c r="AJ115" s="1144"/>
      <c r="AK115" s="1144"/>
      <c r="AL115" s="1144"/>
      <c r="AM115" s="1144"/>
      <c r="AN115" s="1144"/>
      <c r="AO115" s="1144"/>
      <c r="AP115" s="1144"/>
      <c r="AQ115" s="1144"/>
      <c r="AR115" s="1144"/>
      <c r="AS115" s="1144"/>
      <c r="AT115" s="1144"/>
      <c r="AU115" s="1144"/>
      <c r="AV115" s="1144"/>
      <c r="AW115" s="1144"/>
      <c r="AX115" s="1144"/>
      <c r="AY115" s="1144"/>
      <c r="AZ115" s="1144"/>
      <c r="BA115" s="1144"/>
      <c r="BB115" s="1144"/>
      <c r="BC115" s="1144"/>
      <c r="BD115" s="1144"/>
      <c r="BE115" s="1145"/>
    </row>
    <row r="116" spans="2:89" ht="15" customHeight="1">
      <c r="B116" s="577"/>
      <c r="C116" s="577"/>
      <c r="D116" s="577"/>
      <c r="E116" s="577"/>
      <c r="F116" s="577"/>
      <c r="G116" s="577"/>
      <c r="H116" s="577"/>
      <c r="I116" s="577"/>
      <c r="J116" s="577"/>
      <c r="K116" s="577"/>
      <c r="L116" s="577"/>
      <c r="M116" s="577"/>
      <c r="N116" s="577"/>
      <c r="O116" s="577"/>
      <c r="P116" s="577"/>
      <c r="Q116" s="577"/>
      <c r="R116" s="577"/>
      <c r="S116" s="577"/>
      <c r="T116" s="577"/>
      <c r="U116" s="577"/>
      <c r="V116" s="577"/>
      <c r="W116" s="577"/>
      <c r="X116" s="577"/>
      <c r="Y116" s="577"/>
      <c r="Z116" s="577"/>
      <c r="AA116" s="577"/>
      <c r="AB116" s="577"/>
      <c r="AC116" s="576"/>
      <c r="AD116" s="576"/>
      <c r="AE116" s="577"/>
      <c r="AF116" s="577"/>
      <c r="AG116" s="577"/>
      <c r="AH116" s="577"/>
      <c r="AI116" s="577"/>
      <c r="AJ116" s="577"/>
      <c r="AK116" s="577"/>
      <c r="AL116" s="577"/>
      <c r="AM116" s="577"/>
      <c r="AN116" s="577"/>
      <c r="AO116" s="577"/>
      <c r="AP116" s="577"/>
      <c r="AQ116" s="577"/>
      <c r="AR116" s="577"/>
      <c r="AS116" s="577"/>
      <c r="AT116" s="577"/>
      <c r="AU116" s="577"/>
      <c r="AV116" s="577"/>
      <c r="AW116" s="577"/>
      <c r="AX116" s="577"/>
      <c r="AY116" s="577"/>
      <c r="AZ116" s="577"/>
      <c r="BA116" s="577"/>
      <c r="BB116" s="577"/>
      <c r="BC116" s="577"/>
      <c r="BD116" s="577"/>
      <c r="BE116" s="577"/>
      <c r="BI116" s="54" t="s">
        <v>292</v>
      </c>
      <c r="BJ116" s="287" t="s">
        <v>735</v>
      </c>
      <c r="BK116" s="287"/>
      <c r="BL116" s="287"/>
      <c r="BM116" s="287"/>
      <c r="BN116" s="287"/>
      <c r="BO116" s="287"/>
      <c r="BP116" s="287"/>
      <c r="BQ116" s="287"/>
      <c r="BR116" s="287"/>
      <c r="BS116" s="287"/>
      <c r="BT116" s="287"/>
      <c r="BU116" s="287"/>
    </row>
    <row r="117" spans="2:89" ht="15" customHeight="1">
      <c r="BI117" s="54" t="s">
        <v>296</v>
      </c>
      <c r="BJ117" s="287" t="s">
        <v>414</v>
      </c>
      <c r="BK117" s="287"/>
      <c r="BL117" s="287"/>
      <c r="BM117" s="287"/>
      <c r="BN117" s="287"/>
      <c r="BO117" s="287"/>
      <c r="BP117" s="287"/>
      <c r="BQ117" s="287"/>
      <c r="BR117" s="287"/>
      <c r="BS117" s="287"/>
      <c r="BT117" s="287"/>
      <c r="BU117" s="287"/>
    </row>
    <row r="118" spans="2:89" ht="15" customHeight="1">
      <c r="BI118" s="54"/>
      <c r="BJ118" s="287"/>
      <c r="BK118" s="287"/>
      <c r="BL118" s="287"/>
      <c r="BM118" s="287"/>
      <c r="BN118" s="287"/>
      <c r="BO118" s="287"/>
      <c r="BP118" s="287"/>
      <c r="BQ118" s="287"/>
      <c r="BR118" s="287"/>
      <c r="BS118" s="287"/>
      <c r="BT118" s="287"/>
      <c r="BU118" s="287"/>
    </row>
    <row r="119" spans="2:89" ht="15" customHeight="1" thickBot="1">
      <c r="BI119" s="54" t="s">
        <v>300</v>
      </c>
      <c r="BJ119" s="287" t="s">
        <v>736</v>
      </c>
      <c r="BK119" s="287"/>
      <c r="BL119" s="287"/>
      <c r="BM119" s="287"/>
      <c r="BN119" s="287"/>
      <c r="BO119" s="287"/>
      <c r="BP119" s="287"/>
      <c r="BQ119" s="287"/>
      <c r="BR119" s="287"/>
      <c r="BS119" s="287"/>
      <c r="BT119" s="287"/>
      <c r="BU119" s="287"/>
    </row>
    <row r="120" spans="2:89" ht="15" customHeight="1" thickBot="1">
      <c r="BI120" s="277"/>
      <c r="BJ120" s="277"/>
      <c r="BK120" s="277"/>
      <c r="BL120" s="1148" t="s">
        <v>302</v>
      </c>
      <c r="BM120" s="1149"/>
      <c r="BN120" s="1149"/>
      <c r="BO120" s="1149"/>
      <c r="BP120" s="1151"/>
      <c r="BQ120" s="1148" t="s">
        <v>719</v>
      </c>
      <c r="BR120" s="1149"/>
      <c r="BS120" s="1149"/>
      <c r="BT120" s="1149"/>
      <c r="BU120" s="1150"/>
      <c r="BW120" s="1148" t="s">
        <v>303</v>
      </c>
      <c r="BX120" s="1149"/>
      <c r="BY120" s="1149"/>
      <c r="BZ120" s="1149"/>
      <c r="CA120" s="1149"/>
      <c r="CB120" s="1149"/>
      <c r="CC120" s="1150"/>
    </row>
    <row r="121" spans="2:89" ht="15" customHeight="1">
      <c r="BI121" s="636" t="s">
        <v>23</v>
      </c>
      <c r="BJ121" s="636" t="s">
        <v>37</v>
      </c>
      <c r="BK121" s="636" t="s">
        <v>304</v>
      </c>
      <c r="BL121" s="637" t="s">
        <v>305</v>
      </c>
      <c r="BM121" s="637" t="s">
        <v>310</v>
      </c>
      <c r="BN121" s="637" t="s">
        <v>311</v>
      </c>
      <c r="BO121" s="278" t="s">
        <v>312</v>
      </c>
      <c r="BP121" s="637" t="s">
        <v>313</v>
      </c>
      <c r="BQ121" s="637" t="s">
        <v>305</v>
      </c>
      <c r="BR121" s="637" t="s">
        <v>715</v>
      </c>
      <c r="BS121" s="637" t="s">
        <v>716</v>
      </c>
      <c r="BT121" s="278" t="s">
        <v>717</v>
      </c>
      <c r="BU121" s="637" t="s">
        <v>718</v>
      </c>
      <c r="BW121" s="279" t="s">
        <v>314</v>
      </c>
      <c r="BX121" s="279" t="s">
        <v>23</v>
      </c>
      <c r="BY121" s="280" t="s">
        <v>315</v>
      </c>
      <c r="BZ121" s="279" t="s">
        <v>122</v>
      </c>
      <c r="CA121" s="279" t="s">
        <v>316</v>
      </c>
      <c r="CB121" s="279" t="s">
        <v>317</v>
      </c>
      <c r="CC121" s="279" t="s">
        <v>318</v>
      </c>
    </row>
    <row r="122" spans="2:89" ht="15" customHeight="1">
      <c r="BI122" s="638" t="s">
        <v>319</v>
      </c>
      <c r="BJ122" s="638">
        <v>1</v>
      </c>
      <c r="BK122" s="638" t="s">
        <v>320</v>
      </c>
      <c r="BL122" s="822">
        <v>0.65500000000000003</v>
      </c>
      <c r="BM122" s="689">
        <v>0.873</v>
      </c>
      <c r="BN122" s="653">
        <f>IF(BM122="","",BL122/BM122)</f>
        <v>0.75028636884306987</v>
      </c>
      <c r="BO122" s="289">
        <f>IF(SUM(BM122:BM124=0),0,SUM(BL122:BL124)/SUM(BM122:BM124))</f>
        <v>0.87449392712550611</v>
      </c>
      <c r="BP122" s="821">
        <v>0.9</v>
      </c>
      <c r="BQ122" s="822">
        <v>0.80200000000000005</v>
      </c>
      <c r="BR122" s="689">
        <v>0.95199999999999996</v>
      </c>
      <c r="BS122" s="653">
        <f>IF(BR122="","",BQ122/BR122)</f>
        <v>0.84243697478991608</v>
      </c>
      <c r="BT122" s="289">
        <f>IF(SUM(BR122:BR124=0),0,SUM(BQ122:BQ124)/SUM(BR122:BR124))</f>
        <v>0.84243697478991608</v>
      </c>
      <c r="BU122" s="821">
        <v>0.9</v>
      </c>
      <c r="BX122" s="666" t="str">
        <f t="shared" ref="BX122:BX133" si="37">TEXT(CONCATENATE(CC122,"/01/20",CB122),"MMM")</f>
        <v>Oct</v>
      </c>
      <c r="BY122" s="643">
        <f>IF(CB122=$CB134,SUMIF($BI122:$BI133,$BX122,$BR122:$BR133),SUMIF($BI122:$BI133,$BX122,$BM122:$BM133))</f>
        <v>0.873</v>
      </c>
      <c r="BZ122" s="821">
        <f>IF(IF(CB122=CB134,SUMIF(BI122:BI133,$BX122,BU122:BU133),SUMIF(BI122:BI133,$BX122,BP122:BP133))=0,NA(),IF(CB122=CB134,SUMIF(BI122:BI133,$BX122,BU122:BU133),SUMIF(BI122:BI133,$BX122,BP122:BP133)))</f>
        <v>0.9</v>
      </c>
      <c r="CA122" s="640">
        <f>IF(IF(CB122=CB134,SUMIF(BI122:BI133,$BX122,BS122:BS133),SUMIF(BI122:BI133,$BX122,BN122:BN133))=0,NA(),IF(CB122=CB134,SUMIF(BI122:BI133,$BX122,BS122:BS133),SUMIF(BI122:BI133,$BX122,BN122:BN133)))</f>
        <v>0.75028636884306987</v>
      </c>
      <c r="CB122" s="645">
        <f t="shared" ref="CB122:CB131" si="38">CJ102</f>
        <v>23</v>
      </c>
      <c r="CC122" s="645">
        <f t="shared" ref="CC122:CC132" si="39">IF(CC123-1&lt;1,CC123+11,CC123-1)</f>
        <v>10</v>
      </c>
    </row>
    <row r="123" spans="2:89" ht="15" customHeight="1">
      <c r="BI123" s="638" t="s">
        <v>321</v>
      </c>
      <c r="BJ123" s="638">
        <v>2</v>
      </c>
      <c r="BK123" s="638" t="s">
        <v>320</v>
      </c>
      <c r="BL123" s="822">
        <v>0.53200000000000003</v>
      </c>
      <c r="BM123" s="689">
        <v>0.55500000000000005</v>
      </c>
      <c r="BN123" s="653">
        <f t="shared" ref="BN123:BN133" si="40">IF(BM123="","",BL123/BM123)</f>
        <v>0.95855855855855854</v>
      </c>
      <c r="BO123" s="290"/>
      <c r="BP123" s="821">
        <v>0.9</v>
      </c>
      <c r="BQ123" s="822"/>
      <c r="BR123" s="689"/>
      <c r="BS123" s="653" t="str">
        <f t="shared" ref="BS123:BS133" si="41">IF(BR123="","",BQ123/BR123)</f>
        <v/>
      </c>
      <c r="BT123" s="290"/>
      <c r="BU123" s="821">
        <v>0.9</v>
      </c>
      <c r="BX123" s="666" t="str">
        <f t="shared" si="37"/>
        <v>Nov</v>
      </c>
      <c r="BY123" s="643">
        <f>IF(CB123=$CB134,SUMIF($BI122:$BI133,$BX123,$BR122:$BR133),SUMIF($BI122:$BI133,$BX123,$BM122:$BM133))</f>
        <v>0.55500000000000005</v>
      </c>
      <c r="BZ123" s="821">
        <f>IF(IF(CB123=CB134,SUMIF(BI122:BI133,$BX123,BU122:BU133),SUMIF(BI122:BI133,$BX123,BP122:BP133))=0,NA(),IF(CB123=CB134,SUMIF(BI122:BI133,$BX123,BU122:BU133),SUMIF(BI122:BI133,$BX123,BP122:BP133)))</f>
        <v>0.9</v>
      </c>
      <c r="CA123" s="640">
        <f>IF(IF(CB123=CB134,SUMIF(BI122:BI133,$BX123,BS122:BS133),SUMIF(BI122:BI133,$BX123,BN122:BN133))=0,NA(),IF(CB123=CB134,SUMIF(BI122:BI133,$BX123,BS122:BS133),SUMIF(BI122:BI133,$BX123,BN122:BN133)))</f>
        <v>0.95855855855855854</v>
      </c>
      <c r="CB123" s="645">
        <f t="shared" si="38"/>
        <v>23</v>
      </c>
      <c r="CC123" s="645">
        <f>IF(CC124-1&lt;1,CC124+11,CC124-1)</f>
        <v>11</v>
      </c>
    </row>
    <row r="124" spans="2:89" ht="15" customHeight="1">
      <c r="BI124" s="638" t="s">
        <v>322</v>
      </c>
      <c r="BJ124" s="638">
        <v>3</v>
      </c>
      <c r="BK124" s="638" t="s">
        <v>320</v>
      </c>
      <c r="BL124" s="822">
        <v>0.75700000000000001</v>
      </c>
      <c r="BM124" s="689">
        <v>0.79500000000000004</v>
      </c>
      <c r="BN124" s="653">
        <f t="shared" si="40"/>
        <v>0.95220125786163523</v>
      </c>
      <c r="BO124" s="290"/>
      <c r="BP124" s="821">
        <v>0.9</v>
      </c>
      <c r="BQ124" s="822"/>
      <c r="BR124" s="689"/>
      <c r="BS124" s="653" t="str">
        <f t="shared" si="41"/>
        <v/>
      </c>
      <c r="BT124" s="290"/>
      <c r="BU124" s="821">
        <v>0.9</v>
      </c>
      <c r="BX124" s="666" t="str">
        <f t="shared" si="37"/>
        <v>Dec</v>
      </c>
      <c r="BY124" s="643">
        <f>IF(CB124=$CB134,SUMIF($BI122:$BI133,$BX124,$BR122:$BR133),SUMIF($BI122:$BI133,$BX124,$BM122:$BM133))</f>
        <v>0.79500000000000004</v>
      </c>
      <c r="BZ124" s="821">
        <f>IF(IF(CB124=CB134,SUMIF(BI122:BI133,$BX124,BU122:BU133),SUMIF(BI122:BI133,$BX124,BP122:BP133))=0,NA(),IF(CB124=CB134,SUMIF(BI122:BI133,$BX124,BU122:BU133),SUMIF(BI122:BI133,$BX124,BP122:BP133)))</f>
        <v>0.9</v>
      </c>
      <c r="CA124" s="640">
        <f>IF(IF(CB124=CB134,SUMIF(BI122:BI133,$BX124,BS122:BS133),SUMIF(BI122:BI133,$BX124,BN122:BN133))=0,NA(),IF(CB124=CB134,SUMIF(BI122:BI133,$BX124,BS122:BS133),SUMIF(BI122:BI133,$BX124,BN122:BN133)))</f>
        <v>0.95220125786163523</v>
      </c>
      <c r="CB124" s="645">
        <f t="shared" si="38"/>
        <v>23</v>
      </c>
      <c r="CC124" s="645">
        <f t="shared" si="39"/>
        <v>12</v>
      </c>
    </row>
    <row r="125" spans="2:89" ht="15" customHeight="1">
      <c r="BI125" s="638" t="s">
        <v>323</v>
      </c>
      <c r="BJ125" s="638">
        <v>4</v>
      </c>
      <c r="BK125" s="638" t="s">
        <v>324</v>
      </c>
      <c r="BL125" s="822">
        <v>0.55100000000000005</v>
      </c>
      <c r="BM125" s="689">
        <v>0.61499999999999999</v>
      </c>
      <c r="BN125" s="653">
        <f t="shared" si="40"/>
        <v>0.89593495934959355</v>
      </c>
      <c r="BO125" s="289">
        <f>IF(SUM(BM125:BM127=0),0,SUM(BL125:BL127)/SUM(BM125:BM127))</f>
        <v>0.86995922066153153</v>
      </c>
      <c r="BP125" s="821">
        <v>0.9</v>
      </c>
      <c r="BQ125" s="822"/>
      <c r="BR125" s="689"/>
      <c r="BS125" s="653" t="str">
        <f t="shared" si="41"/>
        <v/>
      </c>
      <c r="BT125" s="289">
        <f>IF(SUM(BR125:BR127=0),0,SUM(BQ125:BQ127)/SUM(BR125:BR127))</f>
        <v>0</v>
      </c>
      <c r="BU125" s="821">
        <v>0.9</v>
      </c>
      <c r="BX125" s="666" t="str">
        <f t="shared" si="37"/>
        <v>Jan</v>
      </c>
      <c r="BY125" s="643">
        <f>IF(CB125=$CB134,SUMIF($BI122:$BI133,$BX125,$BR122:$BR133),SUMIF($BI122:$BI133,$BX125,$BM122:$BM133))</f>
        <v>0.61499999999999999</v>
      </c>
      <c r="BZ125" s="821">
        <f>IF(IF(CB125=CB134,SUMIF(BI122:BI133,$BX125,BU122:BU133),SUMIF(BI122:BI133,$BX125,BP122:BP133))=0,NA(),IF(CB125=CB134,SUMIF(BI122:BI133,$BX125,BU122:BU133),SUMIF(BI122:BI133,$BX125,BP122:BP133)))</f>
        <v>0.9</v>
      </c>
      <c r="CA125" s="640">
        <f>IF(IF(CB125=CB134,SUMIF(BI122:BI133,$BX125,BS122:BS133),SUMIF(BI122:BI133,$BX125,BN122:BN133))=0,NA(),IF(CB125=CB134,SUMIF(BI122:BI133,$BX125,BS122:BS133),SUMIF(BI122:BI133,$BX125,BN122:BN133)))</f>
        <v>0.89593495934959355</v>
      </c>
      <c r="CB125" s="645">
        <f t="shared" si="38"/>
        <v>23</v>
      </c>
      <c r="CC125" s="645">
        <f t="shared" si="39"/>
        <v>1</v>
      </c>
    </row>
    <row r="126" spans="2:89" ht="15" customHeight="1">
      <c r="BI126" s="638" t="s">
        <v>325</v>
      </c>
      <c r="BJ126" s="638">
        <v>5</v>
      </c>
      <c r="BK126" s="638" t="s">
        <v>324</v>
      </c>
      <c r="BL126" s="690">
        <v>0.61799999999999999</v>
      </c>
      <c r="BM126" s="822">
        <v>0.71099999999999997</v>
      </c>
      <c r="BN126" s="653">
        <f t="shared" si="40"/>
        <v>0.86919831223628696</v>
      </c>
      <c r="BO126" s="290"/>
      <c r="BP126" s="821">
        <v>0.9</v>
      </c>
      <c r="BQ126" s="690"/>
      <c r="BR126" s="822"/>
      <c r="BS126" s="653" t="str">
        <f t="shared" si="41"/>
        <v/>
      </c>
      <c r="BT126" s="290"/>
      <c r="BU126" s="821">
        <v>0.9</v>
      </c>
      <c r="BX126" s="666" t="str">
        <f t="shared" si="37"/>
        <v>Feb</v>
      </c>
      <c r="BY126" s="643">
        <f>IF(CB126=$CB134,SUMIF($BI122:$BI133,$BX126,$BR122:$BR133),SUMIF($BI122:$BI133,$BX126,$BM122:$BM133))</f>
        <v>0.71099999999999997</v>
      </c>
      <c r="BZ126" s="821">
        <f>IF(IF(CB126=CB134,SUMIF(BI122:BI133,$BX126,BU122:BU133),SUMIF(BI122:BI133,$BX126,BP122:BP133))=0,NA(),IF(CB126=CB134,SUMIF(BI122:BI133,$BX126,BU122:BU133),SUMIF(BI122:BI133,$BX126,BP122:BP133)))</f>
        <v>0.9</v>
      </c>
      <c r="CA126" s="640">
        <f>IF(IF(CB126=CB134,SUMIF(BI122:BI133,$BX126,BS122:BS133),SUMIF(BI122:BI133,$BX126,BN122:BN133))=0,NA(),IF(CB126=CB134,SUMIF(BI122:BI133,$BX126,BS122:BS133),SUMIF(BI122:BI133,$BX126,BN122:BN133)))</f>
        <v>0.86919831223628696</v>
      </c>
      <c r="CB126" s="645">
        <f t="shared" si="38"/>
        <v>23</v>
      </c>
      <c r="CC126" s="645">
        <f t="shared" si="39"/>
        <v>2</v>
      </c>
    </row>
    <row r="127" spans="2:89" ht="15" customHeight="1">
      <c r="BI127" s="638" t="s">
        <v>326</v>
      </c>
      <c r="BJ127" s="638">
        <v>6</v>
      </c>
      <c r="BK127" s="638" t="s">
        <v>324</v>
      </c>
      <c r="BL127" s="690">
        <v>0.751</v>
      </c>
      <c r="BM127" s="822">
        <v>0.88100000000000001</v>
      </c>
      <c r="BN127" s="653">
        <f t="shared" si="40"/>
        <v>0.85244040862656068</v>
      </c>
      <c r="BO127" s="290"/>
      <c r="BP127" s="821">
        <v>0.9</v>
      </c>
      <c r="BQ127" s="690"/>
      <c r="BR127" s="822"/>
      <c r="BS127" s="653" t="str">
        <f t="shared" si="41"/>
        <v/>
      </c>
      <c r="BT127" s="290"/>
      <c r="BU127" s="821">
        <v>0.9</v>
      </c>
      <c r="BX127" s="666" t="str">
        <f t="shared" si="37"/>
        <v>Mar</v>
      </c>
      <c r="BY127" s="643">
        <f>IF(CB127=$CB134,SUMIF($BI122:$BI133,$BX127,$BR122:$BR133),SUMIF($BI122:$BI133,$BX127,$BM122:$BM133))</f>
        <v>0.88100000000000001</v>
      </c>
      <c r="BZ127" s="821">
        <f>IF(IF(CB127=CB134,SUMIF(BI122:BI133,$BX127,BU122:BU133),SUMIF(BI122:BI133,$BX127,BP122:BP133))=0,NA(),IF(CB127=CB134,SUMIF(BI122:BI133,$BX127,BU122:BU133),SUMIF(BI122:BI133,$BX127,BP122:BP133)))</f>
        <v>0.9</v>
      </c>
      <c r="CA127" s="640">
        <f>IF(IF(CB127=CB134,SUMIF(BI122:BI133,$BX127,BS122:BS133),SUMIF(BI122:BI133,$BX127,BN122:BN133))=0,NA(),IF(CB127=CB134,SUMIF(BI122:BI133,$BX127,BS122:BS133),SUMIF(BI122:BI133,$BX127,BN122:BN133)))</f>
        <v>0.85244040862656068</v>
      </c>
      <c r="CB127" s="645">
        <f t="shared" si="38"/>
        <v>23</v>
      </c>
      <c r="CC127" s="645">
        <f t="shared" si="39"/>
        <v>3</v>
      </c>
    </row>
    <row r="128" spans="2:89" ht="15" customHeight="1">
      <c r="BI128" s="638" t="s">
        <v>327</v>
      </c>
      <c r="BJ128" s="638">
        <v>7</v>
      </c>
      <c r="BK128" s="638" t="s">
        <v>328</v>
      </c>
      <c r="BL128" s="690">
        <v>0.56000000000000005</v>
      </c>
      <c r="BM128" s="822">
        <v>0.59899999999999998</v>
      </c>
      <c r="BN128" s="653">
        <f t="shared" si="40"/>
        <v>0.93489148580968295</v>
      </c>
      <c r="BO128" s="289">
        <f>IF(SUM(BM128:BM130=0),0,SUM(BL128:BL130)/SUM(BM128:BM130))</f>
        <v>0.82002534854245879</v>
      </c>
      <c r="BP128" s="821">
        <v>0.9</v>
      </c>
      <c r="BQ128" s="690"/>
      <c r="BR128" s="822"/>
      <c r="BS128" s="653" t="str">
        <f t="shared" si="41"/>
        <v/>
      </c>
      <c r="BT128" s="289">
        <f>IF(SUM(BR128:BR130=0),0,SUM(BQ128:BQ130)/SUM(BR128:BR130))</f>
        <v>0</v>
      </c>
      <c r="BU128" s="821">
        <v>0.9</v>
      </c>
      <c r="BX128" s="666" t="str">
        <f t="shared" si="37"/>
        <v>Apr</v>
      </c>
      <c r="BY128" s="643">
        <f>IF(CB128=$CB134,SUMIF($BI122:$BI133,$BX128,$BR122:$BR133),SUMIF($BI122:$BI133,$BX128,$BM122:$BM133))</f>
        <v>0.59899999999999998</v>
      </c>
      <c r="BZ128" s="821">
        <f>IF(IF(CB128=CB134,SUMIF(BI122:BI133,$BX128,BU122:BU133),SUMIF(BI122:BI133,$BX128,BP122:BP133))=0,NA(),IF(CB128=CB134,SUMIF(BI122:BI133,$BX128,BU122:BU133),SUMIF(BI122:BI133,$BX128,BP122:BP133)))</f>
        <v>0.9</v>
      </c>
      <c r="CA128" s="640">
        <f>IF(IF(CB128=CB134,SUMIF(BI122:BI133,$BX128,BS122:BS133),SUMIF(BI122:BI133,$BX128,BN122:BN133))=0,NA(),IF(CB128=CB134,SUMIF(BI122:BI133,$BX128,BS122:BS133),SUMIF(BI122:BI133,$BX128,BN122:BN133)))</f>
        <v>0.93489148580968295</v>
      </c>
      <c r="CB128" s="645">
        <f t="shared" si="38"/>
        <v>23</v>
      </c>
      <c r="CC128" s="645">
        <f>IF(CC129-1&lt;1,CC129+11,CC129-1)</f>
        <v>4</v>
      </c>
    </row>
    <row r="129" spans="2:82" ht="15" customHeight="1">
      <c r="BI129" s="638" t="s">
        <v>329</v>
      </c>
      <c r="BJ129" s="638">
        <v>8</v>
      </c>
      <c r="BK129" s="638" t="s">
        <v>328</v>
      </c>
      <c r="BL129" s="690">
        <v>0.48599999999999999</v>
      </c>
      <c r="BM129" s="822">
        <v>0.63300000000000001</v>
      </c>
      <c r="BN129" s="653">
        <f t="shared" si="40"/>
        <v>0.76777251184834117</v>
      </c>
      <c r="BO129" s="290"/>
      <c r="BP129" s="821">
        <v>0.9</v>
      </c>
      <c r="BQ129" s="690"/>
      <c r="BR129" s="822"/>
      <c r="BS129" s="653" t="str">
        <f t="shared" si="41"/>
        <v/>
      </c>
      <c r="BT129" s="290"/>
      <c r="BU129" s="821">
        <v>0.9</v>
      </c>
      <c r="BX129" s="666" t="str">
        <f t="shared" si="37"/>
        <v>May</v>
      </c>
      <c r="BY129" s="643">
        <f>IF(CB129=$CB134,SUMIF($BI122:$BI133,$BX129,$BR122:$BR133),SUMIF($BI122:$BI133,$BX129,$BM122:$BM133))</f>
        <v>0.63300000000000001</v>
      </c>
      <c r="BZ129" s="821">
        <f>IF(IF(CB129=CB134,SUMIF(BI122:BI133,$BX129,BU122:BU133),SUMIF(BI122:BI133,$BX129,BP122:BP133))=0,NA(),IF(CB129=CB134,SUMIF(BI122:BI133,$BX129,BU122:BU133),SUMIF(BI122:BI133,$BX129,BP122:BP133)))</f>
        <v>0.9</v>
      </c>
      <c r="CA129" s="640">
        <f>IF(IF(CB129=CB134,SUMIF(BI122:BI133,$BX129,BS122:BS133),SUMIF(BI122:BI133,$BX129,BN122:BN133))=0,NA(),IF(CB129=CB134,SUMIF(BI122:BI133,$BX129,BS122:BS133),SUMIF(BI122:BI133,$BX129,BN122:BN133)))</f>
        <v>0.76777251184834117</v>
      </c>
      <c r="CB129" s="645">
        <f t="shared" si="38"/>
        <v>23</v>
      </c>
      <c r="CC129" s="645">
        <f t="shared" si="39"/>
        <v>5</v>
      </c>
    </row>
    <row r="130" spans="2:82" ht="15" customHeight="1">
      <c r="BI130" s="638" t="s">
        <v>331</v>
      </c>
      <c r="BJ130" s="638">
        <v>9</v>
      </c>
      <c r="BK130" s="638" t="s">
        <v>328</v>
      </c>
      <c r="BL130" s="690">
        <v>0.89500000000000002</v>
      </c>
      <c r="BM130" s="822">
        <v>1.135</v>
      </c>
      <c r="BN130" s="653">
        <f t="shared" si="40"/>
        <v>0.78854625550660795</v>
      </c>
      <c r="BO130" s="290"/>
      <c r="BP130" s="821">
        <v>0.9</v>
      </c>
      <c r="BQ130" s="690"/>
      <c r="BR130" s="822"/>
      <c r="BS130" s="653" t="str">
        <f t="shared" si="41"/>
        <v/>
      </c>
      <c r="BT130" s="290"/>
      <c r="BU130" s="821">
        <v>0.9</v>
      </c>
      <c r="BX130" s="666" t="str">
        <f t="shared" si="37"/>
        <v>Jun</v>
      </c>
      <c r="BY130" s="643">
        <f>IF(CB130=$CB134,SUMIF($BI122:$BI133,$BX130,$BR122:$BR133),SUMIF($BI122:$BI133,$BX130,$BM122:$BM133))</f>
        <v>1.135</v>
      </c>
      <c r="BZ130" s="821">
        <f>IF(IF(CB130=CB134,SUMIF(BI122:BI133,$BX130,BU122:BU133),SUMIF(BI122:BI133,$BX130,BP122:BP133))=0,NA(),IF(CB130=CB134,SUMIF(BI122:BI133,$BX130,BU122:BU133),SUMIF(BI122:BI133,$BX130,BP122:BP133)))</f>
        <v>0.9</v>
      </c>
      <c r="CA130" s="640">
        <f>IF(IF(CB130=CB134,SUMIF(BI122:BI133,$BX130,BS122:BS133),SUMIF(BI122:BI133,$BX130,BN122:BN133))=0,NA(),IF(CB130=CB134,SUMIF(BI122:BI133,$BX130,BS122:BS133),SUMIF(BI122:BI133,$BX130,BN122:BN133)))</f>
        <v>0.78854625550660795</v>
      </c>
      <c r="CB130" s="645">
        <f t="shared" si="38"/>
        <v>23</v>
      </c>
      <c r="CC130" s="645">
        <f t="shared" si="39"/>
        <v>6</v>
      </c>
    </row>
    <row r="131" spans="2:82" ht="15" customHeight="1">
      <c r="BI131" s="638" t="s">
        <v>337</v>
      </c>
      <c r="BJ131" s="638">
        <v>10</v>
      </c>
      <c r="BK131" s="638" t="s">
        <v>338</v>
      </c>
      <c r="BL131" s="690">
        <v>0.80400000000000005</v>
      </c>
      <c r="BM131" s="822">
        <v>1.155</v>
      </c>
      <c r="BN131" s="653">
        <f t="shared" si="40"/>
        <v>0.69610389610389611</v>
      </c>
      <c r="BO131" s="289">
        <f>IF(SUM(BM131:BM133=0),0,SUM(BL131:BL133)/SUM(BM131:BM133))</f>
        <v>0.80721533258173617</v>
      </c>
      <c r="BP131" s="821">
        <v>0.9</v>
      </c>
      <c r="BQ131" s="690"/>
      <c r="BR131" s="822"/>
      <c r="BS131" s="653" t="str">
        <f t="shared" si="41"/>
        <v/>
      </c>
      <c r="BT131" s="289">
        <f>IF(SUM(BR131:BR133=0),0,SUM(BQ131:BQ133)/SUM(BR131:BR133))</f>
        <v>0</v>
      </c>
      <c r="BU131" s="821">
        <v>0.9</v>
      </c>
      <c r="BX131" s="666" t="str">
        <f t="shared" si="37"/>
        <v>Jul</v>
      </c>
      <c r="BY131" s="643">
        <f>IF(CB131=$CB134,SUMIF($BI122:$BI133,$BX131,$BR122:$BR133),SUMIF($BI122:$BI133,$BX131,$BM122:$BM133))</f>
        <v>1.155</v>
      </c>
      <c r="BZ131" s="821">
        <f>IF(IF(CB131=CB134,SUMIF(BI122:BI133,$BX131,BU122:BU133),SUMIF(BI122:BI133,$BX131,BP122:BP133))=0,NA(),IF(CB131=CB134,SUMIF(BI122:BI133,$BX131,BU122:BU133),SUMIF(BI122:BI133,$BX131,BP122:BP133)))</f>
        <v>0.9</v>
      </c>
      <c r="CA131" s="640">
        <f>IF(IF(CB131=CB134,SUMIF(BI122:BI133,$BX131,BS122:BS133),SUMIF(BI122:BI133,$BX131,BN122:BN133))=0,NA(),IF(CB131=CB134,SUMIF(BI122:BI133,$BX131,BS122:BS133),SUMIF(BI122:BI133,$BX131,BN122:BN133)))</f>
        <v>0.69610389610389611</v>
      </c>
      <c r="CB131" s="645">
        <f t="shared" si="38"/>
        <v>23</v>
      </c>
      <c r="CC131" s="645">
        <f t="shared" si="39"/>
        <v>7</v>
      </c>
    </row>
    <row r="132" spans="2:82" ht="15" customHeight="1">
      <c r="BI132" s="638" t="s">
        <v>343</v>
      </c>
      <c r="BJ132" s="638">
        <v>11</v>
      </c>
      <c r="BK132" s="638" t="s">
        <v>338</v>
      </c>
      <c r="BL132" s="690">
        <v>1.0309999999999999</v>
      </c>
      <c r="BM132" s="822">
        <v>1.115</v>
      </c>
      <c r="BN132" s="653">
        <f t="shared" si="40"/>
        <v>0.92466367713004483</v>
      </c>
      <c r="BO132" s="290"/>
      <c r="BP132" s="821">
        <v>0.9</v>
      </c>
      <c r="BQ132" s="690"/>
      <c r="BR132" s="822"/>
      <c r="BS132" s="653" t="str">
        <f t="shared" si="41"/>
        <v/>
      </c>
      <c r="BT132" s="290"/>
      <c r="BU132" s="821">
        <v>0.9</v>
      </c>
      <c r="BX132" s="666" t="str">
        <f t="shared" si="37"/>
        <v>Aug</v>
      </c>
      <c r="BY132" s="643">
        <f>IF(CB132=$CB134,SUMIF($BI122:$BI133,$BX132,$BR122:$BR133),SUMIF($BI122:$BI133,$BX132,$BM122:$BM133))</f>
        <v>1.115</v>
      </c>
      <c r="BZ132" s="821">
        <f>IF(IF(CB132=CB134,SUMIF(BI122:BI133,$BX132,BU122:BU133),SUMIF(BI122:BI133,$BX132,BP122:BP133))=0,NA(),IF(CB132=CB134,SUMIF(BI122:BI133,$BX132,BU122:BU133),SUMIF(BI122:BI133,$BX132,BP122:BP133)))</f>
        <v>0.9</v>
      </c>
      <c r="CA132" s="640">
        <f>IF(IF(CB132=CB134,SUMIF(BI122:BI133,$BX132,BS122:BS133),SUMIF(BI122:BI133,$BX132,BN122:BN133))=0,NA(),IF(CB132=CB134,SUMIF(BI122:BI133,$BX132,BS122:BS133),SUMIF(BI122:BI133,$BX132,BN122:BN133)))</f>
        <v>0.92466367713004483</v>
      </c>
      <c r="CB132" s="645">
        <v>23</v>
      </c>
      <c r="CC132" s="645">
        <f t="shared" si="39"/>
        <v>8</v>
      </c>
    </row>
    <row r="133" spans="2:82" ht="15" customHeight="1">
      <c r="BI133" s="638" t="s">
        <v>344</v>
      </c>
      <c r="BJ133" s="638">
        <v>12</v>
      </c>
      <c r="BK133" s="638" t="s">
        <v>338</v>
      </c>
      <c r="BL133" s="690">
        <v>1.0289999999999999</v>
      </c>
      <c r="BM133" s="822">
        <v>1.278</v>
      </c>
      <c r="BN133" s="653">
        <f t="shared" si="40"/>
        <v>0.80516431924882625</v>
      </c>
      <c r="BO133" s="290"/>
      <c r="BP133" s="821">
        <v>0.9</v>
      </c>
      <c r="BQ133" s="690"/>
      <c r="BR133" s="822"/>
      <c r="BS133" s="653" t="str">
        <f t="shared" si="41"/>
        <v/>
      </c>
      <c r="BT133" s="290"/>
      <c r="BU133" s="821">
        <v>0.9</v>
      </c>
      <c r="BX133" s="666" t="str">
        <f t="shared" si="37"/>
        <v>Sep</v>
      </c>
      <c r="BY133" s="643">
        <f>IF(CB133=$CB134,SUMIF($BI122:$BI133,$BX133,$BR122:$BR133),SUMIF($BI122:$BI133,$BX133,$BM122:$BM133))</f>
        <v>1.278</v>
      </c>
      <c r="BZ133" s="821">
        <f>IF(IF(CB133=CB134,SUMIF(BI122:BI133,$BX133,BU122:BU133),SUMIF(BI122:BI133,$BX133,BP122:BP133))=0,NA(),IF(CB133=CB134,SUMIF(BI122:BI133,$BX133,BU122:BU133),SUMIF(BI122:BI133,$BX133,BP122:BP133)))</f>
        <v>0.9</v>
      </c>
      <c r="CA133" s="640">
        <f>IF(IF(CB133=CB134,SUMIF(BI122:BI133,$BX133,BS122:BS133),SUMIF(BI122:BI133,$BX133,BN122:BN133))=0,NA(),IF(CB133=CB134,SUMIF(BI122:BI133,$BX133,BS122:BS133),SUMIF(BI122:BI133,$BX133,BN122:BN133)))</f>
        <v>0.80516431924882625</v>
      </c>
      <c r="CB133" s="645">
        <f>CJ113</f>
        <v>23</v>
      </c>
      <c r="CC133" s="645">
        <f>IF(CC134-1&lt;1,CC134+11,CC134-1)</f>
        <v>9</v>
      </c>
    </row>
    <row r="134" spans="2:82" ht="15" customHeight="1">
      <c r="B134" s="267" t="s">
        <v>242</v>
      </c>
      <c r="C134" s="267"/>
      <c r="D134" s="267"/>
      <c r="E134" s="334"/>
      <c r="F134" s="326"/>
      <c r="G134" s="326"/>
      <c r="H134" s="326"/>
      <c r="I134" s="326"/>
      <c r="J134" s="326"/>
      <c r="K134" s="326"/>
      <c r="L134" s="326"/>
      <c r="M134" s="326"/>
      <c r="N134" s="326"/>
      <c r="O134" s="326"/>
      <c r="P134" s="326"/>
      <c r="Q134" s="326"/>
      <c r="R134" s="326"/>
      <c r="S134" s="326"/>
      <c r="T134" s="326"/>
      <c r="U134" s="326"/>
      <c r="V134" s="326"/>
      <c r="W134" s="326"/>
      <c r="X134" s="326"/>
      <c r="Y134" s="326"/>
      <c r="Z134" s="326"/>
      <c r="AA134" s="326"/>
      <c r="AB134" s="326"/>
      <c r="AE134" s="267" t="s">
        <v>242</v>
      </c>
      <c r="AF134" s="267"/>
      <c r="AG134" s="267"/>
      <c r="AH134" s="334"/>
      <c r="AI134" s="326"/>
      <c r="AJ134" s="326"/>
      <c r="AK134" s="326"/>
      <c r="AL134" s="326"/>
      <c r="AM134" s="326"/>
      <c r="AN134" s="326"/>
      <c r="AO134" s="326"/>
      <c r="AP134" s="326"/>
      <c r="AQ134" s="326"/>
      <c r="AR134" s="326"/>
      <c r="AS134" s="326"/>
      <c r="AT134" s="326"/>
      <c r="AU134" s="326"/>
      <c r="AV134" s="326"/>
      <c r="AW134" s="326"/>
      <c r="AX134" s="326"/>
      <c r="AY134" s="326"/>
      <c r="AZ134" s="326"/>
      <c r="BA134" s="326"/>
      <c r="BB134" s="326"/>
      <c r="BC134" s="326"/>
      <c r="BD134" s="326"/>
      <c r="BE134" s="326"/>
      <c r="BI134" s="277"/>
      <c r="BJ134" s="277"/>
      <c r="BK134" s="277"/>
      <c r="BL134" s="297"/>
      <c r="BM134" s="405"/>
      <c r="BN134" s="406"/>
      <c r="BO134" s="290"/>
      <c r="BP134" s="299"/>
      <c r="BQ134" s="293"/>
      <c r="BR134" s="406"/>
      <c r="BS134" s="589"/>
      <c r="BT134" s="290"/>
      <c r="BU134" s="406"/>
      <c r="BW134" s="667" t="str">
        <f>Cover!$M$34</f>
        <v>OCT FY-24</v>
      </c>
      <c r="BX134" s="666" t="str">
        <f>TEXT(CONCATENATE(CC134,"/01/20",CB134),"MMM")</f>
        <v>Oct</v>
      </c>
      <c r="BY134" s="643">
        <f>SUMIF($BI122:$BI133,$BX134,$BR122:$BR133)</f>
        <v>0.95199999999999996</v>
      </c>
      <c r="BZ134" s="821">
        <f>IF(IF(CB134=CB134,SUMIF(BI122:BI133,$BX134,BU122:BU133),SUMIF(BI122:BI133,$BX134,BP122:BP133))=0,NA(),IF(CB134=CB134,SUMIF(BI122:BI133,$BX134,BU122:BU133),SUMIF(BI122:BI133,$BX134,BP122:BP133)))</f>
        <v>0.9</v>
      </c>
      <c r="CA134" s="640">
        <f>IF(SUMIF($BI122:$BI133,$BX134,$BS122:$BS133)=0,NA(),SUMIF($BI122:$BI133,$BX134,$BS122:$BS133))</f>
        <v>0.84243697478991608</v>
      </c>
      <c r="CB134" s="645">
        <f>CJ114</f>
        <v>24</v>
      </c>
      <c r="CC134" s="645">
        <f>MONTH(DATEVALUE(LEFT(BW134,3)&amp;" 1"))</f>
        <v>10</v>
      </c>
    </row>
    <row r="135" spans="2:82" ht="15" customHeight="1">
      <c r="B135" s="1137" t="str">
        <f>AC44</f>
        <v xml:space="preserve">NEW KPI; designed to track effectiveness of team in recovering credit from total identified overpayments or duplicate payments within the period. Goal was created from average of past year performance. 
Exceeded goal for this period is a result of 2 FTE resources focused solely on this process as compared to previous periods. </v>
      </c>
      <c r="C135" s="1138"/>
      <c r="D135" s="1138"/>
      <c r="E135" s="1138"/>
      <c r="F135" s="1138"/>
      <c r="G135" s="1138"/>
      <c r="H135" s="1138"/>
      <c r="I135" s="1138"/>
      <c r="J135" s="1138"/>
      <c r="K135" s="1138"/>
      <c r="L135" s="1138"/>
      <c r="M135" s="1138"/>
      <c r="N135" s="1138"/>
      <c r="O135" s="1138"/>
      <c r="P135" s="1138"/>
      <c r="Q135" s="1138"/>
      <c r="R135" s="1138"/>
      <c r="S135" s="1138"/>
      <c r="T135" s="1138"/>
      <c r="U135" s="1138"/>
      <c r="V135" s="1138"/>
      <c r="W135" s="1138"/>
      <c r="X135" s="1138"/>
      <c r="Y135" s="1138"/>
      <c r="Z135" s="1138"/>
      <c r="AA135" s="1138"/>
      <c r="AB135" s="1139"/>
      <c r="AE135" s="1137" t="s">
        <v>791</v>
      </c>
      <c r="AF135" s="1138"/>
      <c r="AG135" s="1138"/>
      <c r="AH135" s="1138"/>
      <c r="AI135" s="1138"/>
      <c r="AJ135" s="1138"/>
      <c r="AK135" s="1138"/>
      <c r="AL135" s="1138"/>
      <c r="AM135" s="1138"/>
      <c r="AN135" s="1138"/>
      <c r="AO135" s="1138"/>
      <c r="AP135" s="1138"/>
      <c r="AQ135" s="1138"/>
      <c r="AR135" s="1138"/>
      <c r="AS135" s="1138"/>
      <c r="AT135" s="1138"/>
      <c r="AU135" s="1138"/>
      <c r="AV135" s="1138"/>
      <c r="AW135" s="1138"/>
      <c r="AX135" s="1138"/>
      <c r="AY135" s="1138"/>
      <c r="AZ135" s="1138"/>
      <c r="BA135" s="1138"/>
      <c r="BB135" s="1138"/>
      <c r="BC135" s="1138"/>
      <c r="BD135" s="1138"/>
      <c r="BE135" s="1139"/>
      <c r="BJ135" s="277"/>
      <c r="BK135" s="277"/>
      <c r="BL135" s="277"/>
      <c r="BM135" s="277"/>
      <c r="BN135" s="277"/>
      <c r="BO135" s="277"/>
      <c r="BP135" s="277"/>
      <c r="BQ135" s="277"/>
      <c r="BR135" s="277"/>
      <c r="BS135" s="589"/>
      <c r="BT135" s="277"/>
    </row>
    <row r="136" spans="2:82" ht="15" customHeight="1">
      <c r="B136" s="1140"/>
      <c r="C136" s="1206"/>
      <c r="D136" s="1206"/>
      <c r="E136" s="1206"/>
      <c r="F136" s="1206"/>
      <c r="G136" s="1206"/>
      <c r="H136" s="1206"/>
      <c r="I136" s="1206"/>
      <c r="J136" s="1206"/>
      <c r="K136" s="1206"/>
      <c r="L136" s="1206"/>
      <c r="M136" s="1206"/>
      <c r="N136" s="1206"/>
      <c r="O136" s="1206"/>
      <c r="P136" s="1206"/>
      <c r="Q136" s="1206"/>
      <c r="R136" s="1206"/>
      <c r="S136" s="1206"/>
      <c r="T136" s="1206"/>
      <c r="U136" s="1206"/>
      <c r="V136" s="1206"/>
      <c r="W136" s="1206"/>
      <c r="X136" s="1206"/>
      <c r="Y136" s="1206"/>
      <c r="Z136" s="1206"/>
      <c r="AA136" s="1206"/>
      <c r="AB136" s="1142"/>
      <c r="AE136" s="1140"/>
      <c r="AF136" s="1141"/>
      <c r="AG136" s="1141"/>
      <c r="AH136" s="1141"/>
      <c r="AI136" s="1141"/>
      <c r="AJ136" s="1141"/>
      <c r="AK136" s="1141"/>
      <c r="AL136" s="1141"/>
      <c r="AM136" s="1141"/>
      <c r="AN136" s="1141"/>
      <c r="AO136" s="1141"/>
      <c r="AP136" s="1141"/>
      <c r="AQ136" s="1141"/>
      <c r="AR136" s="1141"/>
      <c r="AS136" s="1141"/>
      <c r="AT136" s="1141"/>
      <c r="AU136" s="1141"/>
      <c r="AV136" s="1141"/>
      <c r="AW136" s="1141"/>
      <c r="AX136" s="1141"/>
      <c r="AY136" s="1141"/>
      <c r="AZ136" s="1141"/>
      <c r="BA136" s="1141"/>
      <c r="BB136" s="1141"/>
      <c r="BC136" s="1141"/>
      <c r="BD136" s="1141"/>
      <c r="BE136" s="1142"/>
      <c r="BI136" s="54" t="s">
        <v>292</v>
      </c>
      <c r="BJ136" s="890" t="s">
        <v>779</v>
      </c>
      <c r="BK136" s="890"/>
      <c r="BL136" s="890"/>
      <c r="BM136" s="890"/>
      <c r="BN136" s="890"/>
      <c r="BO136" s="890"/>
      <c r="BP136" s="890"/>
      <c r="BQ136" s="890"/>
      <c r="BR136" s="890"/>
      <c r="BS136" s="890"/>
      <c r="BT136" s="890"/>
      <c r="BU136" s="890"/>
    </row>
    <row r="137" spans="2:82" ht="15" customHeight="1">
      <c r="B137" s="1140"/>
      <c r="C137" s="1206"/>
      <c r="D137" s="1206"/>
      <c r="E137" s="1206"/>
      <c r="F137" s="1206"/>
      <c r="G137" s="1206"/>
      <c r="H137" s="1206"/>
      <c r="I137" s="1206"/>
      <c r="J137" s="1206"/>
      <c r="K137" s="1206"/>
      <c r="L137" s="1206"/>
      <c r="M137" s="1206"/>
      <c r="N137" s="1206"/>
      <c r="O137" s="1206"/>
      <c r="P137" s="1206"/>
      <c r="Q137" s="1206"/>
      <c r="R137" s="1206"/>
      <c r="S137" s="1206"/>
      <c r="T137" s="1206"/>
      <c r="U137" s="1206"/>
      <c r="V137" s="1206"/>
      <c r="W137" s="1206"/>
      <c r="X137" s="1206"/>
      <c r="Y137" s="1206"/>
      <c r="Z137" s="1206"/>
      <c r="AA137" s="1206"/>
      <c r="AB137" s="1142"/>
      <c r="AE137" s="1140"/>
      <c r="AF137" s="1141"/>
      <c r="AG137" s="1141"/>
      <c r="AH137" s="1141"/>
      <c r="AI137" s="1141"/>
      <c r="AJ137" s="1141"/>
      <c r="AK137" s="1141"/>
      <c r="AL137" s="1141"/>
      <c r="AM137" s="1141"/>
      <c r="AN137" s="1141"/>
      <c r="AO137" s="1141"/>
      <c r="AP137" s="1141"/>
      <c r="AQ137" s="1141"/>
      <c r="AR137" s="1141"/>
      <c r="AS137" s="1141"/>
      <c r="AT137" s="1141"/>
      <c r="AU137" s="1141"/>
      <c r="AV137" s="1141"/>
      <c r="AW137" s="1141"/>
      <c r="AX137" s="1141"/>
      <c r="AY137" s="1141"/>
      <c r="AZ137" s="1141"/>
      <c r="BA137" s="1141"/>
      <c r="BB137" s="1141"/>
      <c r="BC137" s="1141"/>
      <c r="BD137" s="1141"/>
      <c r="BE137" s="1142"/>
      <c r="BI137" s="54" t="s">
        <v>296</v>
      </c>
      <c r="BJ137" s="891"/>
      <c r="BK137" s="891"/>
      <c r="BL137" s="891"/>
      <c r="BM137" s="891"/>
      <c r="BN137" s="891"/>
      <c r="BO137" s="891"/>
      <c r="BP137" s="891"/>
      <c r="BQ137" s="891"/>
      <c r="BR137" s="891"/>
      <c r="BS137" s="891"/>
      <c r="BT137" s="891"/>
      <c r="BU137" s="891"/>
    </row>
    <row r="138" spans="2:82" ht="15" customHeight="1" thickBot="1">
      <c r="B138" s="1143"/>
      <c r="C138" s="1144"/>
      <c r="D138" s="1144"/>
      <c r="E138" s="1144"/>
      <c r="F138" s="1144"/>
      <c r="G138" s="1144"/>
      <c r="H138" s="1144"/>
      <c r="I138" s="1144"/>
      <c r="J138" s="1144"/>
      <c r="K138" s="1144"/>
      <c r="L138" s="1144"/>
      <c r="M138" s="1144"/>
      <c r="N138" s="1144"/>
      <c r="O138" s="1144"/>
      <c r="P138" s="1144"/>
      <c r="Q138" s="1144"/>
      <c r="R138" s="1144"/>
      <c r="S138" s="1144"/>
      <c r="T138" s="1144"/>
      <c r="U138" s="1144"/>
      <c r="V138" s="1144"/>
      <c r="W138" s="1144"/>
      <c r="X138" s="1144"/>
      <c r="Y138" s="1144"/>
      <c r="Z138" s="1144"/>
      <c r="AA138" s="1144"/>
      <c r="AB138" s="1145"/>
      <c r="AE138" s="1143"/>
      <c r="AF138" s="1144"/>
      <c r="AG138" s="1144"/>
      <c r="AH138" s="1144"/>
      <c r="AI138" s="1144"/>
      <c r="AJ138" s="1144"/>
      <c r="AK138" s="1144"/>
      <c r="AL138" s="1144"/>
      <c r="AM138" s="1144"/>
      <c r="AN138" s="1144"/>
      <c r="AO138" s="1144"/>
      <c r="AP138" s="1144"/>
      <c r="AQ138" s="1144"/>
      <c r="AR138" s="1144"/>
      <c r="AS138" s="1144"/>
      <c r="AT138" s="1144"/>
      <c r="AU138" s="1144"/>
      <c r="AV138" s="1144"/>
      <c r="AW138" s="1144"/>
      <c r="AX138" s="1144"/>
      <c r="AY138" s="1144"/>
      <c r="AZ138" s="1144"/>
      <c r="BA138" s="1144"/>
      <c r="BB138" s="1144"/>
      <c r="BC138" s="1144"/>
      <c r="BD138" s="1144"/>
      <c r="BE138" s="1145"/>
      <c r="BI138" s="54" t="s">
        <v>300</v>
      </c>
      <c r="BJ138" s="891"/>
      <c r="BK138" s="891"/>
      <c r="BL138" s="891"/>
      <c r="BM138" s="891"/>
      <c r="BN138" s="891"/>
      <c r="BO138" s="891"/>
      <c r="BP138" s="891"/>
      <c r="BQ138" s="891"/>
      <c r="BR138" s="891"/>
      <c r="BS138" s="891"/>
      <c r="BT138" s="891"/>
      <c r="BU138" s="891"/>
    </row>
    <row r="139" spans="2:82" ht="15" customHeight="1" thickBot="1">
      <c r="BI139" s="277"/>
      <c r="BJ139" s="277"/>
      <c r="BK139" s="277"/>
      <c r="BL139" s="1148" t="s">
        <v>302</v>
      </c>
      <c r="BM139" s="1149"/>
      <c r="BN139" s="1149"/>
      <c r="BO139" s="1149"/>
      <c r="BP139" s="1151"/>
      <c r="BQ139" s="1148" t="s">
        <v>719</v>
      </c>
      <c r="BR139" s="1149"/>
      <c r="BS139" s="1149"/>
      <c r="BT139" s="1149"/>
      <c r="BU139" s="1150"/>
      <c r="BW139" s="945" t="s">
        <v>303</v>
      </c>
      <c r="BX139" s="942"/>
      <c r="BY139" s="942"/>
      <c r="BZ139" s="942"/>
      <c r="CA139" s="942"/>
      <c r="CB139" s="942"/>
      <c r="CC139" s="942"/>
      <c r="CD139" s="946"/>
    </row>
    <row r="140" spans="2:82" ht="15.6" customHeight="1">
      <c r="BI140" s="636" t="s">
        <v>23</v>
      </c>
      <c r="BJ140" s="636" t="s">
        <v>37</v>
      </c>
      <c r="BK140" s="636" t="s">
        <v>304</v>
      </c>
      <c r="BL140" s="637" t="s">
        <v>780</v>
      </c>
      <c r="BM140" s="637" t="s">
        <v>759</v>
      </c>
      <c r="BN140" s="637" t="s">
        <v>311</v>
      </c>
      <c r="BO140" s="278" t="s">
        <v>312</v>
      </c>
      <c r="BP140" s="637" t="s">
        <v>313</v>
      </c>
      <c r="BQ140" s="637" t="s">
        <v>780</v>
      </c>
      <c r="BR140" s="637" t="s">
        <v>759</v>
      </c>
      <c r="BS140" s="637" t="s">
        <v>716</v>
      </c>
      <c r="BT140" s="278" t="s">
        <v>717</v>
      </c>
      <c r="BU140" s="637" t="s">
        <v>718</v>
      </c>
      <c r="BW140" s="279" t="s">
        <v>314</v>
      </c>
      <c r="BX140" s="279" t="s">
        <v>23</v>
      </c>
      <c r="BY140" s="279" t="s">
        <v>780</v>
      </c>
      <c r="BZ140" s="280" t="s">
        <v>759</v>
      </c>
      <c r="CA140" s="279" t="s">
        <v>122</v>
      </c>
      <c r="CB140" s="279" t="s">
        <v>316</v>
      </c>
      <c r="CC140" s="279" t="s">
        <v>317</v>
      </c>
      <c r="CD140" s="279" t="s">
        <v>318</v>
      </c>
    </row>
    <row r="141" spans="2:82" ht="15" customHeight="1">
      <c r="BI141" s="638" t="s">
        <v>319</v>
      </c>
      <c r="BJ141" s="638">
        <v>1</v>
      </c>
      <c r="BK141" s="638" t="s">
        <v>320</v>
      </c>
      <c r="BL141" s="962">
        <f>IF(BM160="","",BM160)</f>
        <v>500.26799999999997</v>
      </c>
      <c r="BM141" s="955">
        <f>IF(BN160="","",BN160)</f>
        <v>2578.373</v>
      </c>
      <c r="BN141" s="956">
        <f>IF(BL141="","",BL141/BM141)</f>
        <v>0.19402468145609653</v>
      </c>
      <c r="BO141" s="289">
        <f>IF(SUM(BM141:BM143=0),0,SUM(BL141:BL143)/SUM(BM141:BM143))</f>
        <v>0.13848671165805776</v>
      </c>
      <c r="BP141" s="821">
        <v>0.15</v>
      </c>
      <c r="BQ141" s="964">
        <f>IF(BQ160="","",BQ160)</f>
        <v>319.06299999999999</v>
      </c>
      <c r="BR141" s="963">
        <f>IF(BR160="","",BR160)</f>
        <v>1642.2239999999999</v>
      </c>
      <c r="BS141" s="956">
        <f>IF(BR141="","",BQ141/BR141)</f>
        <v>0.19428713744288234</v>
      </c>
      <c r="BT141" s="289">
        <f>IF(SUM(BR141:BR143=""),0,SUM(BQ141:BQ143)/SUM(BR141:BR143))</f>
        <v>0.19428713744288234</v>
      </c>
      <c r="BU141" s="821">
        <v>0.15</v>
      </c>
      <c r="BX141" s="666" t="str">
        <f t="shared" ref="BX141:BX153" si="42">TEXT(CONCATENATE(CD141,"/01/20",CC141),"MMM")</f>
        <v>Oct</v>
      </c>
      <c r="BY141" s="961">
        <f>IF(CB141=$CC$153,SUMIF($BI$141:$BI$152,$BX141,$BQ$141:$BQ$152),SUMIF($BI$141:$BI$152,$BX141,$BL$141:$BL$152))</f>
        <v>500.26799999999997</v>
      </c>
      <c r="BZ141" s="961">
        <f t="shared" ref="BZ141:BZ152" si="43">IF(CC141=$CC$153,SUMIF($BI$141:$BI$152,$BX141,$BR$141:$BR$152),SUMIF($BI$141:$BI$152,$BX141,$BM$141:$BM$152))</f>
        <v>2578.373</v>
      </c>
      <c r="CA141" s="821">
        <f>IF(IF(CC141=CC153,SUMIF(BI141:BI152,$BX141,BU141:BU152),SUMIF(BI141:BI152,$BX141,BP141:BP152))=0,NA(),IF(CC141=CC153,SUMIF(BI141:BI152,$BX141,BU141:BU152),SUMIF(BI141:BI152,$BX141,BP141:BP152)))</f>
        <v>0.15</v>
      </c>
      <c r="CB141" s="640">
        <f t="shared" ref="CB141:CB153" si="44">IF(IF(CC141=$CC$153,SUMIF($BI$141:$BI$152,$BX141,$BS$141:$BS$152),SUMIF($BI$141:$BI$152,$BX141,$BN$141:$BN$152))=0,NA(),IF(CC141=$CC$153,SUMIF($BI$141:$BI$152,$BX141,$BS$141:$BS$152),SUMIF($BI$141:$BI$152,$BX141,$BN$141:$BN$152)))</f>
        <v>0.19402468145609653</v>
      </c>
      <c r="CC141" s="645">
        <f t="shared" ref="CC141:CC153" si="45">CB122</f>
        <v>23</v>
      </c>
      <c r="CD141" s="645">
        <f>IF(CD142-1&lt;1,CD142+11,CD142-1)</f>
        <v>10</v>
      </c>
    </row>
    <row r="142" spans="2:82" ht="15" customHeight="1">
      <c r="BI142" s="638" t="s">
        <v>321</v>
      </c>
      <c r="BJ142" s="638">
        <v>2</v>
      </c>
      <c r="BK142" s="638" t="s">
        <v>320</v>
      </c>
      <c r="BL142" s="962">
        <f t="shared" ref="BL142:BM152" si="46">IF(BM161="","",BM161)</f>
        <v>154.37200000000001</v>
      </c>
      <c r="BM142" s="955">
        <f t="shared" si="46"/>
        <v>1618.0920000000001</v>
      </c>
      <c r="BN142" s="956">
        <f t="shared" ref="BN142:BN152" si="47">IF(BL142="","",BL142/BM142)</f>
        <v>9.5403722408861802E-2</v>
      </c>
      <c r="BO142" s="290"/>
      <c r="BP142" s="821">
        <v>0.15</v>
      </c>
      <c r="BQ142" s="964" t="str">
        <f t="shared" ref="BQ142:BQ152" si="48">IF(BQ161="","",BQ161)</f>
        <v/>
      </c>
      <c r="BR142" s="963" t="str">
        <f t="shared" ref="BR142:BR152" si="49">IF(BR161="","",BR161)</f>
        <v/>
      </c>
      <c r="BS142" s="956" t="str">
        <f t="shared" ref="BS142:BS152" si="50">IF(BR142="","",BQ142/BR142)</f>
        <v/>
      </c>
      <c r="BT142" s="290"/>
      <c r="BU142" s="821">
        <v>0.15</v>
      </c>
      <c r="BX142" s="666" t="str">
        <f t="shared" si="42"/>
        <v>Nov</v>
      </c>
      <c r="BY142" s="961">
        <f t="shared" ref="BY142:BY152" si="51">IF(CB142=$CC$153,SUMIF($BI$141:$BI$152,$BX142,$BQ$141:$BQ$152),SUMIF($BI$141:$BI$152,$BX142,$BL$141:$BL$152))</f>
        <v>154.37200000000001</v>
      </c>
      <c r="BZ142" s="961">
        <f t="shared" si="43"/>
        <v>1618.0920000000001</v>
      </c>
      <c r="CA142" s="821">
        <f>IF(IF(CC142=CC153,SUMIF(BI141:BI152,$BX142,BU141:BU152),SUMIF(BI141:BI152,$BX142,BP141:BP152))=0,NA(),IF(CC142=CC153,SUMIF(BI141:BI152,$BX142,BU141:BU152),SUMIF(BI141:BI152,$BX142,BP141:BP152)))</f>
        <v>0.15</v>
      </c>
      <c r="CB142" s="640">
        <f t="shared" si="44"/>
        <v>9.5403722408861802E-2</v>
      </c>
      <c r="CC142" s="645">
        <f t="shared" si="45"/>
        <v>23</v>
      </c>
      <c r="CD142" s="645">
        <f>IF(CD143-1&lt;1,CD143+11,CD143-1)</f>
        <v>11</v>
      </c>
    </row>
    <row r="143" spans="2:82" ht="15" customHeight="1">
      <c r="BI143" s="638" t="s">
        <v>322</v>
      </c>
      <c r="BJ143" s="638">
        <v>3</v>
      </c>
      <c r="BK143" s="638" t="s">
        <v>320</v>
      </c>
      <c r="BL143" s="962">
        <f t="shared" si="46"/>
        <v>115.042</v>
      </c>
      <c r="BM143" s="955">
        <f t="shared" si="46"/>
        <v>1361.3389999999999</v>
      </c>
      <c r="BN143" s="956">
        <f t="shared" si="47"/>
        <v>8.4506504257940165E-2</v>
      </c>
      <c r="BO143" s="290"/>
      <c r="BP143" s="821">
        <v>0.15</v>
      </c>
      <c r="BQ143" s="964" t="str">
        <f t="shared" si="48"/>
        <v/>
      </c>
      <c r="BR143" s="963" t="str">
        <f t="shared" si="49"/>
        <v/>
      </c>
      <c r="BS143" s="956" t="str">
        <f t="shared" si="50"/>
        <v/>
      </c>
      <c r="BT143" s="290"/>
      <c r="BU143" s="821">
        <v>0.15</v>
      </c>
      <c r="BX143" s="666" t="str">
        <f t="shared" si="42"/>
        <v>Dec</v>
      </c>
      <c r="BY143" s="961">
        <f t="shared" si="51"/>
        <v>115.042</v>
      </c>
      <c r="BZ143" s="961">
        <f t="shared" si="43"/>
        <v>1361.3389999999999</v>
      </c>
      <c r="CA143" s="821">
        <f>IF(IF(CC143=CC153,SUMIF(BI141:BI152,$BX143,BU141:BU152),SUMIF(BI141:BI152,$BX143,BP141:BP152))=0,NA(),IF(CC143=CC153,SUMIF(BI141:BI152,$BX143,BU141:BU152),SUMIF(BI141:BI152,$BX143,BP141:BP152)))</f>
        <v>0.15</v>
      </c>
      <c r="CB143" s="640">
        <f t="shared" si="44"/>
        <v>8.4506504257940165E-2</v>
      </c>
      <c r="CC143" s="645">
        <f t="shared" si="45"/>
        <v>23</v>
      </c>
      <c r="CD143" s="645">
        <f t="shared" ref="CD143:CD151" si="52">IF(CD144-1&lt;1,CD144+11,CD144-1)</f>
        <v>12</v>
      </c>
    </row>
    <row r="144" spans="2:82" ht="15" customHeight="1">
      <c r="BI144" s="638" t="s">
        <v>323</v>
      </c>
      <c r="BJ144" s="638">
        <v>4</v>
      </c>
      <c r="BK144" s="638" t="s">
        <v>324</v>
      </c>
      <c r="BL144" s="962">
        <f t="shared" si="46"/>
        <v>199.43899999999999</v>
      </c>
      <c r="BM144" s="955">
        <f t="shared" si="46"/>
        <v>1451.519</v>
      </c>
      <c r="BN144" s="956">
        <f t="shared" si="47"/>
        <v>0.13740019937734194</v>
      </c>
      <c r="BO144" s="289">
        <f>IF(SUM(BM144:BM146=0),0,SUM(BL144:BL146)/SUM(BM144:BM146))</f>
        <v>9.5717742050843907E-2</v>
      </c>
      <c r="BP144" s="821">
        <v>0.15</v>
      </c>
      <c r="BQ144" s="964" t="str">
        <f t="shared" si="48"/>
        <v/>
      </c>
      <c r="BR144" s="963" t="str">
        <f t="shared" si="49"/>
        <v/>
      </c>
      <c r="BS144" s="956" t="str">
        <f t="shared" si="50"/>
        <v/>
      </c>
      <c r="BT144" s="289">
        <f>IF(SUM(BR144:BR146=""),0,SUM(BQ144:BQ146)/SUM(BR144:BR146))</f>
        <v>0</v>
      </c>
      <c r="BU144" s="821">
        <v>0.15</v>
      </c>
      <c r="BX144" s="666" t="str">
        <f t="shared" si="42"/>
        <v>Jan</v>
      </c>
      <c r="BY144" s="961">
        <f t="shared" si="51"/>
        <v>199.43899999999999</v>
      </c>
      <c r="BZ144" s="961">
        <f t="shared" si="43"/>
        <v>1451.519</v>
      </c>
      <c r="CA144" s="821">
        <f>IF(IF(CC144=CC153,SUMIF(BI141:BI152,$BX144,BU141:BU152),SUMIF(BI141:BI152,$BX144,BP141:BP152))=0,NA(),IF(CC144=CC153,SUMIF(BI141:BI152,$BX144,BU141:BU152),SUMIF(BI141:BI152,$BX144,BP141:BP152)))</f>
        <v>0.15</v>
      </c>
      <c r="CB144" s="640">
        <f t="shared" si="44"/>
        <v>0.13740019937734194</v>
      </c>
      <c r="CC144" s="645">
        <f t="shared" si="45"/>
        <v>23</v>
      </c>
      <c r="CD144" s="645">
        <f t="shared" si="52"/>
        <v>1</v>
      </c>
    </row>
    <row r="145" spans="54:83" ht="15" customHeight="1">
      <c r="BI145" s="638" t="s">
        <v>325</v>
      </c>
      <c r="BJ145" s="638">
        <v>5</v>
      </c>
      <c r="BK145" s="638" t="s">
        <v>324</v>
      </c>
      <c r="BL145" s="962">
        <f t="shared" si="46"/>
        <v>92.760999999999996</v>
      </c>
      <c r="BM145" s="955">
        <f t="shared" si="46"/>
        <v>1989.3119999999999</v>
      </c>
      <c r="BN145" s="956">
        <f t="shared" si="47"/>
        <v>4.6629689058327706E-2</v>
      </c>
      <c r="BO145" s="290"/>
      <c r="BP145" s="821">
        <v>0.15</v>
      </c>
      <c r="BQ145" s="964" t="str">
        <f t="shared" si="48"/>
        <v/>
      </c>
      <c r="BR145" s="963" t="str">
        <f t="shared" si="49"/>
        <v/>
      </c>
      <c r="BS145" s="956" t="str">
        <f t="shared" si="50"/>
        <v/>
      </c>
      <c r="BT145" s="290"/>
      <c r="BU145" s="821">
        <v>0.15</v>
      </c>
      <c r="BX145" s="666" t="str">
        <f t="shared" si="42"/>
        <v>Feb</v>
      </c>
      <c r="BY145" s="961">
        <f t="shared" si="51"/>
        <v>92.760999999999996</v>
      </c>
      <c r="BZ145" s="961">
        <f t="shared" si="43"/>
        <v>1989.3119999999999</v>
      </c>
      <c r="CA145" s="821">
        <f>IF(IF(CC145=CC153,SUMIF(BI141:BI152,$BX145,BU141:BU152),SUMIF(BI141:BI152,$BX145,BP141:BP152))=0,NA(),IF(CC145=CC153,SUMIF(BI141:BI152,$BX145,BU141:BU152),SUMIF(BI141:BI152,$BX145,BP141:BP152)))</f>
        <v>0.15</v>
      </c>
      <c r="CB145" s="640">
        <f t="shared" si="44"/>
        <v>4.6629689058327706E-2</v>
      </c>
      <c r="CC145" s="645">
        <f t="shared" si="45"/>
        <v>23</v>
      </c>
      <c r="CD145" s="645">
        <f t="shared" si="52"/>
        <v>2</v>
      </c>
    </row>
    <row r="146" spans="54:83" ht="15" customHeight="1">
      <c r="BI146" s="638" t="s">
        <v>326</v>
      </c>
      <c r="BJ146" s="638">
        <v>6</v>
      </c>
      <c r="BK146" s="638" t="s">
        <v>324</v>
      </c>
      <c r="BL146" s="962">
        <f t="shared" si="46"/>
        <v>296.64100000000002</v>
      </c>
      <c r="BM146" s="955">
        <f t="shared" si="46"/>
        <v>2711.0169999999998</v>
      </c>
      <c r="BN146" s="956">
        <f t="shared" si="47"/>
        <v>0.10942056062355937</v>
      </c>
      <c r="BO146" s="290"/>
      <c r="BP146" s="821">
        <v>0.15</v>
      </c>
      <c r="BQ146" s="964" t="str">
        <f t="shared" si="48"/>
        <v/>
      </c>
      <c r="BR146" s="963" t="str">
        <f t="shared" si="49"/>
        <v/>
      </c>
      <c r="BS146" s="956" t="str">
        <f t="shared" si="50"/>
        <v/>
      </c>
      <c r="BT146" s="290"/>
      <c r="BU146" s="821">
        <v>0.15</v>
      </c>
      <c r="BX146" s="666" t="str">
        <f t="shared" si="42"/>
        <v>Mar</v>
      </c>
      <c r="BY146" s="961">
        <f t="shared" si="51"/>
        <v>296.64100000000002</v>
      </c>
      <c r="BZ146" s="961">
        <f t="shared" si="43"/>
        <v>2711.0169999999998</v>
      </c>
      <c r="CA146" s="821">
        <f>IF(IF(CC146=CC153,SUMIF(BI141:BI152,$BX146,BU141:BU152),SUMIF(BI141:BI152,$BX146,BP141:BP152))=0,NA(),IF(CC146=CC153,SUMIF(BI141:BI152,$BX146,BU141:BU152),SUMIF(BI141:BI152,$BX146,BP141:BP152)))</f>
        <v>0.15</v>
      </c>
      <c r="CB146" s="640">
        <f t="shared" si="44"/>
        <v>0.10942056062355937</v>
      </c>
      <c r="CC146" s="645">
        <f t="shared" si="45"/>
        <v>23</v>
      </c>
      <c r="CD146" s="645">
        <f t="shared" si="52"/>
        <v>3</v>
      </c>
    </row>
    <row r="147" spans="54:83" ht="15" customHeight="1">
      <c r="BI147" s="638" t="s">
        <v>327</v>
      </c>
      <c r="BJ147" s="638">
        <v>7</v>
      </c>
      <c r="BK147" s="638" t="s">
        <v>328</v>
      </c>
      <c r="BL147" s="962">
        <f t="shared" si="46"/>
        <v>7.4470000000000001</v>
      </c>
      <c r="BM147" s="955">
        <f t="shared" si="46"/>
        <v>1529.374</v>
      </c>
      <c r="BN147" s="956">
        <f t="shared" si="47"/>
        <v>4.8693125422558511E-3</v>
      </c>
      <c r="BO147" s="289">
        <f>IF(SUM(BM147:BM149=0),0,SUM(BL147:BL149)/SUM(BM147:BM149))</f>
        <v>0.13781674939291808</v>
      </c>
      <c r="BP147" s="821">
        <v>0.15</v>
      </c>
      <c r="BQ147" s="964" t="str">
        <f t="shared" si="48"/>
        <v/>
      </c>
      <c r="BR147" s="963" t="str">
        <f t="shared" si="49"/>
        <v/>
      </c>
      <c r="BS147" s="956" t="str">
        <f t="shared" si="50"/>
        <v/>
      </c>
      <c r="BT147" s="289">
        <f>IF(SUM(BR147:BR149=""),0,SUM(BQ147:BQ149)/SUM(BR147:BR149))</f>
        <v>0</v>
      </c>
      <c r="BU147" s="821">
        <v>0.15</v>
      </c>
      <c r="BX147" s="666" t="str">
        <f t="shared" si="42"/>
        <v>Apr</v>
      </c>
      <c r="BY147" s="961">
        <f t="shared" si="51"/>
        <v>7.4470000000000001</v>
      </c>
      <c r="BZ147" s="961">
        <f t="shared" si="43"/>
        <v>1529.374</v>
      </c>
      <c r="CA147" s="821">
        <f>IF(IF(CC147=CC153,SUMIF(BI141:BI152,$BX147,BU141:BU152),SUMIF(BI141:BI152,$BX147,BP141:BP152))=0,NA(),IF(CC147=CC153,SUMIF(BI141:BI152,$BX147,BU141:BU152),SUMIF(BI141:BI152,$BX147,BP141:BP152)))</f>
        <v>0.15</v>
      </c>
      <c r="CB147" s="640">
        <f t="shared" si="44"/>
        <v>4.8693125422558511E-3</v>
      </c>
      <c r="CC147" s="645">
        <f t="shared" si="45"/>
        <v>23</v>
      </c>
      <c r="CD147" s="645">
        <f>IF(CD148-1&lt;1,CD148+11,CD148-1)</f>
        <v>4</v>
      </c>
    </row>
    <row r="148" spans="54:83" ht="15" customHeight="1">
      <c r="BI148" s="638" t="s">
        <v>329</v>
      </c>
      <c r="BJ148" s="638">
        <v>8</v>
      </c>
      <c r="BK148" s="638" t="s">
        <v>328</v>
      </c>
      <c r="BL148" s="962">
        <f t="shared" si="46"/>
        <v>108.253</v>
      </c>
      <c r="BM148" s="955">
        <f t="shared" si="46"/>
        <v>1191.2639999999999</v>
      </c>
      <c r="BN148" s="956">
        <f t="shared" si="47"/>
        <v>9.0872384290971608E-2</v>
      </c>
      <c r="BO148" s="290"/>
      <c r="BP148" s="821">
        <v>0.15</v>
      </c>
      <c r="BQ148" s="964" t="str">
        <f t="shared" si="48"/>
        <v/>
      </c>
      <c r="BR148" s="963" t="str">
        <f t="shared" si="49"/>
        <v/>
      </c>
      <c r="BS148" s="956" t="str">
        <f t="shared" si="50"/>
        <v/>
      </c>
      <c r="BT148" s="290"/>
      <c r="BU148" s="821">
        <v>0.15</v>
      </c>
      <c r="BX148" s="666" t="str">
        <f t="shared" si="42"/>
        <v>May</v>
      </c>
      <c r="BY148" s="961">
        <f t="shared" si="51"/>
        <v>108.253</v>
      </c>
      <c r="BZ148" s="961">
        <f t="shared" si="43"/>
        <v>1191.2639999999999</v>
      </c>
      <c r="CA148" s="821">
        <f>IF(IF(CC148=CC153,SUMIF(BI141:BI152,$BX148,BU141:BU152),SUMIF(BI141:BI152,$BX148,BP141:BP152))=0,NA(),IF(CC148=CC153,SUMIF(BI141:BI152,$BX148,BU141:BU152),SUMIF(BI141:BI152,$BX148,BP141:BP152)))</f>
        <v>0.15</v>
      </c>
      <c r="CB148" s="640">
        <f t="shared" si="44"/>
        <v>9.0872384290971608E-2</v>
      </c>
      <c r="CC148" s="645">
        <f t="shared" si="45"/>
        <v>23</v>
      </c>
      <c r="CD148" s="645">
        <f t="shared" si="52"/>
        <v>5</v>
      </c>
    </row>
    <row r="149" spans="54:83" ht="15" customHeight="1">
      <c r="BI149" s="638" t="s">
        <v>331</v>
      </c>
      <c r="BJ149" s="638">
        <v>9</v>
      </c>
      <c r="BK149" s="638" t="s">
        <v>328</v>
      </c>
      <c r="BL149" s="962">
        <f t="shared" si="46"/>
        <v>456.60500000000002</v>
      </c>
      <c r="BM149" s="955">
        <f t="shared" si="46"/>
        <v>1432.0139999999999</v>
      </c>
      <c r="BN149" s="956">
        <f t="shared" si="47"/>
        <v>0.31885512292477591</v>
      </c>
      <c r="BO149" s="290"/>
      <c r="BP149" s="821">
        <v>0.15</v>
      </c>
      <c r="BQ149" s="964" t="str">
        <f t="shared" si="48"/>
        <v/>
      </c>
      <c r="BR149" s="963" t="str">
        <f t="shared" si="49"/>
        <v/>
      </c>
      <c r="BS149" s="956" t="str">
        <f t="shared" si="50"/>
        <v/>
      </c>
      <c r="BT149" s="290"/>
      <c r="BU149" s="821">
        <v>0.15</v>
      </c>
      <c r="BX149" s="666" t="str">
        <f t="shared" si="42"/>
        <v>Jun</v>
      </c>
      <c r="BY149" s="961">
        <f t="shared" si="51"/>
        <v>456.60500000000002</v>
      </c>
      <c r="BZ149" s="961">
        <f t="shared" si="43"/>
        <v>1432.0139999999999</v>
      </c>
      <c r="CA149" s="821">
        <f>IF(IF(CC149=CC153,SUMIF(BI141:BI152,$BX149,BU141:BU152),SUMIF(BI141:BI152,$BX149,BP141:BP152))=0,NA(),IF(CC149=CC153,SUMIF(BI141:BI152,$BX149,BU141:BU152),SUMIF(BI141:BI152,$BX149,BP141:BP152)))</f>
        <v>0.15</v>
      </c>
      <c r="CB149" s="640">
        <f t="shared" si="44"/>
        <v>0.31885512292477591</v>
      </c>
      <c r="CC149" s="645">
        <f t="shared" si="45"/>
        <v>23</v>
      </c>
      <c r="CD149" s="645">
        <f t="shared" si="52"/>
        <v>6</v>
      </c>
    </row>
    <row r="150" spans="54:83" ht="15" customHeight="1">
      <c r="BI150" s="638" t="s">
        <v>337</v>
      </c>
      <c r="BJ150" s="638">
        <v>10</v>
      </c>
      <c r="BK150" s="638" t="s">
        <v>338</v>
      </c>
      <c r="BL150" s="962">
        <f t="shared" si="46"/>
        <v>721.38</v>
      </c>
      <c r="BM150" s="955">
        <f t="shared" si="46"/>
        <v>2713.4490000000001</v>
      </c>
      <c r="BN150" s="956">
        <f t="shared" si="47"/>
        <v>0.26585353179661753</v>
      </c>
      <c r="BO150" s="289">
        <f>IF(SUM(BM150:BM152=0),0,SUM(BL150:BL152)/SUM(BM150:BM152))</f>
        <v>0.17295165685758124</v>
      </c>
      <c r="BP150" s="821">
        <v>0.15</v>
      </c>
      <c r="BQ150" s="964" t="str">
        <f t="shared" si="48"/>
        <v/>
      </c>
      <c r="BR150" s="963" t="str">
        <f t="shared" si="49"/>
        <v/>
      </c>
      <c r="BS150" s="956" t="str">
        <f t="shared" si="50"/>
        <v/>
      </c>
      <c r="BT150" s="289">
        <f>IF(SUM(BR150:BR152=""),0,SUM(BQ150:BQ152)/SUM(BR150:BR152))</f>
        <v>0</v>
      </c>
      <c r="BU150" s="821">
        <v>0.15</v>
      </c>
      <c r="BX150" s="666" t="str">
        <f t="shared" si="42"/>
        <v>Jul</v>
      </c>
      <c r="BY150" s="961">
        <f t="shared" si="51"/>
        <v>721.38</v>
      </c>
      <c r="BZ150" s="961">
        <f t="shared" si="43"/>
        <v>2713.4490000000001</v>
      </c>
      <c r="CA150" s="821">
        <f>IF(IF(CC150=CC153,SUMIF(BI141:BI152,$BX150,BU141:BU152),SUMIF(BI141:BI152,$BX150,BP141:BP152))=0,NA(),IF(CC150=CC153,SUMIF(BI141:BI152,$BX150,BU141:BU152),SUMIF(BI141:BI152,$BX150,BP141:BP152)))</f>
        <v>0.15</v>
      </c>
      <c r="CB150" s="640">
        <f t="shared" si="44"/>
        <v>0.26585353179661753</v>
      </c>
      <c r="CC150" s="645">
        <f t="shared" si="45"/>
        <v>23</v>
      </c>
      <c r="CD150" s="645">
        <f t="shared" si="52"/>
        <v>7</v>
      </c>
    </row>
    <row r="151" spans="54:83" ht="15" customHeight="1">
      <c r="BI151" s="638" t="s">
        <v>343</v>
      </c>
      <c r="BJ151" s="638">
        <v>11</v>
      </c>
      <c r="BK151" s="638" t="s">
        <v>338</v>
      </c>
      <c r="BL151" s="962">
        <f t="shared" si="46"/>
        <v>163.661</v>
      </c>
      <c r="BM151" s="955">
        <f t="shared" si="46"/>
        <v>1331.5519999999999</v>
      </c>
      <c r="BN151" s="956">
        <f t="shared" si="47"/>
        <v>0.12290995770349188</v>
      </c>
      <c r="BO151" s="290"/>
      <c r="BP151" s="821">
        <v>0.15</v>
      </c>
      <c r="BQ151" s="964" t="str">
        <f>IF(BQ170="","",BQ170)</f>
        <v/>
      </c>
      <c r="BR151" s="963" t="str">
        <f>IF(BR170="","",BR170)</f>
        <v/>
      </c>
      <c r="BS151" s="956" t="str">
        <f t="shared" si="50"/>
        <v/>
      </c>
      <c r="BT151" s="290"/>
      <c r="BU151" s="821">
        <v>0.15</v>
      </c>
      <c r="BX151" s="666" t="str">
        <f t="shared" si="42"/>
        <v>Aug</v>
      </c>
      <c r="BY151" s="961">
        <f t="shared" si="51"/>
        <v>163.661</v>
      </c>
      <c r="BZ151" s="961">
        <f t="shared" si="43"/>
        <v>1331.5519999999999</v>
      </c>
      <c r="CA151" s="821">
        <f>IF(IF(CC151=CC153,SUMIF(BI141:BI152,$BX151,BU141:BU152),SUMIF(BI141:BI152,$BX151,BP141:BP152))=0,NA(),IF(CC151=CC153,SUMIF(BI141:BI152,$BX151,BU141:BU152),SUMIF(BI141:BI152,$BX151,BP141:BP152)))</f>
        <v>0.15</v>
      </c>
      <c r="CB151" s="640">
        <f t="shared" si="44"/>
        <v>0.12290995770349188</v>
      </c>
      <c r="CC151" s="645">
        <f t="shared" si="45"/>
        <v>23</v>
      </c>
      <c r="CD151" s="645">
        <f t="shared" si="52"/>
        <v>8</v>
      </c>
    </row>
    <row r="152" spans="54:83" ht="15" customHeight="1">
      <c r="BI152" s="638" t="s">
        <v>344</v>
      </c>
      <c r="BJ152" s="638">
        <v>12</v>
      </c>
      <c r="BK152" s="638" t="s">
        <v>338</v>
      </c>
      <c r="BL152" s="962">
        <f t="shared" si="46"/>
        <v>58.994</v>
      </c>
      <c r="BM152" s="955">
        <f t="shared" si="46"/>
        <v>1413.374</v>
      </c>
      <c r="BN152" s="956">
        <f t="shared" si="47"/>
        <v>4.1739836731112923E-2</v>
      </c>
      <c r="BO152" s="290"/>
      <c r="BP152" s="821">
        <v>0.15</v>
      </c>
      <c r="BQ152" s="964" t="str">
        <f t="shared" si="48"/>
        <v/>
      </c>
      <c r="BR152" s="963" t="str">
        <f t="shared" si="49"/>
        <v/>
      </c>
      <c r="BS152" s="956" t="str">
        <f t="shared" si="50"/>
        <v/>
      </c>
      <c r="BT152" s="290"/>
      <c r="BU152" s="821">
        <v>0.15</v>
      </c>
      <c r="BX152" s="666" t="str">
        <f t="shared" si="42"/>
        <v>Sep</v>
      </c>
      <c r="BY152" s="961">
        <f t="shared" si="51"/>
        <v>58.994</v>
      </c>
      <c r="BZ152" s="961">
        <f t="shared" si="43"/>
        <v>1413.374</v>
      </c>
      <c r="CA152" s="821">
        <f>IF(IF(CC152=CC153,SUMIF(BI141:BI152,$BX152,BU141:BU152),SUMIF(BI141:BI152,$BX152,BP141:BP152))=0,NA(),IF(CC152=CC153,SUMIF(BI141:BI152,$BX152,BU141:BU152),SUMIF(BI141:BI152,$BX152,BP141:BP152)))</f>
        <v>0.15</v>
      </c>
      <c r="CB152" s="640">
        <f t="shared" si="44"/>
        <v>4.1739836731112923E-2</v>
      </c>
      <c r="CC152" s="645">
        <f t="shared" si="45"/>
        <v>23</v>
      </c>
      <c r="CD152" s="645">
        <f>IF(CD153-1&lt;1,CD153+11,CD153-1)</f>
        <v>9</v>
      </c>
    </row>
    <row r="153" spans="54:83" ht="15" customHeight="1">
      <c r="BI153" s="277"/>
      <c r="BJ153" s="277"/>
      <c r="BK153" s="277"/>
      <c r="BL153" s="297"/>
      <c r="BM153" s="405"/>
      <c r="BN153" s="406"/>
      <c r="BO153" s="290"/>
      <c r="BP153" s="299"/>
      <c r="BQ153" s="293"/>
      <c r="BR153" s="406"/>
      <c r="BS153" s="406"/>
      <c r="BT153" s="290"/>
      <c r="BU153" s="406"/>
      <c r="BW153" s="667" t="str">
        <f>Cover!$M$34</f>
        <v>OCT FY-24</v>
      </c>
      <c r="BX153" s="666" t="str">
        <f t="shared" si="42"/>
        <v>Oct</v>
      </c>
      <c r="BY153" s="961">
        <f>SUMIF($BI141:$BI152,$BX153,$BQ141:$BQ152)</f>
        <v>319.06299999999999</v>
      </c>
      <c r="BZ153" s="961">
        <f>SUMIF($BI141:$BI152,$BX153,$BR141:$BR152)</f>
        <v>1642.2239999999999</v>
      </c>
      <c r="CA153" s="821">
        <f>IF(IF(CC153=CC153,SUMIF(BI141:BI152,$BX153,BU141:BU152),SUMIF(BI141:BI152,$BX153,BP141:BP152))=0,NA(),IF(CC153=CC153,SUMIF(BI141:BI152,$BX153,BU141:BU152),SUMIF(BI141:BI152,$BX153,BP141:BP152)))</f>
        <v>0.15</v>
      </c>
      <c r="CB153" s="640">
        <f t="shared" si="44"/>
        <v>0.19428713744288234</v>
      </c>
      <c r="CC153" s="645">
        <f t="shared" si="45"/>
        <v>24</v>
      </c>
      <c r="CD153" s="645">
        <f>MONTH(DATEVALUE(LEFT(BW153,3)&amp;" 1"))</f>
        <v>10</v>
      </c>
    </row>
    <row r="154" spans="54:83" ht="15" customHeight="1">
      <c r="BJ154" s="277"/>
      <c r="BK154" s="277"/>
      <c r="BL154" s="277"/>
      <c r="BM154" s="277"/>
      <c r="BN154" s="277"/>
      <c r="BO154" s="277"/>
      <c r="BP154" s="277"/>
      <c r="BQ154" s="277"/>
      <c r="BR154" s="277"/>
      <c r="BS154" s="589"/>
      <c r="BT154" s="277"/>
    </row>
    <row r="155" spans="54:83" ht="15" customHeight="1">
      <c r="BI155" s="54" t="s">
        <v>292</v>
      </c>
      <c r="BJ155" s="287" t="s">
        <v>732</v>
      </c>
      <c r="BK155" s="936"/>
      <c r="BL155" s="936"/>
      <c r="BM155" s="936"/>
      <c r="BN155" s="936"/>
      <c r="BO155" s="936"/>
      <c r="BP155" s="936"/>
      <c r="BQ155" s="936"/>
      <c r="BR155" s="936"/>
      <c r="BS155" s="936"/>
      <c r="BT155" s="936"/>
      <c r="BU155" s="936"/>
    </row>
    <row r="156" spans="54:83" ht="15" customHeight="1">
      <c r="BI156" s="54" t="s">
        <v>296</v>
      </c>
      <c r="BJ156" s="936"/>
      <c r="BK156" s="936"/>
      <c r="BL156" s="936"/>
      <c r="BM156" s="936"/>
      <c r="BN156" s="936"/>
      <c r="BO156" s="936"/>
      <c r="BP156" s="936"/>
      <c r="BQ156" s="936"/>
      <c r="BR156" s="936"/>
      <c r="BS156" s="936"/>
      <c r="BT156" s="936"/>
      <c r="BU156" s="936"/>
    </row>
    <row r="157" spans="54:83" ht="15" customHeight="1" thickBot="1">
      <c r="BI157" s="54" t="s">
        <v>300</v>
      </c>
      <c r="BJ157" s="936"/>
      <c r="BK157" s="936"/>
      <c r="BL157" s="936"/>
      <c r="BM157" s="936"/>
      <c r="BN157" s="936"/>
      <c r="BO157" s="936"/>
      <c r="BP157" s="936"/>
      <c r="BQ157" s="936"/>
      <c r="BR157" s="936"/>
      <c r="BS157" s="936"/>
      <c r="BT157" s="936"/>
      <c r="BU157" s="936"/>
    </row>
    <row r="158" spans="54:83" ht="15" customHeight="1" thickBot="1">
      <c r="BI158" s="277"/>
      <c r="BJ158" s="277"/>
      <c r="BK158" s="277"/>
      <c r="BL158" s="1148" t="s">
        <v>302</v>
      </c>
      <c r="BM158" s="1149"/>
      <c r="BN158" s="1149"/>
      <c r="BO158" s="1150"/>
      <c r="BP158" s="1148" t="s">
        <v>719</v>
      </c>
      <c r="BQ158" s="1149"/>
      <c r="BR158" s="1149"/>
      <c r="BS158" s="1150"/>
      <c r="BT158" s="931"/>
      <c r="BU158" s="931"/>
      <c r="BV158" s="931"/>
      <c r="BW158" s="945" t="s">
        <v>303</v>
      </c>
      <c r="BX158" s="942"/>
      <c r="BY158" s="942"/>
      <c r="BZ158" s="942"/>
      <c r="CA158" s="942"/>
      <c r="CB158" s="942"/>
      <c r="CC158" s="942"/>
      <c r="CD158" s="946"/>
      <c r="CE158" s="931"/>
    </row>
    <row r="159" spans="54:83" ht="12">
      <c r="BI159" s="636" t="s">
        <v>23</v>
      </c>
      <c r="BJ159" s="636" t="s">
        <v>37</v>
      </c>
      <c r="BK159" s="840" t="s">
        <v>304</v>
      </c>
      <c r="BL159" s="939" t="s">
        <v>781</v>
      </c>
      <c r="BM159" s="940" t="s">
        <v>780</v>
      </c>
      <c r="BN159" s="940" t="s">
        <v>759</v>
      </c>
      <c r="BO159" s="941" t="s">
        <v>417</v>
      </c>
      <c r="BP159" s="939" t="s">
        <v>781</v>
      </c>
      <c r="BQ159" s="940" t="s">
        <v>780</v>
      </c>
      <c r="BR159" s="940" t="s">
        <v>759</v>
      </c>
      <c r="BS159" s="941" t="s">
        <v>417</v>
      </c>
      <c r="BT159" s="932"/>
      <c r="BU159" s="932"/>
      <c r="BV159" s="932"/>
      <c r="BW159" s="279" t="s">
        <v>314</v>
      </c>
      <c r="BX159" s="836" t="s">
        <v>23</v>
      </c>
      <c r="BY159" s="586" t="s">
        <v>415</v>
      </c>
      <c r="BZ159" s="586" t="s">
        <v>731</v>
      </c>
      <c r="CA159" s="586" t="s">
        <v>416</v>
      </c>
      <c r="CB159" s="586" t="s">
        <v>417</v>
      </c>
      <c r="CC159" s="279" t="s">
        <v>317</v>
      </c>
      <c r="CD159" s="279" t="s">
        <v>318</v>
      </c>
    </row>
    <row r="160" spans="54:83" ht="15" customHeight="1">
      <c r="BB160" s="922"/>
      <c r="BC160" s="959"/>
      <c r="BG160" s="922"/>
      <c r="BI160" s="638" t="s">
        <v>319</v>
      </c>
      <c r="BJ160" s="638">
        <v>1</v>
      </c>
      <c r="BK160" s="841" t="s">
        <v>320</v>
      </c>
      <c r="BL160" s="957">
        <v>356.35399999999998</v>
      </c>
      <c r="BM160" s="887">
        <v>500.26799999999997</v>
      </c>
      <c r="BN160" s="953">
        <v>2578.373</v>
      </c>
      <c r="BO160" s="950">
        <v>1.097</v>
      </c>
      <c r="BP160" s="947">
        <v>174.452</v>
      </c>
      <c r="BQ160" s="885">
        <v>319.06299999999999</v>
      </c>
      <c r="BR160" s="953">
        <v>1642.2239999999999</v>
      </c>
      <c r="BS160" s="950">
        <v>0.73699999999999999</v>
      </c>
      <c r="BT160" s="933"/>
      <c r="BU160" s="933"/>
      <c r="BV160" s="933"/>
      <c r="BX160" s="666" t="str">
        <f>TEXT(CONCATENATE(CD160,"/01/20",CC160),"MMM")</f>
        <v>Oct</v>
      </c>
      <c r="BY160" s="965">
        <f>IF(IF($CC160=$CC$172,SUMIF($BI$160:$BI$171,$BX160,BP$160:BP$171),SUMIF($BI$160:$BI$171,$BX160,BL$160:BL$171))=0,NA(),IF($CC160=$CC$172,SUMIF($BI$160:$BI$171,$BX160,BP$160:BP$171),SUMIF($BI$160:$BI$171,$BX160,BL$160:BL$171)))</f>
        <v>356.35399999999998</v>
      </c>
      <c r="BZ160" s="965">
        <f>IF(IF($CC160=$CC$172,SUMIF($BI$160:$BI$171,$BX160,BQ$160:BQ$171),SUMIF($BI$160:$BI$171,$BX160,BM$160:BM$171))=0,NA(),IF($CC160=$CC$172,SUMIF($BI$160:$BI$171,$BX160,BQ$160:BQ$171),SUMIF($BI$160:$BI$171,$BX160,BM$160:BM$171)))</f>
        <v>500.26799999999997</v>
      </c>
      <c r="CA160" s="682">
        <f>IF(IF($CC160=$CC$172,SUMIF($BI$160:$BI$171,$BX160,BR$160:BR$171),SUMIF($BI$160:$BI$171,$BX160,BN$160:BN$171))=0,NA(),IF($CC160=$CC$172,SUMIF($BI$160:$BI$171,$BX160,BR$160:BR$171),SUMIF($BI$160:$BI$171,$BX160,BN$160:BN$171)))</f>
        <v>2578.373</v>
      </c>
      <c r="CB160" s="681">
        <f>IF(IF($CC160=$CC$172,SUMIF($BI$160:$BI$171,$BX160,BS$160:BS$171),SUMIF($BI$160:$BI$171,$BX160,BO$160:BO$171))=0,NA(),IF($CC160=$CC$172,SUMIF($BI$160:$BI$171,$BX160,BS$160:BS$171),SUMIF($BI$160:$BI$171,$BX160,BO$160:BO$171)))*1000</f>
        <v>1097</v>
      </c>
      <c r="CC160" s="645">
        <f t="shared" ref="CC160:CC172" si="53">CC141</f>
        <v>23</v>
      </c>
      <c r="CD160" s="645">
        <f>IF(CD161-1&lt;1,CD161+11,CD161-1)</f>
        <v>10</v>
      </c>
    </row>
    <row r="161" spans="54:84" ht="15" customHeight="1">
      <c r="BB161" s="922"/>
      <c r="BC161" s="959"/>
      <c r="BG161" s="922"/>
      <c r="BI161" s="638" t="s">
        <v>321</v>
      </c>
      <c r="BJ161" s="638">
        <v>2</v>
      </c>
      <c r="BK161" s="841" t="s">
        <v>320</v>
      </c>
      <c r="BL161" s="957">
        <v>150.197</v>
      </c>
      <c r="BM161" s="887">
        <v>154.37200000000001</v>
      </c>
      <c r="BN161" s="953">
        <v>1618.0920000000001</v>
      </c>
      <c r="BO161" s="950">
        <v>0.72899999999999998</v>
      </c>
      <c r="BP161" s="947"/>
      <c r="BQ161" s="885"/>
      <c r="BR161" s="953"/>
      <c r="BS161" s="950"/>
      <c r="BT161" s="933"/>
      <c r="BU161" s="933"/>
      <c r="BV161" s="933"/>
      <c r="BX161" s="666" t="str">
        <f t="shared" ref="BX161:BX171" si="54">TEXT(CONCATENATE(CD161,"/01/20",CC161),"MMM")</f>
        <v>Nov</v>
      </c>
      <c r="BY161" s="965">
        <f t="shared" ref="BY161:BY171" si="55">IF(IF($CC161=$CC$172,SUMIF($BI$160:$BI$171,$BX161,BP$160:BP$171),SUMIF($BI$160:$BI$171,$BX161,BL$160:BL$171))=0,NA(),IF($CC161=$CC$172,SUMIF($BI$160:$BI$171,$BX161,BP$160:BP$171),SUMIF($BI$160:$BI$171,$BX161,BL$160:BL$171)))</f>
        <v>150.197</v>
      </c>
      <c r="BZ161" s="965">
        <f t="shared" ref="BZ161:BZ172" si="56">IF(IF($CC161=$CC$172,SUMIF($BI$160:$BI$171,$BX161,BQ$160:BQ$171),SUMIF($BI$160:$BI$171,$BX161,BM$160:BM$171))=0,NA(),IF($CC161=$CC$172,SUMIF($BI$160:$BI$171,$BX161,BQ$160:BQ$171),SUMIF($BI$160:$BI$171,$BX161,BM$160:BM$171)))</f>
        <v>154.37200000000001</v>
      </c>
      <c r="CA161" s="682">
        <f t="shared" ref="CA161:CA171" si="57">IF(IF($CC161=$CC$172,SUMIF($BI$160:$BI$171,$BX161,BR$160:BR$171),SUMIF($BI$160:$BI$171,$BX161,BN$160:BN$171))=0,NA(),IF($CC161=$CC$172,SUMIF($BI$160:$BI$171,$BX161,BR$160:BR$171),SUMIF($BI$160:$BI$171,$BX161,BN$160:BN$171)))</f>
        <v>1618.0920000000001</v>
      </c>
      <c r="CB161" s="681">
        <f>IF(IF($CC161=$CC$172,SUMIF($BI$160:$BI$171,$BX161,BS$160:BS$171),SUMIF($BI$160:$BI$171,$BX161,BO$160:BO$171))=0,NA(),IF($CC161=$CC$172,SUMIF($BI$160:$BI$171,$BX161,BS$160:BS$171),SUMIF($BI$160:$BI$171,$BX161,BO$160:BO$171)))*1000</f>
        <v>729</v>
      </c>
      <c r="CC161" s="645">
        <f t="shared" si="53"/>
        <v>23</v>
      </c>
      <c r="CD161" s="645">
        <f t="shared" ref="CD161:CD170" si="58">IF(CD162-1&lt;1,CD162+11,CD162-1)</f>
        <v>11</v>
      </c>
    </row>
    <row r="162" spans="54:84" ht="15" customHeight="1">
      <c r="BB162" s="922"/>
      <c r="BC162" s="959"/>
      <c r="BG162" s="922"/>
      <c r="BI162" s="638" t="s">
        <v>322</v>
      </c>
      <c r="BJ162" s="638">
        <v>3</v>
      </c>
      <c r="BK162" s="841" t="s">
        <v>320</v>
      </c>
      <c r="BL162" s="957">
        <v>178.876</v>
      </c>
      <c r="BM162" s="887">
        <v>115.042</v>
      </c>
      <c r="BN162" s="953">
        <v>1361.3389999999999</v>
      </c>
      <c r="BO162" s="950">
        <v>0.58199999999999996</v>
      </c>
      <c r="BP162" s="947"/>
      <c r="BQ162" s="885"/>
      <c r="BR162" s="953"/>
      <c r="BS162" s="950"/>
      <c r="BT162" s="933"/>
      <c r="BU162" s="933"/>
      <c r="BV162" s="933"/>
      <c r="BX162" s="666" t="str">
        <f t="shared" si="54"/>
        <v>Dec</v>
      </c>
      <c r="BY162" s="965">
        <f t="shared" si="55"/>
        <v>178.876</v>
      </c>
      <c r="BZ162" s="965">
        <f t="shared" si="56"/>
        <v>115.042</v>
      </c>
      <c r="CA162" s="682">
        <f t="shared" si="57"/>
        <v>1361.3389999999999</v>
      </c>
      <c r="CB162" s="681">
        <f t="shared" ref="CB162:CB170" si="59">IF(IF($CC162=$CC$172,SUMIF($BI$160:$BI$171,$BX162,BS$160:BS$171),SUMIF($BI$160:$BI$171,$BX162,BO$160:BO$171))=0,NA(),IF($CC162=$CC$172,SUMIF($BI$160:$BI$171,$BX162,BS$160:BS$171),SUMIF($BI$160:$BI$171,$BX162,BO$160:BO$171)))*1000</f>
        <v>582</v>
      </c>
      <c r="CC162" s="645">
        <f t="shared" si="53"/>
        <v>23</v>
      </c>
      <c r="CD162" s="645">
        <f t="shared" si="58"/>
        <v>12</v>
      </c>
    </row>
    <row r="163" spans="54:84" ht="15" customHeight="1">
      <c r="BB163" s="922"/>
      <c r="BC163" s="959"/>
      <c r="BG163" s="922"/>
      <c r="BI163" s="638" t="s">
        <v>323</v>
      </c>
      <c r="BJ163" s="638">
        <v>4</v>
      </c>
      <c r="BK163" s="841" t="s">
        <v>324</v>
      </c>
      <c r="BL163" s="947">
        <v>69.352999999999994</v>
      </c>
      <c r="BM163" s="885">
        <v>199.43899999999999</v>
      </c>
      <c r="BN163" s="953">
        <v>1451.519</v>
      </c>
      <c r="BO163" s="950">
        <v>0.56799999999999995</v>
      </c>
      <c r="BP163" s="947"/>
      <c r="BQ163" s="885"/>
      <c r="BR163" s="953"/>
      <c r="BS163" s="950"/>
      <c r="BT163" s="933"/>
      <c r="BU163" s="933"/>
      <c r="BV163" s="933"/>
      <c r="BX163" s="666" t="str">
        <f t="shared" si="54"/>
        <v>Jan</v>
      </c>
      <c r="BY163" s="965">
        <f t="shared" si="55"/>
        <v>69.352999999999994</v>
      </c>
      <c r="BZ163" s="965">
        <f t="shared" si="56"/>
        <v>199.43899999999999</v>
      </c>
      <c r="CA163" s="682">
        <f t="shared" si="57"/>
        <v>1451.519</v>
      </c>
      <c r="CB163" s="681">
        <f t="shared" si="59"/>
        <v>568</v>
      </c>
      <c r="CC163" s="645">
        <f t="shared" si="53"/>
        <v>23</v>
      </c>
      <c r="CD163" s="645">
        <f t="shared" si="58"/>
        <v>1</v>
      </c>
    </row>
    <row r="164" spans="54:84" ht="15" customHeight="1">
      <c r="BB164" s="922"/>
      <c r="BC164" s="959"/>
      <c r="BG164" s="922"/>
      <c r="BI164" s="638" t="s">
        <v>325</v>
      </c>
      <c r="BJ164" s="638">
        <v>5</v>
      </c>
      <c r="BK164" s="841" t="s">
        <v>324</v>
      </c>
      <c r="BL164" s="947">
        <v>108.959</v>
      </c>
      <c r="BM164" s="885">
        <v>92.760999999999996</v>
      </c>
      <c r="BN164" s="953">
        <v>1989.3119999999999</v>
      </c>
      <c r="BO164" s="950">
        <v>0.54200000000000004</v>
      </c>
      <c r="BP164" s="947"/>
      <c r="BQ164" s="885"/>
      <c r="BR164" s="953"/>
      <c r="BS164" s="950"/>
      <c r="BT164" s="933"/>
      <c r="BU164" s="933"/>
      <c r="BV164" s="933"/>
      <c r="BX164" s="666" t="str">
        <f t="shared" si="54"/>
        <v>Feb</v>
      </c>
      <c r="BY164" s="965">
        <f t="shared" si="55"/>
        <v>108.959</v>
      </c>
      <c r="BZ164" s="965">
        <f t="shared" si="56"/>
        <v>92.760999999999996</v>
      </c>
      <c r="CA164" s="682">
        <f t="shared" si="57"/>
        <v>1989.3119999999999</v>
      </c>
      <c r="CB164" s="681">
        <f t="shared" si="59"/>
        <v>542</v>
      </c>
      <c r="CC164" s="645">
        <f t="shared" si="53"/>
        <v>23</v>
      </c>
      <c r="CD164" s="645">
        <f t="shared" si="58"/>
        <v>2</v>
      </c>
    </row>
    <row r="165" spans="54:84" ht="15" customHeight="1">
      <c r="BB165" s="922"/>
      <c r="BC165" s="959"/>
      <c r="BG165" s="922"/>
      <c r="BI165" s="638" t="s">
        <v>326</v>
      </c>
      <c r="BJ165" s="638">
        <v>6</v>
      </c>
      <c r="BK165" s="841" t="s">
        <v>324</v>
      </c>
      <c r="BL165" s="947">
        <v>111.65300000000001</v>
      </c>
      <c r="BM165" s="885">
        <v>296.64100000000002</v>
      </c>
      <c r="BN165" s="953">
        <v>2711.0169999999998</v>
      </c>
      <c r="BO165" s="950">
        <v>0.66900000000000004</v>
      </c>
      <c r="BP165" s="947"/>
      <c r="BQ165" s="885"/>
      <c r="BR165" s="953"/>
      <c r="BS165" s="950"/>
      <c r="BT165" s="933"/>
      <c r="BU165" s="933"/>
      <c r="BV165" s="933"/>
      <c r="BX165" s="666" t="str">
        <f t="shared" si="54"/>
        <v>Mar</v>
      </c>
      <c r="BY165" s="965">
        <f t="shared" si="55"/>
        <v>111.65300000000001</v>
      </c>
      <c r="BZ165" s="965">
        <f t="shared" si="56"/>
        <v>296.64100000000002</v>
      </c>
      <c r="CA165" s="682">
        <f t="shared" si="57"/>
        <v>2711.0169999999998</v>
      </c>
      <c r="CB165" s="681">
        <f t="shared" si="59"/>
        <v>669</v>
      </c>
      <c r="CC165" s="645">
        <f t="shared" si="53"/>
        <v>23</v>
      </c>
      <c r="CD165" s="645">
        <f t="shared" si="58"/>
        <v>3</v>
      </c>
    </row>
    <row r="166" spans="54:84" ht="15" customHeight="1">
      <c r="BB166" s="922"/>
      <c r="BC166" s="959"/>
      <c r="BG166" s="922"/>
      <c r="BI166" s="638" t="s">
        <v>327</v>
      </c>
      <c r="BJ166" s="638">
        <v>7</v>
      </c>
      <c r="BK166" s="841" t="s">
        <v>328</v>
      </c>
      <c r="BL166" s="947">
        <v>390.80599999999998</v>
      </c>
      <c r="BM166" s="885">
        <v>7.4470000000000001</v>
      </c>
      <c r="BN166" s="953">
        <v>1529.374</v>
      </c>
      <c r="BO166" s="950">
        <v>0.48499999999999999</v>
      </c>
      <c r="BP166" s="947"/>
      <c r="BQ166" s="885"/>
      <c r="BR166" s="953"/>
      <c r="BS166" s="950"/>
      <c r="BT166" s="933"/>
      <c r="BU166" s="933"/>
      <c r="BV166" s="933"/>
      <c r="BX166" s="666" t="str">
        <f t="shared" si="54"/>
        <v>Apr</v>
      </c>
      <c r="BY166" s="965">
        <f t="shared" si="55"/>
        <v>390.80599999999998</v>
      </c>
      <c r="BZ166" s="965">
        <f t="shared" si="56"/>
        <v>7.4470000000000001</v>
      </c>
      <c r="CA166" s="682">
        <f t="shared" si="57"/>
        <v>1529.374</v>
      </c>
      <c r="CB166" s="681">
        <f t="shared" si="59"/>
        <v>485</v>
      </c>
      <c r="CC166" s="645">
        <f t="shared" si="53"/>
        <v>23</v>
      </c>
      <c r="CD166" s="645">
        <f t="shared" si="58"/>
        <v>4</v>
      </c>
    </row>
    <row r="167" spans="54:84" ht="15" customHeight="1">
      <c r="BB167" s="922"/>
      <c r="BC167" s="959"/>
      <c r="BG167" s="922"/>
      <c r="BI167" s="638" t="s">
        <v>329</v>
      </c>
      <c r="BJ167" s="638">
        <v>8</v>
      </c>
      <c r="BK167" s="841" t="s">
        <v>328</v>
      </c>
      <c r="BL167" s="947">
        <v>108.253</v>
      </c>
      <c r="BM167" s="885">
        <v>108.253</v>
      </c>
      <c r="BN167" s="953">
        <v>1191.2639999999999</v>
      </c>
      <c r="BO167" s="951">
        <v>0.58899999999999997</v>
      </c>
      <c r="BP167" s="947"/>
      <c r="BQ167" s="885"/>
      <c r="BR167" s="953"/>
      <c r="BS167" s="951"/>
      <c r="BT167" s="934"/>
      <c r="BU167" s="934"/>
      <c r="BV167" s="934"/>
      <c r="BX167" s="666" t="str">
        <f t="shared" si="54"/>
        <v>May</v>
      </c>
      <c r="BY167" s="965">
        <f t="shared" si="55"/>
        <v>108.253</v>
      </c>
      <c r="BZ167" s="965">
        <f t="shared" si="56"/>
        <v>108.253</v>
      </c>
      <c r="CA167" s="682">
        <f t="shared" si="57"/>
        <v>1191.2639999999999</v>
      </c>
      <c r="CB167" s="681">
        <f t="shared" si="59"/>
        <v>589</v>
      </c>
      <c r="CC167" s="645">
        <f t="shared" si="53"/>
        <v>23</v>
      </c>
      <c r="CD167" s="645">
        <f t="shared" si="58"/>
        <v>5</v>
      </c>
    </row>
    <row r="168" spans="54:84" ht="15" customHeight="1">
      <c r="BB168" s="922"/>
      <c r="BC168" s="959"/>
      <c r="BG168" s="922"/>
      <c r="BI168" s="638" t="s">
        <v>331</v>
      </c>
      <c r="BJ168" s="638">
        <v>9</v>
      </c>
      <c r="BK168" s="841" t="s">
        <v>328</v>
      </c>
      <c r="BL168" s="947">
        <v>90.64</v>
      </c>
      <c r="BM168" s="885">
        <v>456.60500000000002</v>
      </c>
      <c r="BN168" s="953">
        <v>1432.0139999999999</v>
      </c>
      <c r="BO168" s="951">
        <v>0.35199999999999998</v>
      </c>
      <c r="BP168" s="947"/>
      <c r="BQ168" s="885"/>
      <c r="BR168" s="953"/>
      <c r="BS168" s="951"/>
      <c r="BT168" s="934"/>
      <c r="BU168" s="934"/>
      <c r="BV168" s="934"/>
      <c r="BX168" s="666" t="str">
        <f t="shared" si="54"/>
        <v>Jun</v>
      </c>
      <c r="BY168" s="965">
        <f t="shared" si="55"/>
        <v>90.64</v>
      </c>
      <c r="BZ168" s="965">
        <f t="shared" si="56"/>
        <v>456.60500000000002</v>
      </c>
      <c r="CA168" s="682">
        <f t="shared" si="57"/>
        <v>1432.0139999999999</v>
      </c>
      <c r="CB168" s="681">
        <f t="shared" si="59"/>
        <v>352</v>
      </c>
      <c r="CC168" s="645">
        <f t="shared" si="53"/>
        <v>23</v>
      </c>
      <c r="CD168" s="645">
        <f t="shared" si="58"/>
        <v>6</v>
      </c>
    </row>
    <row r="169" spans="54:84" ht="15" customHeight="1">
      <c r="BB169" s="922"/>
      <c r="BC169" s="959"/>
      <c r="BG169" s="922"/>
      <c r="BI169" s="638" t="s">
        <v>337</v>
      </c>
      <c r="BJ169" s="638">
        <v>10</v>
      </c>
      <c r="BK169" s="841" t="s">
        <v>338</v>
      </c>
      <c r="BL169" s="947">
        <v>135.00899999999999</v>
      </c>
      <c r="BM169" s="885">
        <v>721.38</v>
      </c>
      <c r="BN169" s="953">
        <v>2713.4490000000001</v>
      </c>
      <c r="BO169" s="951">
        <v>0.51700000000000002</v>
      </c>
      <c r="BP169" s="947"/>
      <c r="BQ169" s="885"/>
      <c r="BR169" s="953"/>
      <c r="BS169" s="951"/>
      <c r="BT169" s="934"/>
      <c r="BU169" s="934"/>
      <c r="BV169" s="934"/>
      <c r="BX169" s="666" t="str">
        <f t="shared" si="54"/>
        <v>Jul</v>
      </c>
      <c r="BY169" s="965">
        <f t="shared" si="55"/>
        <v>135.00899999999999</v>
      </c>
      <c r="BZ169" s="965">
        <f t="shared" si="56"/>
        <v>721.38</v>
      </c>
      <c r="CA169" s="682">
        <f t="shared" si="57"/>
        <v>2713.4490000000001</v>
      </c>
      <c r="CB169" s="681">
        <f t="shared" si="59"/>
        <v>517</v>
      </c>
      <c r="CC169" s="645">
        <f t="shared" si="53"/>
        <v>23</v>
      </c>
      <c r="CD169" s="645">
        <f t="shared" si="58"/>
        <v>7</v>
      </c>
    </row>
    <row r="170" spans="54:84" ht="15" customHeight="1">
      <c r="BB170" s="922"/>
      <c r="BC170" s="959"/>
      <c r="BG170" s="922"/>
      <c r="BI170" s="638" t="s">
        <v>343</v>
      </c>
      <c r="BJ170" s="638">
        <v>11</v>
      </c>
      <c r="BK170" s="841" t="s">
        <v>338</v>
      </c>
      <c r="BL170" s="947">
        <v>139.89099999999999</v>
      </c>
      <c r="BM170" s="885">
        <v>163.661</v>
      </c>
      <c r="BN170" s="953">
        <v>1331.5519999999999</v>
      </c>
      <c r="BO170" s="951">
        <v>0.56999999999999995</v>
      </c>
      <c r="BP170" s="947"/>
      <c r="BQ170" s="885"/>
      <c r="BR170" s="953"/>
      <c r="BS170" s="951"/>
      <c r="BT170" s="934"/>
      <c r="BU170" s="934"/>
      <c r="BV170" s="934"/>
      <c r="BX170" s="666" t="str">
        <f t="shared" si="54"/>
        <v>Aug</v>
      </c>
      <c r="BY170" s="965">
        <f t="shared" si="55"/>
        <v>139.89099999999999</v>
      </c>
      <c r="BZ170" s="965">
        <f t="shared" si="56"/>
        <v>163.661</v>
      </c>
      <c r="CA170" s="682">
        <f t="shared" si="57"/>
        <v>1331.5519999999999</v>
      </c>
      <c r="CB170" s="681">
        <f t="shared" si="59"/>
        <v>570</v>
      </c>
      <c r="CC170" s="645">
        <f t="shared" si="53"/>
        <v>23</v>
      </c>
      <c r="CD170" s="645">
        <f t="shared" si="58"/>
        <v>8</v>
      </c>
    </row>
    <row r="171" spans="54:84" ht="15" customHeight="1" thickBot="1">
      <c r="BI171" s="638" t="s">
        <v>344</v>
      </c>
      <c r="BJ171" s="638">
        <v>12</v>
      </c>
      <c r="BK171" s="841" t="s">
        <v>338</v>
      </c>
      <c r="BL171" s="948">
        <v>177.584</v>
      </c>
      <c r="BM171" s="949">
        <v>58.994</v>
      </c>
      <c r="BN171" s="954">
        <v>1413.374</v>
      </c>
      <c r="BO171" s="952">
        <v>0.55900000000000005</v>
      </c>
      <c r="BP171" s="948"/>
      <c r="BQ171" s="949"/>
      <c r="BR171" s="954"/>
      <c r="BS171" s="952"/>
      <c r="BT171" s="934"/>
      <c r="BU171" s="934"/>
      <c r="BV171" s="934"/>
      <c r="BX171" s="666" t="str">
        <f t="shared" si="54"/>
        <v>Sep</v>
      </c>
      <c r="BY171" s="965">
        <f t="shared" si="55"/>
        <v>177.584</v>
      </c>
      <c r="BZ171" s="965">
        <f t="shared" si="56"/>
        <v>58.994</v>
      </c>
      <c r="CA171" s="682">
        <f t="shared" si="57"/>
        <v>1413.374</v>
      </c>
      <c r="CB171" s="681">
        <f>IF(IF($CC171=$CC$172,SUMIF($BI$160:$BI$171,$BX171,BS$160:BS$171),SUMIF($BI$160:$BI$171,$BX171,BO$160:BO$171))=0,NA(),IF($CC171=$CC$172,SUMIF($BI$160:$BI$171,$BX171,BS$160:BS$171),SUMIF($BI$160:$BI$171,$BX171,BO$160:BO$171)))*1000</f>
        <v>559</v>
      </c>
      <c r="CC171" s="645">
        <f t="shared" si="53"/>
        <v>23</v>
      </c>
      <c r="CD171" s="645">
        <f>IF(CD172-1&lt;1,CD172+11,CD172-1)</f>
        <v>9</v>
      </c>
    </row>
    <row r="172" spans="54:84" ht="15" customHeight="1">
      <c r="BI172" s="277"/>
      <c r="BJ172" s="277"/>
      <c r="BK172" s="277"/>
      <c r="BL172" s="297"/>
      <c r="BM172" s="406"/>
      <c r="BN172" s="290"/>
      <c r="BO172" s="299"/>
      <c r="BP172" s="293"/>
      <c r="BQ172" s="406"/>
      <c r="BR172" s="290"/>
      <c r="BS172" s="406"/>
      <c r="BT172" s="406"/>
      <c r="BU172" s="406"/>
      <c r="BV172" s="406"/>
      <c r="BW172" s="929" t="str">
        <f>Cover!$M$34</f>
        <v>OCT FY-24</v>
      </c>
      <c r="BX172" s="666" t="str">
        <f>TEXT(CONCATENATE(CD172,"/01/20",CC172),"MMM")</f>
        <v>Oct</v>
      </c>
      <c r="BY172" s="965">
        <f>IF(IF($CC172=$CC$172,SUMIF($BI$160:$BI$171,$BX172,BP$160:BP$171),SUMIF($BI$160:$BI$171,$BX172,BL$160:BL$171))=0,NA(),IF($CC172=$CC$172,SUMIF($BI$160:$BI$171,$BX172,BP$160:BP$171),SUMIF($BI$160:$BI$171,$BX172,BL$160:BL$171)))</f>
        <v>174.452</v>
      </c>
      <c r="BZ172" s="965">
        <f t="shared" si="56"/>
        <v>319.06299999999999</v>
      </c>
      <c r="CA172" s="682">
        <f>IF(IF($CC172=$CC$172,SUMIF($BI$160:$BI$171,$BX172,BR$160:BR$171),SUMIF($BI$160:$BI$171,$BX172,BN$160:BN$171))=0,NA(),IF($CC172=$CC$172,SUMIF($BI$160:$BI$171,$BX172,BR$160:BR$171),SUMIF($BI$160:$BI$171,$BX172,BN$160:BN$171)))</f>
        <v>1642.2239999999999</v>
      </c>
      <c r="CB172" s="681">
        <f>IF(IF($CC172=$CC$172,SUMIF($BI$160:$BI$171,$BX172,BS$160:BS$171),SUMIF($BI$160:$BI$171,$BX172,BO$160:BO$171))=0,NA(),IF($CC172=$CC$172,SUMIF($BI$160:$BI$171,$BX172,BS$160:BS$171),SUMIF($BI$160:$BI$171,$BX172,BO$160:BO$171)))*1000</f>
        <v>737</v>
      </c>
      <c r="CC172" s="645">
        <f t="shared" si="53"/>
        <v>24</v>
      </c>
      <c r="CD172" s="930">
        <f>MONTH(DATEVALUE(LEFT(BW172,3)&amp;" 1"))</f>
        <v>10</v>
      </c>
      <c r="CE172" s="935"/>
      <c r="CF172" s="296"/>
    </row>
  </sheetData>
  <mergeCells count="140">
    <mergeCell ref="B135:AB138"/>
    <mergeCell ref="AE135:BE138"/>
    <mergeCell ref="AC43:BE43"/>
    <mergeCell ref="AC42:BE42"/>
    <mergeCell ref="B66:AB69"/>
    <mergeCell ref="BL158:BO158"/>
    <mergeCell ref="BP158:BS158"/>
    <mergeCell ref="B112:AB115"/>
    <mergeCell ref="AC44:BE44"/>
    <mergeCell ref="B89:AB92"/>
    <mergeCell ref="AE89:BE92"/>
    <mergeCell ref="B94:E94"/>
    <mergeCell ref="AE112:BE115"/>
    <mergeCell ref="Z44:AB44"/>
    <mergeCell ref="Q42:S42"/>
    <mergeCell ref="Z43:AB43"/>
    <mergeCell ref="BL100:BS100"/>
    <mergeCell ref="B41:J41"/>
    <mergeCell ref="AE66:BE69"/>
    <mergeCell ref="BW43:CC43"/>
    <mergeCell ref="BW62:CC62"/>
    <mergeCell ref="B48:E48"/>
    <mergeCell ref="N39:P39"/>
    <mergeCell ref="B44:J44"/>
    <mergeCell ref="K44:M44"/>
    <mergeCell ref="N44:P44"/>
    <mergeCell ref="Q44:S44"/>
    <mergeCell ref="T44:V44"/>
    <mergeCell ref="W44:Y44"/>
    <mergeCell ref="BI1:BU1"/>
    <mergeCell ref="BJ40:BU40"/>
    <mergeCell ref="BJ21:BU21"/>
    <mergeCell ref="BJ23:BU23"/>
    <mergeCell ref="BJ22:BU22"/>
    <mergeCell ref="AZ15:BE15"/>
    <mergeCell ref="AN19:AQ19"/>
    <mergeCell ref="AU19:AX19"/>
    <mergeCell ref="BB19:BE19"/>
    <mergeCell ref="AN22:AQ22"/>
    <mergeCell ref="AU22:AX22"/>
    <mergeCell ref="BB22:BE22"/>
    <mergeCell ref="AL15:AO15"/>
    <mergeCell ref="AP15:AQ15"/>
    <mergeCell ref="AS15:AX15"/>
    <mergeCell ref="AE8:BE11"/>
    <mergeCell ref="AE29:BE32"/>
    <mergeCell ref="AC38:BE38"/>
    <mergeCell ref="B2:BE4"/>
    <mergeCell ref="B40:J40"/>
    <mergeCell ref="W38:Y38"/>
    <mergeCell ref="BB18:BE18"/>
    <mergeCell ref="B35:J37"/>
    <mergeCell ref="Z39:AB39"/>
    <mergeCell ref="B5:AR5"/>
    <mergeCell ref="AX5:AY5"/>
    <mergeCell ref="BB17:BE17"/>
    <mergeCell ref="S16:V16"/>
    <mergeCell ref="B38:J38"/>
    <mergeCell ref="K38:M38"/>
    <mergeCell ref="T40:V40"/>
    <mergeCell ref="K35:P35"/>
    <mergeCell ref="Q35:S37"/>
    <mergeCell ref="T35:AB35"/>
    <mergeCell ref="B8:AB11"/>
    <mergeCell ref="B29:AB32"/>
    <mergeCell ref="K39:M39"/>
    <mergeCell ref="B39:J39"/>
    <mergeCell ref="AU23:AX23"/>
    <mergeCell ref="N38:P38"/>
    <mergeCell ref="B15:G15"/>
    <mergeCell ref="Z40:AB40"/>
    <mergeCell ref="BB24:BE24"/>
    <mergeCell ref="V14:W14"/>
    <mergeCell ref="W36:Y37"/>
    <mergeCell ref="Z38:AB38"/>
    <mergeCell ref="I15:V15"/>
    <mergeCell ref="X15:AB15"/>
    <mergeCell ref="I16:L16"/>
    <mergeCell ref="AN17:AQ17"/>
    <mergeCell ref="AU17:AX17"/>
    <mergeCell ref="AE15:AJ15"/>
    <mergeCell ref="N16:Q16"/>
    <mergeCell ref="T42:V42"/>
    <mergeCell ref="T41:V41"/>
    <mergeCell ref="T43:V43"/>
    <mergeCell ref="W43:Y43"/>
    <mergeCell ref="B42:J42"/>
    <mergeCell ref="W41:Y41"/>
    <mergeCell ref="B43:J43"/>
    <mergeCell ref="K43:M43"/>
    <mergeCell ref="N43:P43"/>
    <mergeCell ref="Q43:S43"/>
    <mergeCell ref="K42:M42"/>
    <mergeCell ref="N42:P42"/>
    <mergeCell ref="K41:M41"/>
    <mergeCell ref="W42:Y42"/>
    <mergeCell ref="N41:P41"/>
    <mergeCell ref="Q38:S38"/>
    <mergeCell ref="T38:V38"/>
    <mergeCell ref="W39:Y39"/>
    <mergeCell ref="AN23:AQ23"/>
    <mergeCell ref="AU18:AX18"/>
    <mergeCell ref="BB23:BE23"/>
    <mergeCell ref="N36:P37"/>
    <mergeCell ref="T36:V37"/>
    <mergeCell ref="Z36:AB37"/>
    <mergeCell ref="Z42:AB42"/>
    <mergeCell ref="Q39:S39"/>
    <mergeCell ref="Z41:AB41"/>
    <mergeCell ref="K36:M37"/>
    <mergeCell ref="K40:M40"/>
    <mergeCell ref="N40:P40"/>
    <mergeCell ref="AN18:AQ18"/>
    <mergeCell ref="AC39:BE39"/>
    <mergeCell ref="AC40:BE40"/>
    <mergeCell ref="AC41:BE41"/>
    <mergeCell ref="Q40:S40"/>
    <mergeCell ref="Q41:S41"/>
    <mergeCell ref="AN24:AQ24"/>
    <mergeCell ref="AU24:AX24"/>
    <mergeCell ref="AC35:BE37"/>
    <mergeCell ref="T39:V39"/>
    <mergeCell ref="W40:Y40"/>
    <mergeCell ref="CC24:CK24"/>
    <mergeCell ref="BW120:CC120"/>
    <mergeCell ref="BQ120:BU120"/>
    <mergeCell ref="BL62:BP62"/>
    <mergeCell ref="BQ62:BU62"/>
    <mergeCell ref="BL120:BP120"/>
    <mergeCell ref="BW81:CC81"/>
    <mergeCell ref="BL81:BP81"/>
    <mergeCell ref="BL139:BP139"/>
    <mergeCell ref="BQ139:BU139"/>
    <mergeCell ref="BQ81:BU81"/>
    <mergeCell ref="BL43:BP43"/>
    <mergeCell ref="BL24:BS24"/>
    <mergeCell ref="BT24:CA24"/>
    <mergeCell ref="BQ43:BU43"/>
    <mergeCell ref="BT100:CA100"/>
    <mergeCell ref="CC100:CK100"/>
  </mergeCells>
  <conditionalFormatting sqref="A8:A11 A15:A19 A5:BH7 A12:BH14 F24:F27 H20:H26 J24:L26 U24:W25 AC15:AD15 AC17:AD19 AC16:AG16 AC20:AH20 AI16:BH16 AJ17 BF8:BH11 BF15:BH15 BF17:BH34 BF119:BF154">
    <cfRule type="cellIs" dxfId="2088" priority="14388" operator="equal">
      <formula>"XXX"</formula>
    </cfRule>
  </conditionalFormatting>
  <conditionalFormatting sqref="B2">
    <cfRule type="cellIs" dxfId="2087" priority="1709" operator="equal">
      <formula>"XXX"</formula>
    </cfRule>
  </conditionalFormatting>
  <conditionalFormatting sqref="B65:D65 F65:AB65">
    <cfRule type="cellIs" dxfId="2086" priority="14382" operator="equal">
      <formula>"XXX"</formula>
    </cfRule>
  </conditionalFormatting>
  <conditionalFormatting sqref="B88:D88 F88:AB88">
    <cfRule type="cellIs" dxfId="2085" priority="14379" operator="equal">
      <formula>"XXX"</formula>
    </cfRule>
  </conditionalFormatting>
  <conditionalFormatting sqref="B111:D111 F111:AB111">
    <cfRule type="cellIs" dxfId="2084" priority="14363" operator="equal">
      <formula>"XXX"</formula>
    </cfRule>
  </conditionalFormatting>
  <conditionalFormatting sqref="B35:J44">
    <cfRule type="cellIs" dxfId="2083" priority="14366" operator="equal">
      <formula>"XXX"</formula>
    </cfRule>
  </conditionalFormatting>
  <conditionalFormatting sqref="F22">
    <cfRule type="cellIs" dxfId="2082" priority="7965" operator="equal">
      <formula>"XXX"</formula>
    </cfRule>
  </conditionalFormatting>
  <conditionalFormatting sqref="F28:AG28 AI28:BE28 AK22:AM27 AR22:AT27 AY22:BA27">
    <cfRule type="cellIs" dxfId="2081" priority="14387" operator="equal">
      <formula>"XXX"</formula>
    </cfRule>
  </conditionalFormatting>
  <conditionalFormatting sqref="G22:G23">
    <cfRule type="cellIs" dxfId="2080" priority="7963" operator="notEqual">
      <formula>0</formula>
    </cfRule>
  </conditionalFormatting>
  <conditionalFormatting sqref="G22:G26">
    <cfRule type="cellIs" dxfId="2079" priority="7960" operator="equal">
      <formula>"XXX"</formula>
    </cfRule>
  </conditionalFormatting>
  <conditionalFormatting sqref="G25:G26">
    <cfRule type="cellIs" dxfId="2078" priority="7959" operator="notEqual">
      <formula>0</formula>
    </cfRule>
  </conditionalFormatting>
  <conditionalFormatting sqref="G26">
    <cfRule type="expression" dxfId="2077" priority="7958">
      <formula>$G$25=0</formula>
    </cfRule>
  </conditionalFormatting>
  <conditionalFormatting sqref="I24">
    <cfRule type="cellIs" dxfId="2076" priority="14178" operator="equal">
      <formula>"XXX"</formula>
    </cfRule>
  </conditionalFormatting>
  <conditionalFormatting sqref="I24:I26">
    <cfRule type="cellIs" dxfId="2075" priority="7955" operator="equal">
      <formula>$A$1</formula>
    </cfRule>
  </conditionalFormatting>
  <conditionalFormatting sqref="I26">
    <cfRule type="cellIs" dxfId="2074" priority="7957" operator="equal">
      <formula>"XXX"</formula>
    </cfRule>
  </conditionalFormatting>
  <conditionalFormatting sqref="I23:J23">
    <cfRule type="cellIs" dxfId="2073" priority="14174" operator="equal">
      <formula>$A$1</formula>
    </cfRule>
  </conditionalFormatting>
  <conditionalFormatting sqref="K38 N38 T38 W38 Z38">
    <cfRule type="expression" dxfId="2072" priority="164" stopIfTrue="1">
      <formula>$Q$39=0</formula>
    </cfRule>
    <cfRule type="cellIs" dxfId="2071" priority="13546" stopIfTrue="1" operator="greaterThan">
      <formula>$Q38*1.1</formula>
    </cfRule>
    <cfRule type="cellIs" dxfId="2070" priority="13547" operator="greaterThan">
      <formula>$Q38</formula>
    </cfRule>
    <cfRule type="cellIs" dxfId="2069" priority="13548" operator="lessThanOrEqual">
      <formula>$Q38</formula>
    </cfRule>
  </conditionalFormatting>
  <conditionalFormatting sqref="K38:K41 N38:N41 T38:T41 W38:W41 Z38:Z41">
    <cfRule type="cellIs" dxfId="2068" priority="13487" operator="equal">
      <formula>"XXX"</formula>
    </cfRule>
  </conditionalFormatting>
  <conditionalFormatting sqref="K39 N39 T39 W39 Z39">
    <cfRule type="expression" dxfId="2067" priority="13472">
      <formula>$Q$39=0</formula>
    </cfRule>
    <cfRule type="cellIs" dxfId="2066" priority="13533" stopIfTrue="1" operator="lessThan">
      <formula>$Q39*0.9</formula>
    </cfRule>
    <cfRule type="cellIs" dxfId="2065" priority="13534" operator="lessThan">
      <formula>$Q39</formula>
    </cfRule>
    <cfRule type="cellIs" dxfId="2064" priority="13535" operator="greaterThanOrEqual">
      <formula>$Q39</formula>
    </cfRule>
  </conditionalFormatting>
  <conditionalFormatting sqref="K40 N40 T40 W40 Z40">
    <cfRule type="expression" dxfId="2063" priority="163" stopIfTrue="1">
      <formula>$Q$39=0</formula>
    </cfRule>
    <cfRule type="cellIs" dxfId="2062" priority="13488" stopIfTrue="1" operator="greaterThan">
      <formula>$Q40*1.1</formula>
    </cfRule>
    <cfRule type="cellIs" dxfId="2061" priority="13489" operator="greaterThan">
      <formula>$Q40</formula>
    </cfRule>
    <cfRule type="cellIs" dxfId="2060" priority="13490" operator="lessThan">
      <formula>$Q40</formula>
    </cfRule>
  </conditionalFormatting>
  <conditionalFormatting sqref="K41 N41 T41 W41 Z41">
    <cfRule type="expression" dxfId="2059" priority="13471">
      <formula>$Q$41=0</formula>
    </cfRule>
    <cfRule type="cellIs" dxfId="2058" priority="13520" stopIfTrue="1" operator="lessThan">
      <formula>$Q41*0.9</formula>
    </cfRule>
    <cfRule type="cellIs" dxfId="2057" priority="13521" operator="lessThan">
      <formula>$Q41</formula>
    </cfRule>
    <cfRule type="cellIs" dxfId="2056" priority="13522" operator="greaterThanOrEqual">
      <formula>$Q41</formula>
    </cfRule>
  </conditionalFormatting>
  <conditionalFormatting sqref="K42 N42 T42 W42 Z42">
    <cfRule type="expression" dxfId="2055" priority="162">
      <formula>$Q$42=0</formula>
    </cfRule>
    <cfRule type="cellIs" dxfId="2054" priority="13469" operator="equal">
      <formula>"XXX"</formula>
    </cfRule>
    <cfRule type="cellIs" dxfId="2053" priority="13475" stopIfTrue="1" operator="greaterThan">
      <formula>$Q42*1.1</formula>
    </cfRule>
    <cfRule type="cellIs" dxfId="2052" priority="13476" operator="greaterThan">
      <formula>$Q42</formula>
    </cfRule>
    <cfRule type="cellIs" dxfId="2051" priority="13477" operator="lessThan">
      <formula>$Q42</formula>
    </cfRule>
  </conditionalFormatting>
  <conditionalFormatting sqref="K43:K44 N43:N44 T43:T44 W43:W44 Z43:Z44">
    <cfRule type="expression" dxfId="2050" priority="13470">
      <formula>$Q$43=0</formula>
    </cfRule>
    <cfRule type="cellIs" dxfId="2049" priority="13506" operator="equal">
      <formula>"XXX"</formula>
    </cfRule>
    <cfRule type="cellIs" dxfId="2048" priority="13507" stopIfTrue="1" operator="lessThan">
      <formula>$Q43*0.9</formula>
    </cfRule>
    <cfRule type="cellIs" dxfId="2047" priority="13508" operator="lessThan">
      <formula>$Q43</formula>
    </cfRule>
    <cfRule type="cellIs" dxfId="2046" priority="13509" operator="greaterThanOrEqual">
      <formula>$Q43</formula>
    </cfRule>
  </conditionalFormatting>
  <conditionalFormatting sqref="K35:AB37">
    <cfRule type="cellIs" dxfId="2045" priority="2056" operator="equal">
      <formula>"XXX"</formula>
    </cfRule>
  </conditionalFormatting>
  <conditionalFormatting sqref="X24:AB24">
    <cfRule type="cellIs" dxfId="2044" priority="2406" operator="equal">
      <formula>"XXX"</formula>
    </cfRule>
  </conditionalFormatting>
  <conditionalFormatting sqref="Y16:Y23">
    <cfRule type="cellIs" dxfId="2043" priority="2402" operator="equal">
      <formula>"XXX"</formula>
    </cfRule>
  </conditionalFormatting>
  <conditionalFormatting sqref="Z16:Z21">
    <cfRule type="cellIs" dxfId="2042" priority="2405" operator="equal">
      <formula>"XXX"</formula>
    </cfRule>
  </conditionalFormatting>
  <conditionalFormatting sqref="AC8:AD11">
    <cfRule type="cellIs" dxfId="2041" priority="254" operator="equal">
      <formula>"XXX"</formula>
    </cfRule>
  </conditionalFormatting>
  <conditionalFormatting sqref="AC29:AD32">
    <cfRule type="cellIs" dxfId="2040" priority="251" operator="equal">
      <formula>"XXX"</formula>
    </cfRule>
  </conditionalFormatting>
  <conditionalFormatting sqref="AC150:AD153">
    <cfRule type="cellIs" dxfId="2039" priority="239" operator="equal">
      <formula>"XXX"</formula>
    </cfRule>
  </conditionalFormatting>
  <conditionalFormatting sqref="AD66:AD69">
    <cfRule type="cellIs" dxfId="2038" priority="317" operator="equal">
      <formula>"XXX"</formula>
    </cfRule>
  </conditionalFormatting>
  <conditionalFormatting sqref="AD89:AD91">
    <cfRule type="cellIs" dxfId="2037" priority="449" operator="equal">
      <formula>"XXX"</formula>
    </cfRule>
  </conditionalFormatting>
  <conditionalFormatting sqref="AD112:AD116">
    <cfRule type="cellIs" dxfId="2036" priority="452" operator="equal">
      <formula>"XXX"</formula>
    </cfRule>
  </conditionalFormatting>
  <conditionalFormatting sqref="AD65:AG65 AI65:BE65">
    <cfRule type="cellIs" dxfId="2035" priority="14381" operator="equal">
      <formula>"XXX"</formula>
    </cfRule>
  </conditionalFormatting>
  <conditionalFormatting sqref="AD88:AG88 AI88:BE88">
    <cfRule type="cellIs" dxfId="2034" priority="14378" operator="equal">
      <formula>"XXX"</formula>
    </cfRule>
  </conditionalFormatting>
  <conditionalFormatting sqref="AD111:AG111 AI111:BE111">
    <cfRule type="cellIs" dxfId="2033" priority="14362" operator="equal">
      <formula>"XXX"</formula>
    </cfRule>
  </conditionalFormatting>
  <conditionalFormatting sqref="AI22:AJ22">
    <cfRule type="cellIs" dxfId="2032" priority="14385" operator="equal">
      <formula>"XXX"</formula>
    </cfRule>
  </conditionalFormatting>
  <conditionalFormatting sqref="AU17:AX18">
    <cfRule type="cellIs" dxfId="2031" priority="13561" operator="lessThan">
      <formula>0</formula>
    </cfRule>
  </conditionalFormatting>
  <conditionalFormatting sqref="AU22:AX23">
    <cfRule type="cellIs" dxfId="2030" priority="14368" operator="lessThan">
      <formula>0</formula>
    </cfRule>
  </conditionalFormatting>
  <conditionalFormatting sqref="BB23">
    <cfRule type="cellIs" dxfId="2029" priority="14384" operator="lessThan">
      <formula>0</formula>
    </cfRule>
  </conditionalFormatting>
  <conditionalFormatting sqref="BB17:BE18">
    <cfRule type="cellIs" dxfId="2028" priority="13559" operator="lessThan">
      <formula>0</formula>
    </cfRule>
  </conditionalFormatting>
  <conditionalFormatting sqref="BB22:BE22">
    <cfRule type="cellIs" dxfId="2027" priority="13558" operator="lessThan">
      <formula>0</formula>
    </cfRule>
  </conditionalFormatting>
  <conditionalFormatting sqref="BF111:BF115">
    <cfRule type="cellIs" dxfId="2026" priority="14365" operator="equal">
      <formula>"XXX"</formula>
    </cfRule>
  </conditionalFormatting>
  <conditionalFormatting sqref="BH35:BH37">
    <cfRule type="cellIs" dxfId="2025" priority="14237" operator="equal">
      <formula>"XXX"</formula>
    </cfRule>
  </conditionalFormatting>
  <conditionalFormatting sqref="BH38:BH44">
    <cfRule type="cellIs" dxfId="2024" priority="7954" operator="equal">
      <formula>"XXX"</formula>
    </cfRule>
  </conditionalFormatting>
  <conditionalFormatting sqref="BJ16:BV16">
    <cfRule type="expression" dxfId="2023" priority="16">
      <formula>(AND(BJ$5=$BX$5,LEN(BJ$16)=0))</formula>
    </cfRule>
  </conditionalFormatting>
  <conditionalFormatting sqref="BQ45:BQ56 BQ64:BQ75 BQ83:BQ94 BQ122:BQ133 BP160:BS171 BR141:BR152">
    <cfRule type="expression" dxfId="2022" priority="14">
      <formula>(AND($BJ45=$BX$5,LEN($BR45)=0))</formula>
    </cfRule>
  </conditionalFormatting>
  <conditionalFormatting sqref="AE29">
    <cfRule type="cellIs" dxfId="2021" priority="74" operator="equal">
      <formula>"XXX"</formula>
    </cfRule>
  </conditionalFormatting>
  <conditionalFormatting sqref="B66">
    <cfRule type="cellIs" dxfId="2020" priority="49" operator="equal">
      <formula>"XXX"</formula>
    </cfRule>
  </conditionalFormatting>
  <conditionalFormatting sqref="AE66">
    <cfRule type="cellIs" dxfId="2019" priority="48" operator="equal">
      <formula>"XXX"</formula>
    </cfRule>
  </conditionalFormatting>
  <conditionalFormatting sqref="B112">
    <cfRule type="cellIs" dxfId="2018" priority="45" operator="equal">
      <formula>"XXX"</formula>
    </cfRule>
  </conditionalFormatting>
  <conditionalFormatting sqref="AE112">
    <cfRule type="cellIs" dxfId="2017" priority="44" operator="equal">
      <formula>"XXX"</formula>
    </cfRule>
  </conditionalFormatting>
  <conditionalFormatting sqref="AE134:AG134 AI134:BE134">
    <cfRule type="cellIs" dxfId="2016" priority="38" operator="equal">
      <formula>"XXX"</formula>
    </cfRule>
  </conditionalFormatting>
  <conditionalFormatting sqref="B134:D134 F134:AB134">
    <cfRule type="cellIs" dxfId="2015" priority="36" operator="equal">
      <formula>"XXX"</formula>
    </cfRule>
  </conditionalFormatting>
  <conditionalFormatting sqref="B89">
    <cfRule type="cellIs" dxfId="2014" priority="32" operator="equal">
      <formula>"XXX"</formula>
    </cfRule>
  </conditionalFormatting>
  <conditionalFormatting sqref="AE89">
    <cfRule type="cellIs" dxfId="2013" priority="30" operator="equal">
      <formula>"XXX"</formula>
    </cfRule>
  </conditionalFormatting>
  <conditionalFormatting sqref="B135">
    <cfRule type="cellIs" dxfId="2012" priority="20" operator="equal">
      <formula>"XXX"</formula>
    </cfRule>
  </conditionalFormatting>
  <conditionalFormatting sqref="BU26:BW37 BT102:BW113">
    <cfRule type="expression" dxfId="2011" priority="18">
      <formula>(AND($BJ26=$BX$5,LEN($BX26)=0))</formula>
    </cfRule>
  </conditionalFormatting>
  <conditionalFormatting sqref="BT26:BT37">
    <cfRule type="expression" dxfId="2010" priority="17">
      <formula>(AND($BJ26=$BX$5,LEN($BU26)=0))</formula>
    </cfRule>
  </conditionalFormatting>
  <conditionalFormatting sqref="BR45:BR56 BR64:BR75 BR83:BR94 BR122:BR133">
    <cfRule type="expression" dxfId="2009" priority="24">
      <formula>(AND($BJ45=$BX$5,LEN($BS45)=0))</formula>
    </cfRule>
  </conditionalFormatting>
  <conditionalFormatting sqref="BQ141:BQ152">
    <cfRule type="expression" dxfId="2008" priority="12">
      <formula>(AND($BJ141=$BX$5,LEN($BR141)=0))</formula>
    </cfRule>
  </conditionalFormatting>
  <conditionalFormatting sqref="B8">
    <cfRule type="cellIs" dxfId="2007" priority="11" operator="equal">
      <formula>"XXX"</formula>
    </cfRule>
  </conditionalFormatting>
  <conditionalFormatting sqref="AE8">
    <cfRule type="cellIs" dxfId="2006" priority="10" operator="equal">
      <formula>"XXX"</formula>
    </cfRule>
  </conditionalFormatting>
  <conditionalFormatting sqref="B29">
    <cfRule type="cellIs" dxfId="2005" priority="9" operator="equal">
      <formula>"XXX"</formula>
    </cfRule>
  </conditionalFormatting>
  <conditionalFormatting sqref="AC42:BE42">
    <cfRule type="cellIs" dxfId="2004" priority="8" operator="equal">
      <formula>"XXX"</formula>
    </cfRule>
  </conditionalFormatting>
  <conditionalFormatting sqref="AC44:BE44">
    <cfRule type="cellIs" dxfId="2003" priority="7" operator="equal">
      <formula>"XXX"</formula>
    </cfRule>
  </conditionalFormatting>
  <conditionalFormatting sqref="AC38:BE38">
    <cfRule type="cellIs" dxfId="2002" priority="6" operator="equal">
      <formula>"XXX"</formula>
    </cfRule>
  </conditionalFormatting>
  <conditionalFormatting sqref="AC39:BE39">
    <cfRule type="cellIs" dxfId="2001" priority="5" operator="equal">
      <formula>"XXX"</formula>
    </cfRule>
  </conditionalFormatting>
  <conditionalFormatting sqref="AC40:BE40">
    <cfRule type="cellIs" dxfId="2000" priority="4" operator="equal">
      <formula>"XXX"</formula>
    </cfRule>
  </conditionalFormatting>
  <conditionalFormatting sqref="AC41:BE41">
    <cfRule type="cellIs" dxfId="1999" priority="3" operator="equal">
      <formula>"XXX"</formula>
    </cfRule>
  </conditionalFormatting>
  <conditionalFormatting sqref="AC43:BE43">
    <cfRule type="cellIs" dxfId="1998" priority="2" operator="equal">
      <formula>"XXX"</formula>
    </cfRule>
  </conditionalFormatting>
  <conditionalFormatting sqref="AE135">
    <cfRule type="cellIs" dxfId="1997" priority="1" operator="equal">
      <formula>"XXX"</formula>
    </cfRule>
  </conditionalFormatting>
  <dataValidations count="2">
    <dataValidation type="whole" operator="greaterThanOrEqual" allowBlank="1" showInputMessage="1" showErrorMessage="1" errorTitle="Positive Value" error="This value must be entered as a positive number." sqref="BJ6:BV6 BQ14 BQ12 BR12:BV14 BJ8:BV8 BJ12:BP14 BJ10:BV10 BS135 BS154" xr:uid="{00000000-0002-0000-1400-000002000000}">
      <formula1>0</formula1>
    </dataValidation>
    <dataValidation type="whole" operator="lessThan" allowBlank="1" showInputMessage="1" showErrorMessage="1" errorTitle="Negative Value" error="This value must be entered as a negative number." sqref="BS134 BJ9:BV9 BJ7:BV7 BJ11:BV11" xr:uid="{00000000-0002-0000-1400-000003000000}">
      <formula1>0</formula1>
    </dataValidation>
  </dataValidations>
  <printOptions horizontalCentered="1"/>
  <pageMargins left="0.25" right="0.25" top="0.25" bottom="0.5" header="0.3" footer="0.3"/>
  <pageSetup scale="67" fitToHeight="0" orientation="landscape" r:id="rId1"/>
  <headerFooter>
    <oddFooter>&amp;R&amp;F | &amp;A
Printed &amp;D @ &amp;T
&amp;P</oddFooter>
  </headerFooter>
  <rowBreaks count="3" manualBreakCount="3">
    <brk id="32" max="16383" man="1"/>
    <brk id="46" max="16383" man="1"/>
    <brk id="92" max="16383"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14386" operator="equal" id="{75133468-F5B1-41C8-9D5C-3503E996A126}">
            <xm:f>'https://aramark365.sharepoint.com/Users/STOTTG1/AppData/Local/Microsoft/Windows/INetCache/Content.Outlook/5Y5Z00HX/[Metrics_FY-19_P-2_Draft-Pre-MOR AP 12-10-18 (002).xlsx]AR'!#REF!</xm:f>
            <x14:dxf>
              <font>
                <color theme="0"/>
              </font>
            </x14:dxf>
          </x14:cfRule>
          <xm:sqref>J24:J26</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tabColor theme="3" tint="0.39997558519241921"/>
  </sheetPr>
  <dimension ref="A1:CC102"/>
  <sheetViews>
    <sheetView showGridLines="0" topLeftCell="A19" zoomScale="85" zoomScaleNormal="85" workbookViewId="0">
      <selection activeCell="AC40" sqref="AC40:BE40"/>
    </sheetView>
  </sheetViews>
  <sheetFormatPr defaultColWidth="3.28515625" defaultRowHeight="15" customHeight="1"/>
  <cols>
    <col min="1" max="1" width="3.28515625" style="6"/>
    <col min="2" max="2" width="3.28515625" style="37"/>
    <col min="3" max="3" width="3.28515625" style="37" customWidth="1"/>
    <col min="4" max="57" width="3.28515625" style="37"/>
    <col min="58" max="59" width="3.28515625" style="6"/>
    <col min="60" max="60" width="4.7109375" style="6" bestFit="1" customWidth="1"/>
    <col min="61" max="61" width="17.7109375" style="270" customWidth="1"/>
    <col min="62" max="66" width="12.7109375" style="270" customWidth="1"/>
    <col min="67" max="67" width="15.7109375" style="270" bestFit="1" customWidth="1"/>
    <col min="68" max="71" width="12.7109375" style="270" customWidth="1"/>
    <col min="72" max="72" width="15.7109375" style="270" bestFit="1" customWidth="1"/>
    <col min="73" max="73" width="12.7109375" style="270" customWidth="1"/>
    <col min="74" max="74" width="13.7109375" style="270" bestFit="1" customWidth="1"/>
    <col min="75" max="75" width="15.7109375" style="6" bestFit="1" customWidth="1"/>
    <col min="76" max="76" width="8.5703125" style="6" bestFit="1" customWidth="1"/>
    <col min="77" max="77" width="11.28515625" style="6" bestFit="1" customWidth="1"/>
    <col min="78" max="78" width="8.5703125" style="6" bestFit="1" customWidth="1"/>
    <col min="79" max="79" width="9.7109375" style="6" bestFit="1" customWidth="1"/>
    <col min="80" max="80" width="4.7109375" style="6" bestFit="1" customWidth="1"/>
    <col min="81" max="81" width="5.28515625" style="6" bestFit="1" customWidth="1"/>
    <col min="82" max="16384" width="3.28515625" style="6"/>
  </cols>
  <sheetData>
    <row r="1" spans="2:76" ht="15" customHeight="1">
      <c r="BI1" s="1232" t="s">
        <v>418</v>
      </c>
      <c r="BJ1" s="1232"/>
      <c r="BK1" s="1232"/>
      <c r="BL1" s="1232"/>
      <c r="BM1" s="1232"/>
      <c r="BN1" s="1232"/>
      <c r="BO1" s="1232"/>
      <c r="BP1" s="1232"/>
      <c r="BQ1" s="1232"/>
      <c r="BR1" s="1232"/>
      <c r="BS1" s="1232"/>
      <c r="BT1" s="1232"/>
      <c r="BU1" s="1232"/>
    </row>
    <row r="2" spans="2:76" ht="15" customHeight="1">
      <c r="B2" s="1146" t="s">
        <v>180</v>
      </c>
      <c r="C2" s="1146"/>
      <c r="D2" s="1146"/>
      <c r="E2" s="1146"/>
      <c r="F2" s="1146"/>
      <c r="G2" s="1146"/>
      <c r="H2" s="1146"/>
      <c r="I2" s="1146"/>
      <c r="J2" s="1146"/>
      <c r="K2" s="1146"/>
      <c r="L2" s="1146"/>
      <c r="M2" s="1146"/>
      <c r="N2" s="1146"/>
      <c r="O2" s="1146"/>
      <c r="P2" s="1146"/>
      <c r="Q2" s="1146"/>
      <c r="R2" s="1146"/>
      <c r="S2" s="1146"/>
      <c r="T2" s="1146"/>
      <c r="U2" s="1146"/>
      <c r="V2" s="1146"/>
      <c r="W2" s="1146"/>
      <c r="X2" s="1146"/>
      <c r="Y2" s="1146"/>
      <c r="Z2" s="1146"/>
      <c r="AA2" s="1146"/>
      <c r="AB2" s="1146"/>
      <c r="AC2" s="1146"/>
      <c r="AD2" s="1146"/>
      <c r="AE2" s="1146"/>
      <c r="AF2" s="1146"/>
      <c r="AG2" s="1146"/>
      <c r="AH2" s="1146"/>
      <c r="AI2" s="1146"/>
      <c r="AJ2" s="1146"/>
      <c r="AK2" s="1146"/>
      <c r="AL2" s="1146"/>
      <c r="AM2" s="1146"/>
      <c r="AN2" s="1146"/>
      <c r="AO2" s="1146"/>
      <c r="AP2" s="1146"/>
      <c r="AQ2" s="1146"/>
      <c r="AR2" s="1146"/>
      <c r="AS2" s="1146"/>
      <c r="AT2" s="1146"/>
      <c r="AU2" s="1146"/>
      <c r="AV2" s="1146"/>
      <c r="AW2" s="1146"/>
      <c r="AX2" s="1146"/>
      <c r="AY2" s="1146"/>
      <c r="AZ2" s="1146"/>
      <c r="BA2" s="1146"/>
      <c r="BB2" s="1146"/>
      <c r="BC2" s="1146"/>
      <c r="BD2" s="1146"/>
      <c r="BE2" s="1146"/>
      <c r="BI2" s="271" t="s">
        <v>47</v>
      </c>
    </row>
    <row r="3" spans="2:76" ht="15" customHeight="1">
      <c r="B3" s="1146"/>
      <c r="C3" s="1146"/>
      <c r="D3" s="1146"/>
      <c r="E3" s="1146"/>
      <c r="F3" s="1146"/>
      <c r="G3" s="1146"/>
      <c r="H3" s="1146"/>
      <c r="I3" s="1146"/>
      <c r="J3" s="1146"/>
      <c r="K3" s="1146"/>
      <c r="L3" s="1146"/>
      <c r="M3" s="1146"/>
      <c r="N3" s="1146"/>
      <c r="O3" s="1146"/>
      <c r="P3" s="1146"/>
      <c r="Q3" s="1146"/>
      <c r="R3" s="1146"/>
      <c r="S3" s="1146"/>
      <c r="T3" s="1146"/>
      <c r="U3" s="1146"/>
      <c r="V3" s="1146"/>
      <c r="W3" s="1146"/>
      <c r="X3" s="1146"/>
      <c r="Y3" s="1146"/>
      <c r="Z3" s="1146"/>
      <c r="AA3" s="1146"/>
      <c r="AB3" s="1146"/>
      <c r="AC3" s="1146"/>
      <c r="AD3" s="1146"/>
      <c r="AE3" s="1146"/>
      <c r="AF3" s="1146"/>
      <c r="AG3" s="1146"/>
      <c r="AH3" s="1146"/>
      <c r="AI3" s="1146"/>
      <c r="AJ3" s="1146"/>
      <c r="AK3" s="1146"/>
      <c r="AL3" s="1146"/>
      <c r="AM3" s="1146"/>
      <c r="AN3" s="1146"/>
      <c r="AO3" s="1146"/>
      <c r="AP3" s="1146"/>
      <c r="AQ3" s="1146"/>
      <c r="AR3" s="1146"/>
      <c r="AS3" s="1146"/>
      <c r="AT3" s="1146"/>
      <c r="AU3" s="1146"/>
      <c r="AV3" s="1146"/>
      <c r="AW3" s="1146"/>
      <c r="AX3" s="1146"/>
      <c r="AY3" s="1146"/>
      <c r="AZ3" s="1146"/>
      <c r="BA3" s="1146"/>
      <c r="BB3" s="1146"/>
      <c r="BC3" s="1146"/>
      <c r="BD3" s="1146"/>
      <c r="BE3" s="1146"/>
      <c r="BI3" s="272" t="s">
        <v>261</v>
      </c>
    </row>
    <row r="4" spans="2:76" ht="15" customHeight="1">
      <c r="B4" s="1147"/>
      <c r="C4" s="1147"/>
      <c r="D4" s="1147"/>
      <c r="E4" s="1147"/>
      <c r="F4" s="1147"/>
      <c r="G4" s="1147"/>
      <c r="H4" s="1147"/>
      <c r="I4" s="1147"/>
      <c r="J4" s="1147"/>
      <c r="K4" s="1147"/>
      <c r="L4" s="1147"/>
      <c r="M4" s="1147"/>
      <c r="N4" s="1147"/>
      <c r="O4" s="1147"/>
      <c r="P4" s="1147"/>
      <c r="Q4" s="1147"/>
      <c r="R4" s="1147"/>
      <c r="S4" s="1147"/>
      <c r="T4" s="1147"/>
      <c r="U4" s="1147"/>
      <c r="V4" s="1147"/>
      <c r="W4" s="1147"/>
      <c r="X4" s="1147"/>
      <c r="Y4" s="1147"/>
      <c r="Z4" s="1147"/>
      <c r="AA4" s="1147"/>
      <c r="AB4" s="1147"/>
      <c r="AC4" s="1147"/>
      <c r="AD4" s="1147"/>
      <c r="AE4" s="1147"/>
      <c r="AF4" s="1147"/>
      <c r="AG4" s="1147"/>
      <c r="AH4" s="1147"/>
      <c r="AI4" s="1147"/>
      <c r="AJ4" s="1147"/>
      <c r="AK4" s="1147"/>
      <c r="AL4" s="1147"/>
      <c r="AM4" s="1147"/>
      <c r="AN4" s="1147"/>
      <c r="AO4" s="1147"/>
      <c r="AP4" s="1147"/>
      <c r="AQ4" s="1147"/>
      <c r="AR4" s="1147"/>
      <c r="AS4" s="1147"/>
      <c r="AT4" s="1147"/>
      <c r="AU4" s="1147"/>
      <c r="AV4" s="1147"/>
      <c r="AW4" s="1147"/>
      <c r="AX4" s="1147"/>
      <c r="AY4" s="1147"/>
      <c r="AZ4" s="1147"/>
      <c r="BA4" s="1147"/>
      <c r="BB4" s="1147"/>
      <c r="BC4" s="1147"/>
      <c r="BD4" s="1147"/>
      <c r="BE4" s="1147"/>
      <c r="BI4" s="273" t="s">
        <v>23</v>
      </c>
      <c r="BJ4" s="273" t="s">
        <v>36</v>
      </c>
      <c r="BK4" s="273" t="s">
        <v>698</v>
      </c>
      <c r="BL4" s="273" t="s">
        <v>699</v>
      </c>
      <c r="BM4" s="273" t="s">
        <v>700</v>
      </c>
      <c r="BN4" s="273" t="s">
        <v>701</v>
      </c>
      <c r="BO4" s="273" t="s">
        <v>702</v>
      </c>
      <c r="BP4" s="273" t="s">
        <v>703</v>
      </c>
      <c r="BQ4" s="273" t="s">
        <v>704</v>
      </c>
      <c r="BR4" s="273" t="s">
        <v>705</v>
      </c>
      <c r="BS4" s="273" t="s">
        <v>706</v>
      </c>
      <c r="BT4" s="273" t="s">
        <v>707</v>
      </c>
      <c r="BU4" s="273" t="s">
        <v>708</v>
      </c>
      <c r="BV4" s="273" t="s">
        <v>709</v>
      </c>
      <c r="BX4" s="274" t="s">
        <v>262</v>
      </c>
    </row>
    <row r="5" spans="2:76" ht="15" customHeight="1">
      <c r="B5" s="1324" t="str">
        <f>PR!BI1</f>
        <v>Payroll - ACT (Accurate, Compliant &amp; Timely Pay)</v>
      </c>
      <c r="C5" s="1325"/>
      <c r="D5" s="1325"/>
      <c r="E5" s="1325"/>
      <c r="F5" s="1325"/>
      <c r="G5" s="1325"/>
      <c r="H5" s="1325"/>
      <c r="I5" s="1325"/>
      <c r="J5" s="1325"/>
      <c r="K5" s="1325"/>
      <c r="L5" s="1325"/>
      <c r="M5" s="1325"/>
      <c r="N5" s="1325"/>
      <c r="O5" s="1325"/>
      <c r="P5" s="1325"/>
      <c r="Q5" s="1325"/>
      <c r="R5" s="1325"/>
      <c r="S5" s="1325"/>
      <c r="T5" s="1325"/>
      <c r="U5" s="1325"/>
      <c r="V5" s="1325"/>
      <c r="W5" s="1325"/>
      <c r="X5" s="1325"/>
      <c r="Y5" s="1325"/>
      <c r="Z5" s="1325"/>
      <c r="AA5" s="1325"/>
      <c r="AB5" s="1325"/>
      <c r="AC5" s="1325"/>
      <c r="AD5" s="1325"/>
      <c r="AE5" s="1325"/>
      <c r="AF5" s="1325"/>
      <c r="AG5" s="1325"/>
      <c r="AH5" s="1325"/>
      <c r="AI5" s="1325"/>
      <c r="AJ5" s="1325"/>
      <c r="AK5" s="1325"/>
      <c r="AL5" s="1325"/>
      <c r="AM5" s="1325"/>
      <c r="AN5" s="1325"/>
      <c r="AO5" s="1325"/>
      <c r="AP5" s="1325"/>
      <c r="AQ5" s="1325"/>
      <c r="AR5" s="1325"/>
      <c r="AS5" s="684"/>
      <c r="AT5" s="684"/>
      <c r="AU5" s="684"/>
      <c r="AV5" s="684"/>
      <c r="AW5" s="684"/>
      <c r="AX5" s="684"/>
      <c r="AY5" s="684"/>
      <c r="AZ5" s="684"/>
      <c r="BA5" s="684"/>
      <c r="BB5" s="684"/>
      <c r="BC5" s="684"/>
      <c r="BD5" s="684"/>
      <c r="BE5" s="631" t="str">
        <f>Cover!M34</f>
        <v>OCT FY-24</v>
      </c>
      <c r="BI5" s="273" t="s">
        <v>37</v>
      </c>
      <c r="BJ5" s="273">
        <v>-1</v>
      </c>
      <c r="BK5" s="273">
        <v>1</v>
      </c>
      <c r="BL5" s="273">
        <v>2</v>
      </c>
      <c r="BM5" s="273">
        <v>3</v>
      </c>
      <c r="BN5" s="273">
        <v>4</v>
      </c>
      <c r="BO5" s="273">
        <v>5</v>
      </c>
      <c r="BP5" s="273">
        <v>6</v>
      </c>
      <c r="BQ5" s="273">
        <v>7</v>
      </c>
      <c r="BR5" s="273">
        <v>8</v>
      </c>
      <c r="BS5" s="273">
        <v>9</v>
      </c>
      <c r="BT5" s="273">
        <v>10</v>
      </c>
      <c r="BU5" s="273">
        <v>11</v>
      </c>
      <c r="BV5" s="273">
        <v>12</v>
      </c>
      <c r="BX5" s="271">
        <f>Cover!M36</f>
        <v>1</v>
      </c>
    </row>
    <row r="6" spans="2:76" ht="15" customHeight="1">
      <c r="BI6" s="271" t="s">
        <v>263</v>
      </c>
      <c r="BJ6" s="632">
        <v>37</v>
      </c>
      <c r="BK6" s="633">
        <f>BJ14-BJ13</f>
        <v>38</v>
      </c>
      <c r="BL6" s="633">
        <f>BK14-BK13</f>
        <v>37</v>
      </c>
      <c r="BM6" s="633">
        <f>BL14-BL13</f>
        <v>37</v>
      </c>
      <c r="BN6" s="633">
        <f>BM14-BM13</f>
        <v>37</v>
      </c>
      <c r="BO6" s="633">
        <f>BN14-BN13</f>
        <v>37</v>
      </c>
      <c r="BP6" s="633">
        <f t="shared" ref="BP6:BV6" si="0">BO14-BO13</f>
        <v>37</v>
      </c>
      <c r="BQ6" s="633">
        <f t="shared" si="0"/>
        <v>37</v>
      </c>
      <c r="BR6" s="633">
        <f t="shared" si="0"/>
        <v>37</v>
      </c>
      <c r="BS6" s="633">
        <f t="shared" si="0"/>
        <v>37</v>
      </c>
      <c r="BT6" s="633">
        <f t="shared" si="0"/>
        <v>37</v>
      </c>
      <c r="BU6" s="633">
        <f t="shared" si="0"/>
        <v>37</v>
      </c>
      <c r="BV6" s="633">
        <f t="shared" si="0"/>
        <v>37</v>
      </c>
    </row>
    <row r="7" spans="2:76" ht="15" customHeight="1">
      <c r="B7" s="531" t="s">
        <v>419</v>
      </c>
      <c r="C7" s="532"/>
      <c r="D7" s="532"/>
      <c r="E7" s="532"/>
      <c r="F7" s="532"/>
      <c r="G7" s="532"/>
      <c r="H7" s="532"/>
      <c r="I7" s="532"/>
      <c r="J7" s="532"/>
      <c r="K7" s="532"/>
      <c r="L7" s="532"/>
      <c r="M7" s="532"/>
      <c r="N7" s="532"/>
      <c r="O7" s="532"/>
      <c r="P7" s="532"/>
      <c r="Q7" s="532"/>
      <c r="R7" s="532"/>
      <c r="S7" s="532"/>
      <c r="T7" s="532"/>
      <c r="U7" s="532"/>
      <c r="V7" s="532"/>
      <c r="W7" s="532"/>
      <c r="X7" s="532"/>
      <c r="Y7" s="532"/>
      <c r="Z7" s="532"/>
      <c r="AA7" s="532"/>
      <c r="AB7" s="532"/>
      <c r="AE7" s="531" t="s">
        <v>265</v>
      </c>
      <c r="AF7" s="532"/>
      <c r="AG7" s="532"/>
      <c r="AH7" s="532"/>
      <c r="AI7" s="532"/>
      <c r="AJ7" s="532"/>
      <c r="AK7" s="532"/>
      <c r="AL7" s="532"/>
      <c r="AM7" s="532"/>
      <c r="AN7" s="532"/>
      <c r="AO7" s="532"/>
      <c r="AP7" s="532"/>
      <c r="AQ7" s="532"/>
      <c r="AR7" s="532"/>
      <c r="AS7" s="532"/>
      <c r="AT7" s="532"/>
      <c r="AU7" s="532"/>
      <c r="AV7" s="532"/>
      <c r="AW7" s="532"/>
      <c r="AX7" s="532"/>
      <c r="AY7" s="532"/>
      <c r="AZ7" s="532"/>
      <c r="BA7" s="532"/>
      <c r="BB7" s="532"/>
      <c r="BC7" s="532"/>
      <c r="BD7" s="532"/>
      <c r="BE7" s="532"/>
      <c r="BI7" s="271" t="s">
        <v>266</v>
      </c>
      <c r="BJ7" s="632"/>
      <c r="BK7" s="880">
        <v>-1</v>
      </c>
      <c r="BL7" s="632"/>
      <c r="BM7" s="632"/>
      <c r="BN7" s="632"/>
      <c r="BO7" s="632"/>
      <c r="BP7" s="632"/>
      <c r="BQ7" s="632"/>
      <c r="BR7" s="880"/>
      <c r="BS7" s="632"/>
      <c r="BT7" s="880"/>
      <c r="BU7" s="880"/>
      <c r="BV7" s="880"/>
    </row>
    <row r="8" spans="2:76" ht="15" customHeight="1">
      <c r="B8" s="1137" t="s">
        <v>737</v>
      </c>
      <c r="C8" s="1138"/>
      <c r="D8" s="1138"/>
      <c r="E8" s="1138"/>
      <c r="F8" s="1138"/>
      <c r="G8" s="1138"/>
      <c r="H8" s="1138"/>
      <c r="I8" s="1138"/>
      <c r="J8" s="1138"/>
      <c r="K8" s="1138"/>
      <c r="L8" s="1138"/>
      <c r="M8" s="1138"/>
      <c r="N8" s="1138"/>
      <c r="O8" s="1138"/>
      <c r="P8" s="1138"/>
      <c r="Q8" s="1138"/>
      <c r="R8" s="1138"/>
      <c r="S8" s="1138"/>
      <c r="T8" s="1138"/>
      <c r="U8" s="1138"/>
      <c r="V8" s="1138"/>
      <c r="W8" s="1138"/>
      <c r="X8" s="1138"/>
      <c r="Y8" s="1138"/>
      <c r="Z8" s="1138"/>
      <c r="AA8" s="1138"/>
      <c r="AB8" s="1139"/>
      <c r="AE8" s="1137" t="s">
        <v>420</v>
      </c>
      <c r="AF8" s="1138"/>
      <c r="AG8" s="1138"/>
      <c r="AH8" s="1138"/>
      <c r="AI8" s="1138"/>
      <c r="AJ8" s="1138"/>
      <c r="AK8" s="1138"/>
      <c r="AL8" s="1138"/>
      <c r="AM8" s="1138"/>
      <c r="AN8" s="1138"/>
      <c r="AO8" s="1138"/>
      <c r="AP8" s="1138"/>
      <c r="AQ8" s="1138"/>
      <c r="AR8" s="1138"/>
      <c r="AS8" s="1138"/>
      <c r="AT8" s="1138"/>
      <c r="AU8" s="1138"/>
      <c r="AV8" s="1138"/>
      <c r="AW8" s="1138"/>
      <c r="AX8" s="1138"/>
      <c r="AY8" s="1138"/>
      <c r="AZ8" s="1138"/>
      <c r="BA8" s="1138"/>
      <c r="BB8" s="1138"/>
      <c r="BC8" s="1138"/>
      <c r="BD8" s="1138"/>
      <c r="BE8" s="1139"/>
      <c r="BI8" s="271" t="s">
        <v>269</v>
      </c>
      <c r="BJ8" s="632">
        <v>1</v>
      </c>
      <c r="BK8" s="880"/>
      <c r="BL8" s="632"/>
      <c r="BM8" s="632"/>
      <c r="BN8" s="632"/>
      <c r="BO8" s="632"/>
      <c r="BP8" s="632"/>
      <c r="BQ8" s="632"/>
      <c r="BR8" s="880"/>
      <c r="BS8" s="632"/>
      <c r="BT8" s="880"/>
      <c r="BU8" s="880"/>
      <c r="BV8" s="880"/>
    </row>
    <row r="9" spans="2:76" ht="15" customHeight="1">
      <c r="B9" s="1140"/>
      <c r="C9" s="1141"/>
      <c r="D9" s="1141"/>
      <c r="E9" s="1141"/>
      <c r="F9" s="1141"/>
      <c r="G9" s="1141"/>
      <c r="H9" s="1141"/>
      <c r="I9" s="1141"/>
      <c r="J9" s="1141"/>
      <c r="K9" s="1141"/>
      <c r="L9" s="1141"/>
      <c r="M9" s="1141"/>
      <c r="N9" s="1141"/>
      <c r="O9" s="1141"/>
      <c r="P9" s="1141"/>
      <c r="Q9" s="1141"/>
      <c r="R9" s="1141"/>
      <c r="S9" s="1141"/>
      <c r="T9" s="1141"/>
      <c r="U9" s="1141"/>
      <c r="V9" s="1141"/>
      <c r="W9" s="1141"/>
      <c r="X9" s="1141"/>
      <c r="Y9" s="1141"/>
      <c r="Z9" s="1141"/>
      <c r="AA9" s="1141"/>
      <c r="AB9" s="1142"/>
      <c r="AE9" s="1140"/>
      <c r="AF9" s="1141"/>
      <c r="AG9" s="1141"/>
      <c r="AH9" s="1141"/>
      <c r="AI9" s="1141"/>
      <c r="AJ9" s="1141"/>
      <c r="AK9" s="1141"/>
      <c r="AL9" s="1141"/>
      <c r="AM9" s="1141"/>
      <c r="AN9" s="1141"/>
      <c r="AO9" s="1141"/>
      <c r="AP9" s="1141"/>
      <c r="AQ9" s="1141"/>
      <c r="AR9" s="1141"/>
      <c r="AS9" s="1141"/>
      <c r="AT9" s="1141"/>
      <c r="AU9" s="1141"/>
      <c r="AV9" s="1141"/>
      <c r="AW9" s="1141"/>
      <c r="AX9" s="1141"/>
      <c r="AY9" s="1141"/>
      <c r="AZ9" s="1141"/>
      <c r="BA9" s="1141"/>
      <c r="BB9" s="1141"/>
      <c r="BC9" s="1141"/>
      <c r="BD9" s="1141"/>
      <c r="BE9" s="1142"/>
      <c r="BI9" s="271" t="s">
        <v>270</v>
      </c>
      <c r="BJ9" s="632"/>
      <c r="BK9" s="880"/>
      <c r="BL9" s="632"/>
      <c r="BM9" s="632"/>
      <c r="BN9" s="632"/>
      <c r="BO9" s="632"/>
      <c r="BP9" s="632"/>
      <c r="BQ9" s="632"/>
      <c r="BR9" s="880"/>
      <c r="BS9" s="632"/>
      <c r="BT9" s="880"/>
      <c r="BU9" s="880"/>
      <c r="BV9" s="880"/>
    </row>
    <row r="10" spans="2:76" ht="15" customHeight="1">
      <c r="B10" s="1140"/>
      <c r="C10" s="1141"/>
      <c r="D10" s="1141"/>
      <c r="E10" s="1141"/>
      <c r="F10" s="1141"/>
      <c r="G10" s="1141"/>
      <c r="H10" s="1141"/>
      <c r="I10" s="1141"/>
      <c r="J10" s="1141"/>
      <c r="K10" s="1141"/>
      <c r="L10" s="1141"/>
      <c r="M10" s="1141"/>
      <c r="N10" s="1141"/>
      <c r="O10" s="1141"/>
      <c r="P10" s="1141"/>
      <c r="Q10" s="1141"/>
      <c r="R10" s="1141"/>
      <c r="S10" s="1141"/>
      <c r="T10" s="1141"/>
      <c r="U10" s="1141"/>
      <c r="V10" s="1141"/>
      <c r="W10" s="1141"/>
      <c r="X10" s="1141"/>
      <c r="Y10" s="1141"/>
      <c r="Z10" s="1141"/>
      <c r="AA10" s="1141"/>
      <c r="AB10" s="1142"/>
      <c r="AE10" s="1140"/>
      <c r="AF10" s="1141"/>
      <c r="AG10" s="1141"/>
      <c r="AH10" s="1141"/>
      <c r="AI10" s="1141"/>
      <c r="AJ10" s="1141"/>
      <c r="AK10" s="1141"/>
      <c r="AL10" s="1141"/>
      <c r="AM10" s="1141"/>
      <c r="AN10" s="1141"/>
      <c r="AO10" s="1141"/>
      <c r="AP10" s="1141"/>
      <c r="AQ10" s="1141"/>
      <c r="AR10" s="1141"/>
      <c r="AS10" s="1141"/>
      <c r="AT10" s="1141"/>
      <c r="AU10" s="1141"/>
      <c r="AV10" s="1141"/>
      <c r="AW10" s="1141"/>
      <c r="AX10" s="1141"/>
      <c r="AY10" s="1141"/>
      <c r="AZ10" s="1141"/>
      <c r="BA10" s="1141"/>
      <c r="BB10" s="1141"/>
      <c r="BC10" s="1141"/>
      <c r="BD10" s="1141"/>
      <c r="BE10" s="1142"/>
      <c r="BI10" s="271" t="s">
        <v>271</v>
      </c>
      <c r="BJ10" s="632"/>
      <c r="BK10" s="880"/>
      <c r="BL10" s="632"/>
      <c r="BM10" s="632"/>
      <c r="BN10" s="632"/>
      <c r="BO10" s="632"/>
      <c r="BP10" s="632"/>
      <c r="BQ10" s="632"/>
      <c r="BR10" s="880"/>
      <c r="BS10" s="632"/>
      <c r="BT10" s="880"/>
      <c r="BU10" s="880"/>
      <c r="BV10" s="880"/>
    </row>
    <row r="11" spans="2:76" ht="15" customHeight="1">
      <c r="B11" s="1143"/>
      <c r="C11" s="1144"/>
      <c r="D11" s="1144"/>
      <c r="E11" s="1144"/>
      <c r="F11" s="1144"/>
      <c r="G11" s="1144"/>
      <c r="H11" s="1144"/>
      <c r="I11" s="1144"/>
      <c r="J11" s="1144"/>
      <c r="K11" s="1144"/>
      <c r="L11" s="1144"/>
      <c r="M11" s="1144"/>
      <c r="N11" s="1144"/>
      <c r="O11" s="1144"/>
      <c r="P11" s="1144"/>
      <c r="Q11" s="1144"/>
      <c r="R11" s="1144"/>
      <c r="S11" s="1144"/>
      <c r="T11" s="1144"/>
      <c r="U11" s="1144"/>
      <c r="V11" s="1144"/>
      <c r="W11" s="1144"/>
      <c r="X11" s="1144"/>
      <c r="Y11" s="1144"/>
      <c r="Z11" s="1144"/>
      <c r="AA11" s="1144"/>
      <c r="AB11" s="1145"/>
      <c r="AE11" s="1143"/>
      <c r="AF11" s="1144"/>
      <c r="AG11" s="1144"/>
      <c r="AH11" s="1144"/>
      <c r="AI11" s="1144"/>
      <c r="AJ11" s="1144"/>
      <c r="AK11" s="1144"/>
      <c r="AL11" s="1144"/>
      <c r="AM11" s="1144"/>
      <c r="AN11" s="1144"/>
      <c r="AO11" s="1144"/>
      <c r="AP11" s="1144"/>
      <c r="AQ11" s="1144"/>
      <c r="AR11" s="1144"/>
      <c r="AS11" s="1144"/>
      <c r="AT11" s="1144"/>
      <c r="AU11" s="1144"/>
      <c r="AV11" s="1144"/>
      <c r="AW11" s="1144"/>
      <c r="AX11" s="1144"/>
      <c r="AY11" s="1144"/>
      <c r="AZ11" s="1144"/>
      <c r="BA11" s="1144"/>
      <c r="BB11" s="1144"/>
      <c r="BC11" s="1144"/>
      <c r="BD11" s="1144"/>
      <c r="BE11" s="1145"/>
      <c r="BI11" s="271" t="s">
        <v>272</v>
      </c>
      <c r="BJ11" s="632"/>
      <c r="BK11" s="880"/>
      <c r="BL11" s="632"/>
      <c r="BM11" s="632"/>
      <c r="BN11" s="632"/>
      <c r="BO11" s="632"/>
      <c r="BP11" s="632"/>
      <c r="BQ11" s="632"/>
      <c r="BR11" s="880"/>
      <c r="BS11" s="632"/>
      <c r="BT11" s="880"/>
      <c r="BU11" s="880"/>
      <c r="BV11" s="880"/>
    </row>
    <row r="12" spans="2:76" ht="15" customHeight="1">
      <c r="BI12" s="271" t="s">
        <v>273</v>
      </c>
      <c r="BJ12" s="632"/>
      <c r="BK12" s="880"/>
      <c r="BL12" s="632"/>
      <c r="BM12" s="632"/>
      <c r="BN12" s="632"/>
      <c r="BO12" s="632"/>
      <c r="BP12" s="632"/>
      <c r="BQ12" s="632"/>
      <c r="BR12" s="880"/>
      <c r="BS12" s="632"/>
      <c r="BT12" s="880"/>
      <c r="BU12" s="880"/>
      <c r="BV12" s="880"/>
    </row>
    <row r="13" spans="2:76" ht="15" customHeight="1">
      <c r="B13" s="531" t="s">
        <v>14</v>
      </c>
      <c r="C13" s="533"/>
      <c r="D13" s="533"/>
      <c r="E13" s="533"/>
      <c r="F13" s="532"/>
      <c r="G13" s="532"/>
      <c r="H13" s="532"/>
      <c r="I13" s="532"/>
      <c r="J13" s="532"/>
      <c r="K13" s="532"/>
      <c r="L13" s="532"/>
      <c r="M13" s="532"/>
      <c r="N13" s="532"/>
      <c r="O13" s="532"/>
      <c r="P13" s="532"/>
      <c r="Q13" s="532"/>
      <c r="R13" s="532"/>
      <c r="S13" s="532"/>
      <c r="T13" s="532"/>
      <c r="U13" s="532"/>
      <c r="V13" s="532"/>
      <c r="W13" s="532"/>
      <c r="X13" s="532"/>
      <c r="Y13" s="532"/>
      <c r="Z13" s="532"/>
      <c r="AA13" s="532"/>
      <c r="AB13" s="532"/>
      <c r="AE13" s="534" t="s">
        <v>59</v>
      </c>
      <c r="AF13" s="535"/>
      <c r="AG13" s="536"/>
      <c r="AH13" s="537"/>
      <c r="AI13" s="538"/>
      <c r="AJ13" s="538"/>
      <c r="AK13" s="538"/>
      <c r="AL13" s="538"/>
      <c r="AM13" s="538"/>
      <c r="AN13" s="538"/>
      <c r="AO13" s="538"/>
      <c r="AP13" s="538"/>
      <c r="AQ13" s="538"/>
      <c r="AR13" s="538"/>
      <c r="AS13" s="538"/>
      <c r="AT13" s="538"/>
      <c r="AU13" s="538"/>
      <c r="AV13" s="538"/>
      <c r="AW13" s="538"/>
      <c r="AX13" s="538"/>
      <c r="AY13" s="538"/>
      <c r="AZ13" s="538"/>
      <c r="BA13" s="538"/>
      <c r="BB13" s="538"/>
      <c r="BC13" s="538"/>
      <c r="BD13" s="538"/>
      <c r="BE13" s="538"/>
      <c r="BI13" s="271" t="s">
        <v>274</v>
      </c>
      <c r="BJ13" s="632"/>
      <c r="BK13" s="880"/>
      <c r="BL13" s="632"/>
      <c r="BM13" s="632"/>
      <c r="BN13" s="632"/>
      <c r="BO13" s="632"/>
      <c r="BP13" s="632"/>
      <c r="BQ13" s="632"/>
      <c r="BR13" s="880"/>
      <c r="BS13" s="632"/>
      <c r="BT13" s="880"/>
      <c r="BU13" s="880"/>
      <c r="BV13" s="880"/>
    </row>
    <row r="14" spans="2:76" ht="15" customHeight="1">
      <c r="B14" s="302"/>
      <c r="C14" s="302"/>
      <c r="D14" s="302"/>
      <c r="E14" s="302"/>
      <c r="F14" s="302"/>
      <c r="G14" s="302"/>
      <c r="H14" s="302"/>
      <c r="I14" s="303"/>
      <c r="J14" s="303"/>
      <c r="K14" s="304"/>
      <c r="L14" s="302"/>
      <c r="M14" s="302"/>
      <c r="N14" s="305"/>
      <c r="O14" s="302"/>
      <c r="P14" s="302"/>
      <c r="Q14" s="302"/>
      <c r="R14" s="302"/>
      <c r="S14" s="302"/>
      <c r="T14" s="302"/>
      <c r="U14" s="302"/>
      <c r="V14" s="1132"/>
      <c r="W14" s="1132"/>
      <c r="X14" s="302"/>
      <c r="Y14" s="302"/>
      <c r="Z14" s="302"/>
      <c r="AA14" s="302"/>
      <c r="AB14" s="302"/>
      <c r="AE14" s="306"/>
      <c r="AF14" s="302"/>
      <c r="AG14" s="302"/>
      <c r="AH14" s="302"/>
      <c r="AI14" s="302"/>
      <c r="AJ14" s="302"/>
      <c r="AK14" s="307"/>
      <c r="AL14" s="307"/>
      <c r="AM14" s="307"/>
      <c r="AN14" s="307"/>
      <c r="AO14" s="308"/>
      <c r="AP14" s="309"/>
      <c r="AQ14" s="309"/>
      <c r="AR14" s="309"/>
      <c r="AS14" s="307"/>
      <c r="AT14" s="308"/>
      <c r="AU14" s="307"/>
      <c r="AV14" s="307"/>
      <c r="AW14" s="307"/>
      <c r="AX14" s="302"/>
      <c r="AY14" s="302"/>
      <c r="AZ14" s="302"/>
      <c r="BA14" s="302"/>
      <c r="BB14" s="302"/>
      <c r="BC14" s="302"/>
      <c r="BD14" s="302"/>
      <c r="BE14" s="302"/>
      <c r="BI14" s="271" t="s">
        <v>41</v>
      </c>
      <c r="BJ14" s="275">
        <f t="shared" ref="BJ14:BO14" si="1">SUM(BJ6:BJ13)</f>
        <v>38</v>
      </c>
      <c r="BK14" s="275">
        <f t="shared" si="1"/>
        <v>37</v>
      </c>
      <c r="BL14" s="275">
        <f t="shared" si="1"/>
        <v>37</v>
      </c>
      <c r="BM14" s="275">
        <f t="shared" si="1"/>
        <v>37</v>
      </c>
      <c r="BN14" s="275">
        <f t="shared" si="1"/>
        <v>37</v>
      </c>
      <c r="BO14" s="275">
        <f t="shared" si="1"/>
        <v>37</v>
      </c>
      <c r="BP14" s="275">
        <f t="shared" ref="BP14:BV14" si="2">SUM(BP6:BP13)</f>
        <v>37</v>
      </c>
      <c r="BQ14" s="275">
        <f t="shared" si="2"/>
        <v>37</v>
      </c>
      <c r="BR14" s="275">
        <f t="shared" si="2"/>
        <v>37</v>
      </c>
      <c r="BS14" s="275">
        <f t="shared" si="2"/>
        <v>37</v>
      </c>
      <c r="BT14" s="275">
        <f t="shared" si="2"/>
        <v>37</v>
      </c>
      <c r="BU14" s="275">
        <f t="shared" si="2"/>
        <v>37</v>
      </c>
      <c r="BV14" s="275">
        <f t="shared" si="2"/>
        <v>37</v>
      </c>
    </row>
    <row r="15" spans="2:76" ht="15" customHeight="1">
      <c r="B15" s="1128" t="s">
        <v>185</v>
      </c>
      <c r="C15" s="1128"/>
      <c r="D15" s="1128"/>
      <c r="E15" s="1128"/>
      <c r="F15" s="1128"/>
      <c r="G15" s="1128"/>
      <c r="I15" s="1128" t="s">
        <v>275</v>
      </c>
      <c r="J15" s="1134"/>
      <c r="K15" s="1134"/>
      <c r="L15" s="1134"/>
      <c r="M15" s="1134"/>
      <c r="N15" s="1134"/>
      <c r="O15" s="1134"/>
      <c r="P15" s="1134"/>
      <c r="Q15" s="1134"/>
      <c r="R15" s="1134"/>
      <c r="S15" s="1134"/>
      <c r="T15" s="1134"/>
      <c r="U15" s="1134"/>
      <c r="V15" s="1134"/>
      <c r="W15" s="310"/>
      <c r="X15" s="1135" t="s">
        <v>360</v>
      </c>
      <c r="Y15" s="1136"/>
      <c r="Z15" s="1136"/>
      <c r="AA15" s="1136"/>
      <c r="AB15" s="1136"/>
      <c r="AE15" s="1128" t="s">
        <v>277</v>
      </c>
      <c r="AF15" s="1128"/>
      <c r="AG15" s="1128"/>
      <c r="AH15" s="1128"/>
      <c r="AI15" s="1128"/>
      <c r="AJ15" s="1128"/>
      <c r="AK15" s="311"/>
      <c r="AL15" s="1129" t="s">
        <v>62</v>
      </c>
      <c r="AM15" s="1129"/>
      <c r="AN15" s="1129"/>
      <c r="AO15" s="1129"/>
      <c r="AP15" s="1128" t="str">
        <f>CONCATENATE(Cover!M36,"+",12-Cover!M36)</f>
        <v>1+11</v>
      </c>
      <c r="AQ15" s="1128"/>
      <c r="AR15" s="311"/>
      <c r="AS15" s="1128" t="s">
        <v>278</v>
      </c>
      <c r="AT15" s="1128"/>
      <c r="AU15" s="1128"/>
      <c r="AV15" s="1128"/>
      <c r="AW15" s="1128"/>
      <c r="AX15" s="1128"/>
      <c r="AY15" s="311"/>
      <c r="AZ15" s="1128" t="s">
        <v>279</v>
      </c>
      <c r="BA15" s="1128"/>
      <c r="BB15" s="1128"/>
      <c r="BC15" s="1128"/>
      <c r="BD15" s="1128"/>
      <c r="BE15" s="1128"/>
      <c r="BU15" s="398"/>
      <c r="BV15" s="6"/>
    </row>
    <row r="16" spans="2:76" ht="15" customHeight="1">
      <c r="E16" s="312" t="s">
        <v>263</v>
      </c>
      <c r="G16" s="313">
        <f>SUMIF(BJ4:BV4,BE5,BJ6:BV6)</f>
        <v>38</v>
      </c>
      <c r="I16" s="1112" t="s">
        <v>280</v>
      </c>
      <c r="J16" s="1113"/>
      <c r="K16" s="1113"/>
      <c r="L16" s="1114"/>
      <c r="N16" s="1112" t="s">
        <v>281</v>
      </c>
      <c r="O16" s="1113"/>
      <c r="P16" s="1113"/>
      <c r="Q16" s="1114"/>
      <c r="S16" s="1112" t="s">
        <v>282</v>
      </c>
      <c r="T16" s="1113"/>
      <c r="U16" s="1113"/>
      <c r="V16" s="1114"/>
      <c r="X16" s="314" t="s">
        <v>361</v>
      </c>
      <c r="Y16" s="315"/>
      <c r="Z16" s="316"/>
      <c r="AA16" s="314"/>
      <c r="AB16" s="314"/>
      <c r="AE16" s="311"/>
      <c r="AF16" s="311"/>
      <c r="AG16" s="311"/>
      <c r="AI16" s="311"/>
      <c r="AJ16" s="103" t="s">
        <v>61</v>
      </c>
      <c r="AK16" s="311"/>
      <c r="AL16" s="311"/>
      <c r="AM16" s="311"/>
      <c r="AN16" s="311"/>
      <c r="AO16" s="311"/>
      <c r="AP16" s="311"/>
      <c r="AQ16" s="311"/>
      <c r="AR16" s="311"/>
      <c r="AS16" s="311"/>
      <c r="AT16" s="311"/>
      <c r="AU16" s="311"/>
      <c r="AV16" s="311"/>
      <c r="AW16" s="311"/>
      <c r="AX16" s="311"/>
      <c r="AY16" s="311"/>
      <c r="AZ16" s="311"/>
      <c r="BA16" s="311"/>
      <c r="BB16" s="311"/>
      <c r="BC16" s="311"/>
      <c r="BD16" s="311"/>
      <c r="BE16" s="311"/>
      <c r="BI16" s="271" t="s">
        <v>284</v>
      </c>
      <c r="BJ16" s="635">
        <v>1</v>
      </c>
      <c r="BK16" s="635">
        <v>0</v>
      </c>
      <c r="BL16" s="635"/>
      <c r="BM16" s="635"/>
      <c r="BN16" s="635"/>
      <c r="BO16" s="635"/>
      <c r="BP16" s="635"/>
      <c r="BQ16" s="635"/>
      <c r="BR16" s="635"/>
      <c r="BS16" s="635"/>
      <c r="BT16" s="635"/>
      <c r="BU16" s="635"/>
      <c r="BV16" s="635"/>
    </row>
    <row r="17" spans="2:81" ht="15" customHeight="1">
      <c r="E17" s="312" t="s">
        <v>285</v>
      </c>
      <c r="G17" s="313">
        <f>V20</f>
        <v>-1</v>
      </c>
      <c r="I17" s="317"/>
      <c r="J17" s="312" t="s">
        <v>266</v>
      </c>
      <c r="K17" s="313">
        <f>SUMIF(BJ4:BV4,BE5,BJ7:BV7)</f>
        <v>-1</v>
      </c>
      <c r="L17" s="318"/>
      <c r="N17" s="317"/>
      <c r="O17" s="312" t="s">
        <v>286</v>
      </c>
      <c r="P17" s="313">
        <f>SUMIF(BJ4:BV4,BE5,BJ9:BV9)</f>
        <v>0</v>
      </c>
      <c r="Q17" s="318"/>
      <c r="S17" s="317"/>
      <c r="T17" s="312" t="s">
        <v>286</v>
      </c>
      <c r="U17" s="313">
        <f>SUMIF(BJ4:BV4,BE5,BJ11:BV11)</f>
        <v>0</v>
      </c>
      <c r="V17" s="319"/>
      <c r="X17" s="314" t="s">
        <v>287</v>
      </c>
      <c r="Y17" s="315"/>
      <c r="Z17" s="316"/>
      <c r="AA17" s="314">
        <f>SUMIF(Admin4!$B$5:$B$298,"7979",Admin4!$C$5:$C$298)</f>
        <v>0</v>
      </c>
      <c r="AB17" s="314"/>
      <c r="AE17" s="311"/>
      <c r="AF17" s="311"/>
      <c r="AG17" s="311"/>
      <c r="AI17" s="311"/>
      <c r="AJ17" s="320" t="s">
        <v>63</v>
      </c>
      <c r="AK17" s="311"/>
      <c r="AL17" s="311"/>
      <c r="AM17" s="311"/>
      <c r="AN17" s="1127">
        <f>SUMIF(Admin3!C8:O8,AR!BE5,Admin3!C167:O167)</f>
        <v>0</v>
      </c>
      <c r="AO17" s="1127"/>
      <c r="AP17" s="1127"/>
      <c r="AQ17" s="1127"/>
      <c r="AR17" s="311"/>
      <c r="AS17" s="311"/>
      <c r="AT17" s="311"/>
      <c r="AU17" s="1127">
        <f>SUMIF(Admin3!C8:O8,AR!BE5,Admin3!C171:O171)-SUMIF(Admin3!C8:O8,AR!BE5,Admin3!C167:O167)</f>
        <v>0</v>
      </c>
      <c r="AV17" s="1127"/>
      <c r="AW17" s="1127"/>
      <c r="AX17" s="1127"/>
      <c r="AY17" s="311"/>
      <c r="AZ17" s="311"/>
      <c r="BA17" s="311"/>
      <c r="BB17" s="1127">
        <f>SUMIF(Admin3!C8:O8,AR!BE5,Admin3!C175:O175)-SUMIF(Admin3!C8:O8,AR!BE5,Admin3!C167:O167)</f>
        <v>0</v>
      </c>
      <c r="BC17" s="1127"/>
      <c r="BD17" s="1127"/>
      <c r="BE17" s="1127"/>
      <c r="BV17" s="398"/>
    </row>
    <row r="18" spans="2:81" ht="15" customHeight="1">
      <c r="E18" s="312" t="s">
        <v>240</v>
      </c>
      <c r="G18" s="313">
        <f>SUMIF(BJ4:BV4,BE5,BJ13:BV13)</f>
        <v>0</v>
      </c>
      <c r="I18" s="321"/>
      <c r="J18" s="322" t="s">
        <v>288</v>
      </c>
      <c r="K18" s="323">
        <f>SUMIF(BJ4:BV4,BE5,BJ8:BV8)</f>
        <v>0</v>
      </c>
      <c r="L18" s="324"/>
      <c r="N18" s="321"/>
      <c r="O18" s="322" t="s">
        <v>289</v>
      </c>
      <c r="P18" s="323">
        <f>SUMIF(BJ4:BV4,BE5,BJ10:BV10)</f>
        <v>0</v>
      </c>
      <c r="Q18" s="324"/>
      <c r="S18" s="321"/>
      <c r="T18" s="322" t="s">
        <v>289</v>
      </c>
      <c r="U18" s="323">
        <f>SUMIF(BJ4:BV4,BE5,BJ12:BV12)</f>
        <v>0</v>
      </c>
      <c r="V18" s="325"/>
      <c r="X18" s="314"/>
      <c r="Y18" s="315"/>
      <c r="Z18" s="316"/>
      <c r="AA18" s="314"/>
      <c r="AB18" s="314"/>
      <c r="AE18" s="311"/>
      <c r="AF18" s="311"/>
      <c r="AG18" s="311"/>
      <c r="AH18" s="311"/>
      <c r="AI18" s="326"/>
      <c r="AJ18" s="320" t="s">
        <v>64</v>
      </c>
      <c r="AK18" s="311"/>
      <c r="AL18" s="311"/>
      <c r="AM18" s="311"/>
      <c r="AN18" s="1127">
        <f>SUMIF(Admin3!C8:O8,AR!BE5,Admin3!C168:O168)</f>
        <v>0</v>
      </c>
      <c r="AO18" s="1127"/>
      <c r="AP18" s="1127"/>
      <c r="AQ18" s="1127"/>
      <c r="AR18" s="311"/>
      <c r="AS18" s="311"/>
      <c r="AT18" s="311"/>
      <c r="AU18" s="1127">
        <f>SUMIF(Admin3!C8:O8,AR!BE5,Admin3!C172:O172)-SUMIF(Admin3!C8:O8,AR!BE5,Admin3!C168:O168)</f>
        <v>0</v>
      </c>
      <c r="AV18" s="1127"/>
      <c r="AW18" s="1127"/>
      <c r="AX18" s="1127"/>
      <c r="AY18" s="311"/>
      <c r="AZ18" s="311"/>
      <c r="BA18" s="311"/>
      <c r="BB18" s="1127">
        <f>SUMIF(Admin3!C8:O8,AR!BE5,Admin3!C176:O176)-SUMIF(Admin3!C8:O8,AR!BE5,Admin3!C168:O168)</f>
        <v>0</v>
      </c>
      <c r="BC18" s="1127"/>
      <c r="BD18" s="1127"/>
      <c r="BE18" s="1127"/>
      <c r="BV18" s="398"/>
    </row>
    <row r="19" spans="2:81" ht="15" customHeight="1" thickBot="1">
      <c r="E19" s="312" t="s">
        <v>41</v>
      </c>
      <c r="G19" s="327">
        <f>SUM(G16:G18)</f>
        <v>37</v>
      </c>
      <c r="I19" s="326"/>
      <c r="J19" s="326"/>
      <c r="K19" s="326"/>
      <c r="L19" s="326"/>
      <c r="M19" s="326"/>
      <c r="N19" s="326"/>
      <c r="O19" s="326"/>
      <c r="P19" s="326"/>
      <c r="Q19" s="326"/>
      <c r="R19" s="326"/>
      <c r="S19" s="326"/>
      <c r="T19" s="326"/>
      <c r="U19" s="326"/>
      <c r="V19" s="326"/>
      <c r="W19" s="326"/>
      <c r="X19" s="314" t="s">
        <v>290</v>
      </c>
      <c r="Y19" s="315"/>
      <c r="Z19" s="316"/>
      <c r="AA19" s="328"/>
      <c r="AB19" s="328"/>
      <c r="AE19" s="311"/>
      <c r="AF19" s="311"/>
      <c r="AG19" s="311"/>
      <c r="AH19" s="311"/>
      <c r="AJ19" s="320" t="s">
        <v>65</v>
      </c>
      <c r="AN19" s="1152">
        <f>SUM(AN17:AQ18)</f>
        <v>0</v>
      </c>
      <c r="AO19" s="1152"/>
      <c r="AP19" s="1152"/>
      <c r="AQ19" s="1152"/>
      <c r="AU19" s="1152">
        <f>SUM(AU17:AX18)</f>
        <v>0</v>
      </c>
      <c r="AV19" s="1152"/>
      <c r="AW19" s="1152"/>
      <c r="AX19" s="1152"/>
      <c r="BB19" s="1152">
        <f>SUM(BB17:BE18)</f>
        <v>0</v>
      </c>
      <c r="BC19" s="1152"/>
      <c r="BD19" s="1152"/>
      <c r="BE19" s="1152"/>
      <c r="BV19" s="398"/>
    </row>
    <row r="20" spans="2:81" ht="15" customHeight="1" thickTop="1" thickBot="1">
      <c r="B20" s="267"/>
      <c r="C20" s="267"/>
      <c r="D20" s="267"/>
      <c r="E20" s="312" t="s">
        <v>39</v>
      </c>
      <c r="G20" s="313">
        <f t="array" ref="G20">SUM(IF((Admin2!$C$6:$O$6=BE5)*(Admin2!$Q$9:$Q$83=BI2)*(Admin2!$B$9:$B$83="Annual Plan"),Admin2!$C$9:$O$83,0))</f>
        <v>39</v>
      </c>
      <c r="H20" s="326"/>
      <c r="I20" s="37" t="s">
        <v>284</v>
      </c>
      <c r="K20" s="326"/>
      <c r="L20" s="326"/>
      <c r="M20" s="329">
        <f>SUMIF(BJ4:BV4,BE5,BJ16:BV16)</f>
        <v>0</v>
      </c>
      <c r="T20" s="330" t="s">
        <v>291</v>
      </c>
      <c r="U20" s="326"/>
      <c r="V20" s="329">
        <f>SUM(K17:K18,P17:P18,U17:U18)</f>
        <v>-1</v>
      </c>
      <c r="X20" s="314" t="s">
        <v>287</v>
      </c>
      <c r="Y20" s="315"/>
      <c r="Z20" s="316"/>
      <c r="AA20" s="314">
        <f>SUMIF(Admin4!$B$5:$B$298,"7979",Admin4!$D$5:$D$298)</f>
        <v>0</v>
      </c>
      <c r="AB20" s="314"/>
      <c r="AC20" s="326"/>
      <c r="AD20" s="326"/>
      <c r="AE20" s="305"/>
      <c r="AF20" s="305"/>
      <c r="AG20" s="305"/>
      <c r="AH20" s="305"/>
      <c r="BI20" s="272" t="s">
        <v>245</v>
      </c>
      <c r="BJ20" s="276"/>
      <c r="BK20" s="276"/>
      <c r="BL20" s="276"/>
      <c r="BM20" s="276"/>
      <c r="BN20" s="276"/>
      <c r="BO20" s="276"/>
      <c r="BP20" s="276"/>
      <c r="BQ20" s="276"/>
      <c r="BR20" s="276"/>
      <c r="BS20" s="276"/>
      <c r="BT20" s="276"/>
      <c r="BU20" s="276"/>
    </row>
    <row r="21" spans="2:81" ht="15" customHeight="1" thickTop="1" thickBot="1">
      <c r="B21" s="267"/>
      <c r="C21" s="267"/>
      <c r="D21" s="267"/>
      <c r="E21" s="312" t="s">
        <v>40</v>
      </c>
      <c r="F21" s="326"/>
      <c r="G21" s="327">
        <f t="array" ref="G21">SUM(IF((Admin2!$C$6:$O$6=BE5)*(Admin2!$Q$9:$Q$61=BI2)*(Admin2!$B$9:$B$61="Forecast"),Admin2!$C$9:$O$61,0))</f>
        <v>39</v>
      </c>
      <c r="H21" s="326"/>
      <c r="X21" s="314"/>
      <c r="Y21" s="315"/>
      <c r="Z21" s="316"/>
      <c r="AA21" s="314"/>
      <c r="AB21" s="314"/>
      <c r="AE21" s="302"/>
      <c r="AF21" s="302"/>
      <c r="AG21" s="302"/>
      <c r="AH21" s="302"/>
      <c r="AI21" s="311"/>
      <c r="AJ21" s="103" t="s">
        <v>23</v>
      </c>
      <c r="AK21" s="311"/>
      <c r="AL21" s="311"/>
      <c r="AM21" s="311"/>
      <c r="AN21" s="311"/>
      <c r="AO21" s="311"/>
      <c r="AP21" s="311"/>
      <c r="AQ21" s="311"/>
      <c r="AR21" s="311"/>
      <c r="AS21" s="311"/>
      <c r="AT21" s="311"/>
      <c r="AU21" s="311"/>
      <c r="AV21" s="311"/>
      <c r="AW21" s="311"/>
      <c r="AX21" s="311"/>
      <c r="AY21" s="311"/>
      <c r="AZ21" s="311"/>
      <c r="BA21" s="311"/>
      <c r="BB21" s="311"/>
      <c r="BC21" s="311"/>
      <c r="BD21" s="311"/>
      <c r="BE21" s="311"/>
      <c r="BI21" s="54" t="s">
        <v>292</v>
      </c>
      <c r="BJ21" s="1116" t="s">
        <v>145</v>
      </c>
      <c r="BK21" s="1116"/>
      <c r="BL21" s="1116"/>
      <c r="BM21" s="1116"/>
      <c r="BN21" s="1116"/>
      <c r="BO21" s="1116"/>
      <c r="BP21" s="1116"/>
      <c r="BQ21" s="1116"/>
      <c r="BR21" s="1116"/>
      <c r="BS21" s="1116"/>
      <c r="BT21" s="1116"/>
      <c r="BU21" s="1116"/>
    </row>
    <row r="22" spans="2:81" ht="15" customHeight="1" thickTop="1" thickBot="1">
      <c r="B22" s="267"/>
      <c r="C22" s="267"/>
      <c r="D22" s="267"/>
      <c r="E22" s="312" t="s">
        <v>294</v>
      </c>
      <c r="F22" s="326"/>
      <c r="G22" s="327">
        <f>$G$20-$G$19</f>
        <v>2</v>
      </c>
      <c r="H22" s="326"/>
      <c r="K22" s="326"/>
      <c r="L22" s="326"/>
      <c r="U22" s="326"/>
      <c r="V22" s="326"/>
      <c r="W22" s="326"/>
      <c r="X22" s="314" t="s">
        <v>295</v>
      </c>
      <c r="Y22" s="315"/>
      <c r="Z22" s="316"/>
      <c r="AA22" s="328"/>
      <c r="AB22" s="331"/>
      <c r="AE22" s="302"/>
      <c r="AF22" s="302"/>
      <c r="AG22" s="302"/>
      <c r="AH22" s="302"/>
      <c r="AI22" s="311"/>
      <c r="AJ22" s="320" t="s">
        <v>63</v>
      </c>
      <c r="AK22" s="311"/>
      <c r="AL22" s="311"/>
      <c r="AM22" s="311"/>
      <c r="AN22" s="1127">
        <f>SUMIF(Admin3!C8:O8,AR!BE5,Admin3!C180:O180)</f>
        <v>0</v>
      </c>
      <c r="AO22" s="1127"/>
      <c r="AP22" s="1127"/>
      <c r="AQ22" s="1127"/>
      <c r="AR22" s="311"/>
      <c r="AS22" s="311"/>
      <c r="AT22" s="311"/>
      <c r="AU22" s="1127">
        <f>SUMIF(Admin3!C8:O8,AR!BE5,Admin3!C184:O184)-SUMIF(Admin3!C8:O8,AR!BE5,Admin3!C180:O180)</f>
        <v>0</v>
      </c>
      <c r="AV22" s="1127"/>
      <c r="AW22" s="1127"/>
      <c r="AX22" s="1127"/>
      <c r="AY22" s="311"/>
      <c r="AZ22" s="311"/>
      <c r="BA22" s="311"/>
      <c r="BB22" s="1127">
        <f>SUMIF(Admin3!C8:O8,AR!BE5,Admin3!C188:O188)-SUMIF(Admin3!C8:O8,AR!BE5,Admin3!C180:O180)</f>
        <v>0</v>
      </c>
      <c r="BC22" s="1127"/>
      <c r="BD22" s="1127"/>
      <c r="BE22" s="1127"/>
      <c r="BI22" s="54" t="s">
        <v>296</v>
      </c>
      <c r="BJ22" s="1233" t="s">
        <v>421</v>
      </c>
      <c r="BK22" s="1233"/>
      <c r="BL22" s="1233"/>
      <c r="BM22" s="1233"/>
      <c r="BN22" s="1233"/>
      <c r="BO22" s="1233"/>
      <c r="BP22" s="1233"/>
      <c r="BQ22" s="1233"/>
      <c r="BR22" s="1233"/>
      <c r="BS22" s="1233"/>
      <c r="BT22" s="1233"/>
      <c r="BU22" s="1233"/>
    </row>
    <row r="23" spans="2:81" ht="15" customHeight="1" thickTop="1" thickBot="1">
      <c r="B23" s="267"/>
      <c r="C23" s="267"/>
      <c r="D23" s="267"/>
      <c r="E23" s="312" t="s">
        <v>298</v>
      </c>
      <c r="F23" s="326"/>
      <c r="G23" s="327">
        <f>$G$21-$G$19</f>
        <v>2</v>
      </c>
      <c r="H23" s="326"/>
      <c r="I23" s="96"/>
      <c r="J23" s="96"/>
      <c r="K23" s="326"/>
      <c r="L23" s="326"/>
      <c r="U23" s="326"/>
      <c r="V23" s="326"/>
      <c r="W23" s="326"/>
      <c r="X23" s="314" t="s">
        <v>299</v>
      </c>
      <c r="Y23" s="315"/>
      <c r="Z23" s="316"/>
      <c r="AA23" s="314">
        <f>SUMIF(Admin4!$L$5:$L$298,"7979",Admin4!$N$5:$N$298)</f>
        <v>5</v>
      </c>
      <c r="AB23" s="331"/>
      <c r="AE23" s="302"/>
      <c r="AF23" s="302"/>
      <c r="AG23" s="302"/>
      <c r="AH23" s="302"/>
      <c r="AI23" s="302"/>
      <c r="AJ23" s="320" t="s">
        <v>64</v>
      </c>
      <c r="AK23" s="311"/>
      <c r="AL23" s="311"/>
      <c r="AM23" s="311"/>
      <c r="AN23" s="1127">
        <f>SUMIF(Admin3!C8:O8,AR!BE5,Admin3!C181:O181)</f>
        <v>0</v>
      </c>
      <c r="AO23" s="1127"/>
      <c r="AP23" s="1127"/>
      <c r="AQ23" s="1127"/>
      <c r="AR23" s="311"/>
      <c r="AS23" s="311"/>
      <c r="AT23" s="311"/>
      <c r="AU23" s="1127">
        <f>SUMIF(Admin3!C8:O8,AR!BE5,Admin3!C185:O185)-SUMIF(Admin3!C8:O8,AR!BE5,Admin3!C181:O181)</f>
        <v>0</v>
      </c>
      <c r="AV23" s="1127"/>
      <c r="AW23" s="1127"/>
      <c r="AX23" s="1127"/>
      <c r="AY23" s="311"/>
      <c r="AZ23" s="311"/>
      <c r="BA23" s="311"/>
      <c r="BB23" s="1127">
        <f>SUMIF(Admin3!C8:O8,AR!BE5,Admin3!C189:O189)-SUMIF(Admin3!C8:O8,AR!BE5,Admin3!C181:O181)</f>
        <v>0</v>
      </c>
      <c r="BC23" s="1127"/>
      <c r="BD23" s="1127"/>
      <c r="BE23" s="1127"/>
      <c r="BI23" s="54" t="s">
        <v>300</v>
      </c>
      <c r="BJ23" s="1233" t="s">
        <v>422</v>
      </c>
      <c r="BK23" s="1233"/>
      <c r="BL23" s="1233"/>
      <c r="BM23" s="1233"/>
      <c r="BN23" s="1233"/>
      <c r="BO23" s="1233"/>
      <c r="BP23" s="1233"/>
      <c r="BQ23" s="1233"/>
      <c r="BR23" s="1233"/>
      <c r="BS23" s="1233"/>
      <c r="BT23" s="1233"/>
      <c r="BU23" s="1233"/>
    </row>
    <row r="24" spans="2:81" ht="15" customHeight="1" thickTop="1" thickBot="1">
      <c r="B24" s="267"/>
      <c r="C24" s="267"/>
      <c r="D24" s="267"/>
      <c r="E24" s="312"/>
      <c r="F24" s="326"/>
      <c r="G24" s="96"/>
      <c r="H24" s="326"/>
      <c r="I24" s="96"/>
      <c r="J24" s="96"/>
      <c r="K24" s="326"/>
      <c r="L24" s="326"/>
      <c r="U24" s="326"/>
      <c r="V24" s="326"/>
      <c r="W24" s="326"/>
      <c r="X24" s="239"/>
      <c r="Y24" s="239"/>
      <c r="Z24" s="240"/>
      <c r="AA24" s="239"/>
      <c r="AB24" s="241"/>
      <c r="AE24" s="302"/>
      <c r="AF24" s="302"/>
      <c r="AG24" s="302"/>
      <c r="AH24" s="302"/>
      <c r="AI24" s="302"/>
      <c r="AJ24" s="320" t="s">
        <v>65</v>
      </c>
      <c r="AK24" s="311"/>
      <c r="AL24" s="311"/>
      <c r="AM24" s="311"/>
      <c r="AN24" s="1152">
        <f>SUM(AN22:AQ23)</f>
        <v>0</v>
      </c>
      <c r="AO24" s="1152"/>
      <c r="AP24" s="1152"/>
      <c r="AQ24" s="1152"/>
      <c r="AR24" s="311"/>
      <c r="AS24" s="311"/>
      <c r="AT24" s="311"/>
      <c r="AU24" s="1152">
        <f>SUM(AU22:AX23)</f>
        <v>0</v>
      </c>
      <c r="AV24" s="1152"/>
      <c r="AW24" s="1152"/>
      <c r="AX24" s="1152"/>
      <c r="AY24" s="311"/>
      <c r="AZ24" s="311"/>
      <c r="BA24" s="311"/>
      <c r="BB24" s="1152">
        <f>SUM(BB22:BE23)</f>
        <v>0</v>
      </c>
      <c r="BC24" s="1152"/>
      <c r="BD24" s="1152"/>
      <c r="BE24" s="1152"/>
      <c r="BI24" s="277"/>
      <c r="BJ24" s="277"/>
      <c r="BK24" s="277"/>
      <c r="BL24" s="1148" t="s">
        <v>302</v>
      </c>
      <c r="BM24" s="1149"/>
      <c r="BN24" s="1149"/>
      <c r="BO24" s="1149"/>
      <c r="BP24" s="1151"/>
      <c r="BQ24" s="1148" t="s">
        <v>719</v>
      </c>
      <c r="BR24" s="1149"/>
      <c r="BS24" s="1149"/>
      <c r="BT24" s="1149"/>
      <c r="BU24" s="1150"/>
      <c r="BW24" s="1148" t="s">
        <v>303</v>
      </c>
      <c r="BX24" s="1149"/>
      <c r="BY24" s="1149"/>
      <c r="BZ24" s="1149"/>
      <c r="CA24" s="1149"/>
      <c r="CB24" s="1149"/>
      <c r="CC24" s="1150"/>
    </row>
    <row r="25" spans="2:81" ht="15" customHeight="1" thickTop="1">
      <c r="B25" s="267"/>
      <c r="C25" s="267"/>
      <c r="D25" s="267"/>
      <c r="E25" s="312"/>
      <c r="F25" s="326"/>
      <c r="G25" s="95">
        <f>G26-SUM($G$16:$G$18)</f>
        <v>0</v>
      </c>
      <c r="H25" s="326"/>
      <c r="I25" s="96" t="str">
        <f>IF(G25&lt;&gt;0,"There is a variance in reported ending EEs.","")</f>
        <v/>
      </c>
      <c r="J25" s="96"/>
      <c r="K25" s="326"/>
      <c r="L25" s="326"/>
      <c r="U25" s="326"/>
      <c r="V25" s="326"/>
      <c r="W25" s="326"/>
      <c r="X25" s="326"/>
      <c r="Y25" s="326"/>
      <c r="Z25" s="320"/>
      <c r="AA25" s="326"/>
      <c r="AB25" s="332"/>
      <c r="AE25" s="302"/>
      <c r="AF25" s="302"/>
      <c r="AG25" s="302"/>
      <c r="AH25" s="302"/>
      <c r="AI25" s="302"/>
      <c r="AJ25" s="320"/>
      <c r="AK25" s="311"/>
      <c r="AL25" s="311"/>
      <c r="AM25" s="311"/>
      <c r="AN25" s="333"/>
      <c r="AO25" s="333"/>
      <c r="AP25" s="333"/>
      <c r="AQ25" s="333"/>
      <c r="AR25" s="311"/>
      <c r="AS25" s="311"/>
      <c r="AT25" s="311"/>
      <c r="AU25" s="333"/>
      <c r="AV25" s="333"/>
      <c r="AW25" s="333"/>
      <c r="AX25" s="333"/>
      <c r="AY25" s="311"/>
      <c r="AZ25" s="311"/>
      <c r="BA25" s="311"/>
      <c r="BB25" s="333"/>
      <c r="BC25" s="333"/>
      <c r="BD25" s="333"/>
      <c r="BE25" s="333"/>
      <c r="BI25" s="636" t="s">
        <v>23</v>
      </c>
      <c r="BJ25" s="636" t="s">
        <v>37</v>
      </c>
      <c r="BK25" s="636" t="s">
        <v>304</v>
      </c>
      <c r="BL25" s="637" t="s">
        <v>305</v>
      </c>
      <c r="BM25" s="637" t="s">
        <v>310</v>
      </c>
      <c r="BN25" s="637" t="s">
        <v>311</v>
      </c>
      <c r="BO25" s="278" t="s">
        <v>312</v>
      </c>
      <c r="BP25" s="637" t="s">
        <v>313</v>
      </c>
      <c r="BQ25" s="637" t="s">
        <v>305</v>
      </c>
      <c r="BR25" s="637" t="s">
        <v>715</v>
      </c>
      <c r="BS25" s="637" t="s">
        <v>716</v>
      </c>
      <c r="BT25" s="278" t="s">
        <v>717</v>
      </c>
      <c r="BU25" s="637" t="s">
        <v>718</v>
      </c>
      <c r="BW25" s="279" t="s">
        <v>314</v>
      </c>
      <c r="BX25" s="279" t="s">
        <v>23</v>
      </c>
      <c r="BY25" s="280" t="s">
        <v>315</v>
      </c>
      <c r="BZ25" s="279" t="s">
        <v>122</v>
      </c>
      <c r="CA25" s="279" t="s">
        <v>316</v>
      </c>
      <c r="CB25" s="279" t="s">
        <v>317</v>
      </c>
      <c r="CC25" s="279" t="s">
        <v>318</v>
      </c>
    </row>
    <row r="26" spans="2:81" ht="15" customHeight="1">
      <c r="B26" s="267"/>
      <c r="C26" s="267"/>
      <c r="D26" s="267"/>
      <c r="E26" s="312"/>
      <c r="F26" s="326"/>
      <c r="G26" s="95">
        <f t="array" ref="G26">SUM(IF((Admin2!$C$6:$O$6=$BE$5)*(Admin2!$Q$9:$Q$61=$BI$2)*(Admin2!$B$9:$B$61="Ending EEs"),Admin2!$C$9:$O$61,0))</f>
        <v>37</v>
      </c>
      <c r="H26" s="326"/>
      <c r="I26" s="96" t="str">
        <f>IF(G26&lt;&gt;0,"Ending headcount per Kronos/HCMS.","")</f>
        <v>Ending headcount per Kronos/HCMS.</v>
      </c>
      <c r="J26" s="96"/>
      <c r="K26" s="326"/>
      <c r="L26" s="326"/>
      <c r="U26" s="326"/>
      <c r="V26" s="326"/>
      <c r="W26" s="326"/>
      <c r="X26" s="326"/>
      <c r="Y26" s="326"/>
      <c r="Z26" s="320"/>
      <c r="AA26" s="326"/>
      <c r="AB26" s="332"/>
      <c r="AE26" s="302"/>
      <c r="AF26" s="302"/>
      <c r="AG26" s="302"/>
      <c r="AH26" s="302"/>
      <c r="AI26" s="302"/>
      <c r="AJ26" s="320"/>
      <c r="AK26" s="311"/>
      <c r="AL26" s="311"/>
      <c r="AM26" s="311"/>
      <c r="AN26" s="333"/>
      <c r="AO26" s="333"/>
      <c r="AP26" s="333"/>
      <c r="AQ26" s="333"/>
      <c r="AR26" s="311"/>
      <c r="AS26" s="311"/>
      <c r="AT26" s="311"/>
      <c r="AU26" s="333"/>
      <c r="AV26" s="333"/>
      <c r="AW26" s="333"/>
      <c r="AX26" s="333"/>
      <c r="AY26" s="311"/>
      <c r="AZ26" s="311"/>
      <c r="BA26" s="311"/>
      <c r="BB26" s="333"/>
      <c r="BC26" s="333"/>
      <c r="BD26" s="333"/>
      <c r="BE26" s="333"/>
      <c r="BI26" s="638" t="s">
        <v>319</v>
      </c>
      <c r="BJ26" s="638">
        <v>1</v>
      </c>
      <c r="BK26" s="638" t="s">
        <v>320</v>
      </c>
      <c r="BL26" s="832">
        <v>230</v>
      </c>
      <c r="BM26" s="690">
        <v>258.47800000000001</v>
      </c>
      <c r="BN26" s="842">
        <f>IF(BM26="","",BL26/BM26)</f>
        <v>0.88982427904889383</v>
      </c>
      <c r="BO26" s="843">
        <f>IF(SUM(BM26:BM28=0),0,SUM(BL26:BL28)/SUM(BM26:BM28))</f>
        <v>0.99087236125721867</v>
      </c>
      <c r="BP26" s="655">
        <v>1.03</v>
      </c>
      <c r="BQ26" s="832">
        <v>251.917</v>
      </c>
      <c r="BR26" s="690">
        <v>297.26100000000002</v>
      </c>
      <c r="BS26" s="842">
        <f>IF(BR26="","",BQ26/BR26)</f>
        <v>0.84746064905924412</v>
      </c>
      <c r="BT26" s="843">
        <f>IF(SUM(BR26:BR28=0),0,SUM(BQ26:BQ28)/SUM(BR26:BR28))</f>
        <v>0.84746064905924412</v>
      </c>
      <c r="BU26" s="655">
        <v>1.03</v>
      </c>
      <c r="BX26" s="666" t="str">
        <f t="shared" ref="BX26:BX37" si="3">TEXT(CONCATENATE(CC26,"/01/20",CB26),"MMM")</f>
        <v>Oct</v>
      </c>
      <c r="BY26" s="643">
        <f>IF(CB26=$CB38,SUMIF($BI26:$BI37,$BX26,$BR26:$BR37),SUMIF($BI26:$BI37,$BX26,$BM26:$BM37))</f>
        <v>258.47800000000001</v>
      </c>
      <c r="BZ26" s="675">
        <f>IF(IF(CB26=CB38,SUMIF(BI26:BI37,$BX26,BU26:BU37),SUMIF(BI26:BI37,$BX26,BP26:BP37))=0,NA(),IF(CB26=CB38,SUMIF(BI26:BI37,$BX26,BU26:BU37),SUMIF(BI26:BI37,$BX26,BP26:BP37)))</f>
        <v>1.03</v>
      </c>
      <c r="CA26" s="664">
        <f>IF(IF(CB26=CB38,SUMIF(BI26:BI37,$BX26,BS26:BS37),SUMIF(BI26:BI37,$BX26,BN26:BN37))=0,NA(),IF(CB26=CB38,SUMIF(BI26:BI37,$BX26,BS26:BS37),SUMIF(BI26:BI37,$BX26,BN26:BN37)))</f>
        <v>0.88982427904889383</v>
      </c>
      <c r="CB26" s="645">
        <v>23</v>
      </c>
      <c r="CC26" s="645">
        <f t="shared" ref="CC26:CC36" si="4">IF(CC27-1&lt;1,CC27+11,CC27-1)</f>
        <v>10</v>
      </c>
    </row>
    <row r="27" spans="2:81" ht="15" customHeight="1">
      <c r="B27" s="267"/>
      <c r="C27" s="267"/>
      <c r="D27" s="267"/>
      <c r="E27" s="312"/>
      <c r="F27" s="326"/>
      <c r="G27" s="312"/>
      <c r="H27" s="312"/>
      <c r="I27" s="312"/>
      <c r="J27" s="312"/>
      <c r="K27" s="326"/>
      <c r="L27" s="326"/>
      <c r="U27" s="326"/>
      <c r="V27" s="326"/>
      <c r="W27" s="326"/>
      <c r="X27" s="326"/>
      <c r="Y27" s="326"/>
      <c r="Z27" s="320"/>
      <c r="AA27" s="326"/>
      <c r="AB27" s="332"/>
      <c r="AE27" s="302"/>
      <c r="AF27" s="302"/>
      <c r="AG27" s="302"/>
      <c r="AH27" s="302"/>
      <c r="AI27" s="302"/>
      <c r="AJ27" s="320"/>
      <c r="AK27" s="311"/>
      <c r="AL27" s="311"/>
      <c r="AM27" s="311"/>
      <c r="AN27" s="333"/>
      <c r="AO27" s="333"/>
      <c r="AP27" s="333"/>
      <c r="AQ27" s="333"/>
      <c r="AR27" s="311"/>
      <c r="AS27" s="311"/>
      <c r="AT27" s="311"/>
      <c r="AU27" s="333"/>
      <c r="AV27" s="333"/>
      <c r="AW27" s="333"/>
      <c r="AX27" s="333"/>
      <c r="AY27" s="311"/>
      <c r="AZ27" s="311"/>
      <c r="BA27" s="311"/>
      <c r="BB27" s="333"/>
      <c r="BC27" s="333"/>
      <c r="BD27" s="333"/>
      <c r="BE27" s="333"/>
      <c r="BI27" s="638" t="s">
        <v>321</v>
      </c>
      <c r="BJ27" s="638">
        <v>2</v>
      </c>
      <c r="BK27" s="638" t="s">
        <v>320</v>
      </c>
      <c r="BL27" s="832">
        <v>261.60000000000002</v>
      </c>
      <c r="BM27" s="690">
        <v>253.136</v>
      </c>
      <c r="BN27" s="842">
        <f t="shared" ref="BN27:BN37" si="5">IF(BM27="","",BL27/BM27)</f>
        <v>1.0334365716452818</v>
      </c>
      <c r="BO27" s="835"/>
      <c r="BP27" s="655">
        <v>1.03</v>
      </c>
      <c r="BQ27" s="832"/>
      <c r="BR27" s="690"/>
      <c r="BS27" s="842" t="str">
        <f t="shared" ref="BS27:BS37" si="6">IF(BR27="","",BQ27/BR27)</f>
        <v/>
      </c>
      <c r="BT27" s="835"/>
      <c r="BU27" s="655">
        <v>1.03</v>
      </c>
      <c r="BX27" s="666" t="str">
        <f t="shared" si="3"/>
        <v>Nov</v>
      </c>
      <c r="BY27" s="643">
        <f>IF(CB27=$CB38,SUMIF($BI26:$BI37,$BX27,$BR26:$BR37),SUMIF($BI26:$BI37,$BX27,$BM26:$BM37))</f>
        <v>253.136</v>
      </c>
      <c r="BZ27" s="675">
        <f>IF(IF(CB27=CB38,SUMIF(BI26:BI37,$BX27,BU26:BU37),SUMIF(BI26:BI37,$BX27,BP26:BP37))=0,NA(),IF(CB27=CB38,SUMIF(BI26:BI37,$BX27,BU26:BU37),SUMIF(BI26:BI37,$BX27,BP26:BP37)))</f>
        <v>1.03</v>
      </c>
      <c r="CA27" s="664">
        <f>IF(IF(CB27=CB38,SUMIF(BI26:BI37,$BX27,BS26:BS37),SUMIF(BI26:BI37,$BX27,BN26:BN37))=0,NA(),IF(CB27=CB38,SUMIF(BI26:BI37,$BX27,BS26:BS37),SUMIF(BI26:BI37,$BX27,BN26:BN37)))</f>
        <v>1.0334365716452818</v>
      </c>
      <c r="CB27" s="645">
        <v>23</v>
      </c>
      <c r="CC27" s="645">
        <f t="shared" si="4"/>
        <v>11</v>
      </c>
    </row>
    <row r="28" spans="2:81" ht="15" customHeight="1">
      <c r="B28" s="267" t="s">
        <v>242</v>
      </c>
      <c r="C28" s="267"/>
      <c r="D28" s="267"/>
      <c r="E28" s="334"/>
      <c r="F28" s="326"/>
      <c r="G28" s="326"/>
      <c r="H28" s="326"/>
      <c r="I28" s="326"/>
      <c r="J28" s="326"/>
      <c r="K28" s="326"/>
      <c r="L28" s="326"/>
      <c r="M28" s="326"/>
      <c r="N28" s="326"/>
      <c r="O28" s="326"/>
      <c r="P28" s="326"/>
      <c r="Q28" s="326"/>
      <c r="R28" s="326"/>
      <c r="S28" s="326"/>
      <c r="T28" s="326"/>
      <c r="U28" s="326"/>
      <c r="V28" s="326"/>
      <c r="W28" s="326"/>
      <c r="X28" s="326"/>
      <c r="Y28" s="326"/>
      <c r="Z28" s="326"/>
      <c r="AA28" s="326"/>
      <c r="AB28" s="326"/>
      <c r="AE28" s="267" t="s">
        <v>242</v>
      </c>
      <c r="AF28" s="267"/>
      <c r="AG28" s="267"/>
      <c r="AH28" s="334"/>
      <c r="AI28" s="326"/>
      <c r="AJ28" s="326"/>
      <c r="AK28" s="326"/>
      <c r="AL28" s="326"/>
      <c r="AM28" s="326"/>
      <c r="AN28" s="326"/>
      <c r="AO28" s="326"/>
      <c r="AP28" s="326"/>
      <c r="AQ28" s="326"/>
      <c r="AR28" s="326"/>
      <c r="AS28" s="326"/>
      <c r="AT28" s="326"/>
      <c r="AU28" s="326"/>
      <c r="AV28" s="326"/>
      <c r="AW28" s="326"/>
      <c r="AX28" s="326"/>
      <c r="AY28" s="326"/>
      <c r="AZ28" s="326"/>
      <c r="BA28" s="326"/>
      <c r="BB28" s="326"/>
      <c r="BC28" s="326"/>
      <c r="BD28" s="326"/>
      <c r="BE28" s="326"/>
      <c r="BI28" s="638" t="s">
        <v>322</v>
      </c>
      <c r="BJ28" s="638">
        <v>3</v>
      </c>
      <c r="BK28" s="638" t="s">
        <v>320</v>
      </c>
      <c r="BL28" s="832">
        <v>324.10000000000002</v>
      </c>
      <c r="BM28" s="690">
        <v>311.60000000000002</v>
      </c>
      <c r="BN28" s="842">
        <f t="shared" si="5"/>
        <v>1.0401155327342748</v>
      </c>
      <c r="BO28" s="835"/>
      <c r="BP28" s="655">
        <v>1.03</v>
      </c>
      <c r="BQ28" s="832"/>
      <c r="BR28" s="690"/>
      <c r="BS28" s="842" t="str">
        <f t="shared" si="6"/>
        <v/>
      </c>
      <c r="BT28" s="835"/>
      <c r="BU28" s="655">
        <v>1.03</v>
      </c>
      <c r="BX28" s="666" t="str">
        <f t="shared" si="3"/>
        <v>Dec</v>
      </c>
      <c r="BY28" s="643">
        <f>IF(CB28=$CB38,SUMIF($BI26:$BI37,$BX28,$BR26:$BR37),SUMIF($BI26:$BI37,$BX28,$BM26:$BM37))</f>
        <v>311.60000000000002</v>
      </c>
      <c r="BZ28" s="675">
        <f>IF(IF(CB28=CB38,SUMIF(BI26:BI37,$BX28,BU26:BU37),SUMIF(BI26:BI37,$BX28,BP26:BP37))=0,NA(),IF(CB28=CB38,SUMIF(BI26:BI37,$BX28,BU26:BU37),SUMIF(BI26:BI37,$BX28,BP26:BP37)))</f>
        <v>1.03</v>
      </c>
      <c r="CA28" s="664">
        <f>IF(IF(CB28=CB38,SUMIF(BI26:BI37,$BX28,BS26:BS37),SUMIF(BI26:BI37,$BX28,BN26:BN37))=0,NA(),IF(CB28=CB38,SUMIF(BI26:BI37,$BX28,BS26:BS37),SUMIF(BI26:BI37,$BX28,BN26:BN37)))</f>
        <v>1.0401155327342748</v>
      </c>
      <c r="CB28" s="645">
        <v>23</v>
      </c>
      <c r="CC28" s="645">
        <f t="shared" si="4"/>
        <v>12</v>
      </c>
    </row>
    <row r="29" spans="2:81" ht="15" customHeight="1">
      <c r="B29" s="1326" t="s">
        <v>738</v>
      </c>
      <c r="C29" s="1327"/>
      <c r="D29" s="1327"/>
      <c r="E29" s="1327"/>
      <c r="F29" s="1327"/>
      <c r="G29" s="1327"/>
      <c r="H29" s="1327"/>
      <c r="I29" s="1327"/>
      <c r="J29" s="1327"/>
      <c r="K29" s="1327"/>
      <c r="L29" s="1327"/>
      <c r="M29" s="1327"/>
      <c r="N29" s="1327"/>
      <c r="O29" s="1327"/>
      <c r="P29" s="1327"/>
      <c r="Q29" s="1327"/>
      <c r="R29" s="1327"/>
      <c r="S29" s="1327"/>
      <c r="T29" s="1327"/>
      <c r="U29" s="1327"/>
      <c r="V29" s="1327"/>
      <c r="W29" s="1327"/>
      <c r="X29" s="1327"/>
      <c r="Y29" s="1327"/>
      <c r="Z29" s="1327"/>
      <c r="AA29" s="1327"/>
      <c r="AB29" s="1328"/>
      <c r="AE29" s="1137" t="s">
        <v>739</v>
      </c>
      <c r="AF29" s="1138"/>
      <c r="AG29" s="1138"/>
      <c r="AH29" s="1138"/>
      <c r="AI29" s="1138"/>
      <c r="AJ29" s="1138"/>
      <c r="AK29" s="1138"/>
      <c r="AL29" s="1138"/>
      <c r="AM29" s="1138"/>
      <c r="AN29" s="1138"/>
      <c r="AO29" s="1138"/>
      <c r="AP29" s="1138"/>
      <c r="AQ29" s="1138"/>
      <c r="AR29" s="1138"/>
      <c r="AS29" s="1138"/>
      <c r="AT29" s="1138"/>
      <c r="AU29" s="1138"/>
      <c r="AV29" s="1138"/>
      <c r="AW29" s="1138"/>
      <c r="AX29" s="1138"/>
      <c r="AY29" s="1138"/>
      <c r="AZ29" s="1138"/>
      <c r="BA29" s="1138"/>
      <c r="BB29" s="1138"/>
      <c r="BC29" s="1138"/>
      <c r="BD29" s="1138"/>
      <c r="BE29" s="1139"/>
      <c r="BI29" s="638" t="s">
        <v>323</v>
      </c>
      <c r="BJ29" s="638">
        <v>4</v>
      </c>
      <c r="BK29" s="638" t="s">
        <v>324</v>
      </c>
      <c r="BL29" s="832">
        <v>289.39499999999998</v>
      </c>
      <c r="BM29" s="690">
        <v>229.54400000000001</v>
      </c>
      <c r="BN29" s="842">
        <f t="shared" si="5"/>
        <v>1.2607386819084794</v>
      </c>
      <c r="BO29" s="843">
        <f>IF(SUM(BM29:BM31=0),0,SUM(BL29:BL31)/SUM(BM29:BM31))</f>
        <v>1.0889364196076299</v>
      </c>
      <c r="BP29" s="655">
        <v>1.03</v>
      </c>
      <c r="BQ29" s="832"/>
      <c r="BR29" s="690"/>
      <c r="BS29" s="842" t="str">
        <f t="shared" si="6"/>
        <v/>
      </c>
      <c r="BT29" s="843">
        <f>IF(SUM(BR29:BR31=0),0,SUM(BQ29:BQ31)/SUM(BR29:BR31))</f>
        <v>0</v>
      </c>
      <c r="BU29" s="655">
        <v>1.03</v>
      </c>
      <c r="BX29" s="666" t="str">
        <f t="shared" si="3"/>
        <v>Jan</v>
      </c>
      <c r="BY29" s="643">
        <f>IF(CB29=$CB38,SUMIF($BI26:$BI37,$BX29,$BR26:$BR37),SUMIF($BI26:$BI37,$BX29,$BM26:$BM37))</f>
        <v>229.54400000000001</v>
      </c>
      <c r="BZ29" s="675">
        <f>IF(IF(CB29=CB38,SUMIF(BI26:BI37,$BX29,BU26:BU37),SUMIF(BI26:BI37,$BX29,BP26:BP37))=0,NA(),IF(CB29=CB38,SUMIF(BI26:BI37,$BX29,BU26:BU37),SUMIF(BI26:BI37,$BX29,BP26:BP37)))</f>
        <v>1.03</v>
      </c>
      <c r="CA29" s="664">
        <f>IF(IF(CB29=CB38,SUMIF(BI26:BI37,$BX29,BS26:BS37),SUMIF(BI26:BI37,$BX29,BN26:BN37))=0,NA(),IF(CB29=CB38,SUMIF(BI26:BI37,$BX29,BS26:BS37),SUMIF(BI26:BI37,$BX29,BN26:BN37)))</f>
        <v>1.2607386819084794</v>
      </c>
      <c r="CB29" s="645">
        <v>23</v>
      </c>
      <c r="CC29" s="645">
        <f t="shared" si="4"/>
        <v>1</v>
      </c>
    </row>
    <row r="30" spans="2:81" ht="15" customHeight="1">
      <c r="B30" s="1329"/>
      <c r="C30" s="1330"/>
      <c r="D30" s="1330"/>
      <c r="E30" s="1330"/>
      <c r="F30" s="1330"/>
      <c r="G30" s="1330"/>
      <c r="H30" s="1330"/>
      <c r="I30" s="1330"/>
      <c r="J30" s="1330"/>
      <c r="K30" s="1330"/>
      <c r="L30" s="1330"/>
      <c r="M30" s="1330"/>
      <c r="N30" s="1330"/>
      <c r="O30" s="1330"/>
      <c r="P30" s="1330"/>
      <c r="Q30" s="1330"/>
      <c r="R30" s="1330"/>
      <c r="S30" s="1330"/>
      <c r="T30" s="1330"/>
      <c r="U30" s="1330"/>
      <c r="V30" s="1330"/>
      <c r="W30" s="1330"/>
      <c r="X30" s="1330"/>
      <c r="Y30" s="1330"/>
      <c r="Z30" s="1330"/>
      <c r="AA30" s="1330"/>
      <c r="AB30" s="1331"/>
      <c r="AE30" s="1140"/>
      <c r="AF30" s="1141"/>
      <c r="AG30" s="1141"/>
      <c r="AH30" s="1141"/>
      <c r="AI30" s="1141"/>
      <c r="AJ30" s="1141"/>
      <c r="AK30" s="1141"/>
      <c r="AL30" s="1141"/>
      <c r="AM30" s="1141"/>
      <c r="AN30" s="1141"/>
      <c r="AO30" s="1141"/>
      <c r="AP30" s="1141"/>
      <c r="AQ30" s="1141"/>
      <c r="AR30" s="1141"/>
      <c r="AS30" s="1141"/>
      <c r="AT30" s="1141"/>
      <c r="AU30" s="1141"/>
      <c r="AV30" s="1141"/>
      <c r="AW30" s="1141"/>
      <c r="AX30" s="1141"/>
      <c r="AY30" s="1141"/>
      <c r="AZ30" s="1141"/>
      <c r="BA30" s="1141"/>
      <c r="BB30" s="1141"/>
      <c r="BC30" s="1141"/>
      <c r="BD30" s="1141"/>
      <c r="BE30" s="1142"/>
      <c r="BI30" s="638" t="s">
        <v>325</v>
      </c>
      <c r="BJ30" s="638">
        <v>5</v>
      </c>
      <c r="BK30" s="638" t="s">
        <v>324</v>
      </c>
      <c r="BL30" s="832">
        <v>285.53300000000002</v>
      </c>
      <c r="BM30" s="822">
        <v>262.45499999999998</v>
      </c>
      <c r="BN30" s="842">
        <f t="shared" si="5"/>
        <v>1.0879312644072319</v>
      </c>
      <c r="BO30" s="835"/>
      <c r="BP30" s="655">
        <v>1.03</v>
      </c>
      <c r="BQ30" s="832"/>
      <c r="BR30" s="822"/>
      <c r="BS30" s="842" t="str">
        <f t="shared" si="6"/>
        <v/>
      </c>
      <c r="BT30" s="835"/>
      <c r="BU30" s="655">
        <v>1.03</v>
      </c>
      <c r="BX30" s="666" t="str">
        <f t="shared" si="3"/>
        <v>Feb</v>
      </c>
      <c r="BY30" s="643">
        <f>IF(CB30=$CB38,SUMIF($BI26:$BI37,$BX30,$BR26:$BR37),SUMIF($BI26:$BI37,$BX30,$BM26:$BM37))</f>
        <v>262.45499999999998</v>
      </c>
      <c r="BZ30" s="675">
        <f>IF(IF(CB30=CB38,SUMIF(BI26:BI37,$BX30,BU26:BU37),SUMIF(BI26:BI37,$BX30,BP26:BP37))=0,NA(),IF(CB30=CB38,SUMIF(BI26:BI37,$BX30,BU26:BU37),SUMIF(BI26:BI37,$BX30,BP26:BP37)))</f>
        <v>1.03</v>
      </c>
      <c r="CA30" s="664">
        <f>IF(IF(CB30=CB38,SUMIF(BI26:BI37,$BX30,BS26:BS37),SUMIF(BI26:BI37,$BX30,BN26:BN37))=0,NA(),IF(CB30=CB38,SUMIF(BI26:BI37,$BX30,BS26:BS37),SUMIF(BI26:BI37,$BX30,BN26:BN37)))</f>
        <v>1.0879312644072319</v>
      </c>
      <c r="CB30" s="645">
        <v>23</v>
      </c>
      <c r="CC30" s="645">
        <f t="shared" si="4"/>
        <v>2</v>
      </c>
    </row>
    <row r="31" spans="2:81" ht="15" customHeight="1">
      <c r="B31" s="1329"/>
      <c r="C31" s="1330"/>
      <c r="D31" s="1330"/>
      <c r="E31" s="1330"/>
      <c r="F31" s="1330"/>
      <c r="G31" s="1330"/>
      <c r="H31" s="1330"/>
      <c r="I31" s="1330"/>
      <c r="J31" s="1330"/>
      <c r="K31" s="1330"/>
      <c r="L31" s="1330"/>
      <c r="M31" s="1330"/>
      <c r="N31" s="1330"/>
      <c r="O31" s="1330"/>
      <c r="P31" s="1330"/>
      <c r="Q31" s="1330"/>
      <c r="R31" s="1330"/>
      <c r="S31" s="1330"/>
      <c r="T31" s="1330"/>
      <c r="U31" s="1330"/>
      <c r="V31" s="1330"/>
      <c r="W31" s="1330"/>
      <c r="X31" s="1330"/>
      <c r="Y31" s="1330"/>
      <c r="Z31" s="1330"/>
      <c r="AA31" s="1330"/>
      <c r="AB31" s="1331"/>
      <c r="AE31" s="1140"/>
      <c r="AF31" s="1141"/>
      <c r="AG31" s="1141"/>
      <c r="AH31" s="1141"/>
      <c r="AI31" s="1141"/>
      <c r="AJ31" s="1141"/>
      <c r="AK31" s="1141"/>
      <c r="AL31" s="1141"/>
      <c r="AM31" s="1141"/>
      <c r="AN31" s="1141"/>
      <c r="AO31" s="1141"/>
      <c r="AP31" s="1141"/>
      <c r="AQ31" s="1141"/>
      <c r="AR31" s="1141"/>
      <c r="AS31" s="1141"/>
      <c r="AT31" s="1141"/>
      <c r="AU31" s="1141"/>
      <c r="AV31" s="1141"/>
      <c r="AW31" s="1141"/>
      <c r="AX31" s="1141"/>
      <c r="AY31" s="1141"/>
      <c r="AZ31" s="1141"/>
      <c r="BA31" s="1141"/>
      <c r="BB31" s="1141"/>
      <c r="BC31" s="1141"/>
      <c r="BD31" s="1141"/>
      <c r="BE31" s="1142"/>
      <c r="BI31" s="638" t="s">
        <v>326</v>
      </c>
      <c r="BJ31" s="638">
        <v>6</v>
      </c>
      <c r="BK31" s="638" t="s">
        <v>324</v>
      </c>
      <c r="BL31" s="832">
        <v>326.20499999999998</v>
      </c>
      <c r="BM31" s="822">
        <v>335.536</v>
      </c>
      <c r="BN31" s="842">
        <f t="shared" si="5"/>
        <v>0.97219076343522004</v>
      </c>
      <c r="BO31" s="835"/>
      <c r="BP31" s="655">
        <v>1.03</v>
      </c>
      <c r="BQ31" s="832"/>
      <c r="BR31" s="822"/>
      <c r="BS31" s="842" t="str">
        <f t="shared" si="6"/>
        <v/>
      </c>
      <c r="BT31" s="835"/>
      <c r="BU31" s="655">
        <v>1.03</v>
      </c>
      <c r="BX31" s="666" t="str">
        <f t="shared" si="3"/>
        <v>Mar</v>
      </c>
      <c r="BY31" s="643">
        <f>IF(CB31=$CB38,SUMIF($BI26:$BI37,$BX31,$BR26:$BR37),SUMIF($BI26:$BI37,$BX31,$BM26:$BM37))</f>
        <v>335.536</v>
      </c>
      <c r="BZ31" s="675">
        <f>IF(IF(CB31=CB38,SUMIF(BI26:BI37,$BX31,BU26:BU37),SUMIF(BI26:BI37,$BX31,BP26:BP37))=0,NA(),IF(CB31=CB38,SUMIF(BI26:BI37,$BX31,BU26:BU37),SUMIF(BI26:BI37,$BX31,BP26:BP37)))</f>
        <v>1.03</v>
      </c>
      <c r="CA31" s="664">
        <f>IF(IF(CB31=CB38,SUMIF(BI26:BI37,$BX31,BS26:BS37),SUMIF(BI26:BI37,$BX31,BN26:BN37))=0,NA(),IF(CB31=CB38,SUMIF(BI26:BI37,$BX31,BS26:BS37),SUMIF(BI26:BI37,$BX31,BN26:BN37)))</f>
        <v>0.97219076343522004</v>
      </c>
      <c r="CB31" s="645">
        <v>23</v>
      </c>
      <c r="CC31" s="645">
        <f t="shared" si="4"/>
        <v>3</v>
      </c>
    </row>
    <row r="32" spans="2:81" ht="15" customHeight="1">
      <c r="B32" s="1332"/>
      <c r="C32" s="1333"/>
      <c r="D32" s="1333"/>
      <c r="E32" s="1333"/>
      <c r="F32" s="1333"/>
      <c r="G32" s="1333"/>
      <c r="H32" s="1333"/>
      <c r="I32" s="1333"/>
      <c r="J32" s="1333"/>
      <c r="K32" s="1333"/>
      <c r="L32" s="1333"/>
      <c r="M32" s="1333"/>
      <c r="N32" s="1333"/>
      <c r="O32" s="1333"/>
      <c r="P32" s="1333"/>
      <c r="Q32" s="1333"/>
      <c r="R32" s="1333"/>
      <c r="S32" s="1333"/>
      <c r="T32" s="1333"/>
      <c r="U32" s="1333"/>
      <c r="V32" s="1333"/>
      <c r="W32" s="1333"/>
      <c r="X32" s="1333"/>
      <c r="Y32" s="1333"/>
      <c r="Z32" s="1333"/>
      <c r="AA32" s="1333"/>
      <c r="AB32" s="1334"/>
      <c r="AE32" s="1143"/>
      <c r="AF32" s="1144"/>
      <c r="AG32" s="1144"/>
      <c r="AH32" s="1144"/>
      <c r="AI32" s="1144"/>
      <c r="AJ32" s="1144"/>
      <c r="AK32" s="1144"/>
      <c r="AL32" s="1144"/>
      <c r="AM32" s="1144"/>
      <c r="AN32" s="1144"/>
      <c r="AO32" s="1144"/>
      <c r="AP32" s="1144"/>
      <c r="AQ32" s="1144"/>
      <c r="AR32" s="1144"/>
      <c r="AS32" s="1144"/>
      <c r="AT32" s="1144"/>
      <c r="AU32" s="1144"/>
      <c r="AV32" s="1144"/>
      <c r="AW32" s="1144"/>
      <c r="AX32" s="1144"/>
      <c r="AY32" s="1144"/>
      <c r="AZ32" s="1144"/>
      <c r="BA32" s="1144"/>
      <c r="BB32" s="1144"/>
      <c r="BC32" s="1144"/>
      <c r="BD32" s="1144"/>
      <c r="BE32" s="1145"/>
      <c r="BI32" s="638" t="s">
        <v>327</v>
      </c>
      <c r="BJ32" s="638">
        <v>7</v>
      </c>
      <c r="BK32" s="638" t="s">
        <v>328</v>
      </c>
      <c r="BL32" s="832">
        <v>261.11</v>
      </c>
      <c r="BM32" s="690">
        <v>277.95999999999998</v>
      </c>
      <c r="BN32" s="842">
        <f t="shared" si="5"/>
        <v>0.93937976687293145</v>
      </c>
      <c r="BO32" s="843">
        <f>IF(SUM(BM32:BM34=0),0,SUM(BL32:BL34)/SUM(BM32:BM34))</f>
        <v>0.97041435534985954</v>
      </c>
      <c r="BP32" s="655">
        <v>1.03</v>
      </c>
      <c r="BQ32" s="832"/>
      <c r="BR32" s="690"/>
      <c r="BS32" s="842" t="str">
        <f t="shared" si="6"/>
        <v/>
      </c>
      <c r="BT32" s="843">
        <f>IF(SUM(BR32:BR34=0),0,SUM(BQ32:BQ34)/SUM(BR32:BR34))</f>
        <v>0</v>
      </c>
      <c r="BU32" s="655">
        <v>1.03</v>
      </c>
      <c r="BX32" s="666" t="str">
        <f t="shared" si="3"/>
        <v>Apr</v>
      </c>
      <c r="BY32" s="643">
        <f>IF(CB32=$CB38,SUMIF($BI26:$BI37,$BX32,$BR26:$BR37),SUMIF($BI26:$BI37,$BX32,$BM26:$BM37))</f>
        <v>277.95999999999998</v>
      </c>
      <c r="BZ32" s="675">
        <f>IF(IF(CB32=CB38,SUMIF(BI26:BI37,$BX32,BU26:BU37),SUMIF(BI26:BI37,$BX32,BP26:BP37))=0,NA(),IF(CB32=CB38,SUMIF(BI26:BI37,$BX32,BU26:BU37),SUMIF(BI26:BI37,$BX32,BP26:BP37)))</f>
        <v>1.03</v>
      </c>
      <c r="CA32" s="664">
        <f>IF(IF(CB32=CB38,SUMIF(BI26:BI37,$BX32,BS26:BS37),SUMIF(BI26:BI37,$BX32,BN26:BN37))=0,NA(),IF(CB32=CB38,SUMIF(BI26:BI37,$BX32,BS26:BS37),SUMIF(BI26:BI37,$BX32,BN26:BN37)))</f>
        <v>0.93937976687293145</v>
      </c>
      <c r="CB32" s="645">
        <v>23</v>
      </c>
      <c r="CC32" s="645">
        <f t="shared" si="4"/>
        <v>4</v>
      </c>
    </row>
    <row r="33" spans="1:81" ht="15" customHeight="1">
      <c r="BI33" s="638" t="s">
        <v>329</v>
      </c>
      <c r="BJ33" s="638">
        <v>8</v>
      </c>
      <c r="BK33" s="638" t="s">
        <v>328</v>
      </c>
      <c r="BL33" s="832">
        <v>251.02</v>
      </c>
      <c r="BM33" s="822">
        <v>273.79000000000002</v>
      </c>
      <c r="BN33" s="842">
        <f t="shared" si="5"/>
        <v>0.91683406990759342</v>
      </c>
      <c r="BO33" s="835"/>
      <c r="BP33" s="655">
        <v>1.03</v>
      </c>
      <c r="BQ33" s="832"/>
      <c r="BR33" s="822"/>
      <c r="BS33" s="842" t="str">
        <f t="shared" si="6"/>
        <v/>
      </c>
      <c r="BT33" s="835"/>
      <c r="BU33" s="655">
        <v>1.03</v>
      </c>
      <c r="BX33" s="666" t="str">
        <f t="shared" si="3"/>
        <v>May</v>
      </c>
      <c r="BY33" s="643">
        <f>IF(CB33=$CB38,SUMIF($BI26:$BI37,$BX33,$BR26:$BR37),SUMIF($BI26:$BI37,$BX33,$BM26:$BM37))</f>
        <v>273.79000000000002</v>
      </c>
      <c r="BZ33" s="675">
        <f>IF(IF(CB33=CB38,SUMIF(BI26:BI37,$BX33,BU26:BU37),SUMIF(BI26:BI37,$BX33,BP26:BP37))=0,NA(),IF(CB33=CB38,SUMIF(BI26:BI37,$BX33,BU26:BU37),SUMIF(BI26:BI37,$BX33,BP26:BP37)))</f>
        <v>1.03</v>
      </c>
      <c r="CA33" s="664">
        <f>IF(IF(CB33=CB38,SUMIF(BI26:BI37,$BX33,BS26:BS37),SUMIF(BI26:BI37,$BX33,BN26:BN37))=0,NA(),IF(CB33=CB38,SUMIF(BI26:BI37,$BX33,BS26:BS37),SUMIF(BI26:BI37,$BX33,BN26:BN37)))</f>
        <v>0.91683406990759342</v>
      </c>
      <c r="CB33" s="645">
        <v>23</v>
      </c>
      <c r="CC33" s="645">
        <f t="shared" si="4"/>
        <v>5</v>
      </c>
    </row>
    <row r="34" spans="1:81" ht="15" customHeight="1">
      <c r="B34" s="541" t="s">
        <v>330</v>
      </c>
      <c r="C34" s="542"/>
      <c r="D34" s="542"/>
      <c r="E34" s="542"/>
      <c r="F34" s="542"/>
      <c r="G34" s="543"/>
      <c r="H34" s="543"/>
      <c r="I34" s="543"/>
      <c r="J34" s="543"/>
      <c r="K34" s="543"/>
      <c r="L34" s="545"/>
      <c r="M34" s="542"/>
      <c r="N34" s="542"/>
      <c r="O34" s="532"/>
      <c r="P34" s="532"/>
      <c r="Q34" s="532"/>
      <c r="R34" s="532"/>
      <c r="S34" s="532"/>
      <c r="T34" s="532"/>
      <c r="U34" s="532"/>
      <c r="V34" s="532"/>
      <c r="W34" s="532"/>
      <c r="X34" s="532"/>
      <c r="Y34" s="532"/>
      <c r="Z34" s="532"/>
      <c r="AA34" s="532"/>
      <c r="AB34" s="532"/>
      <c r="AC34" s="532"/>
      <c r="AD34" s="532"/>
      <c r="AE34" s="532"/>
      <c r="AF34" s="532"/>
      <c r="AG34" s="532"/>
      <c r="AH34" s="532"/>
      <c r="AI34" s="532"/>
      <c r="AJ34" s="532"/>
      <c r="AK34" s="532"/>
      <c r="AL34" s="532"/>
      <c r="AM34" s="532"/>
      <c r="AN34" s="532"/>
      <c r="AO34" s="532"/>
      <c r="AP34" s="532"/>
      <c r="AQ34" s="532"/>
      <c r="AR34" s="532"/>
      <c r="AS34" s="532"/>
      <c r="AT34" s="532"/>
      <c r="AU34" s="532"/>
      <c r="AV34" s="532"/>
      <c r="AW34" s="532"/>
      <c r="AX34" s="532"/>
      <c r="AY34" s="532"/>
      <c r="AZ34" s="532"/>
      <c r="BA34" s="532"/>
      <c r="BB34" s="532"/>
      <c r="BC34" s="532"/>
      <c r="BD34" s="532"/>
      <c r="BE34" s="532"/>
      <c r="BI34" s="638" t="s">
        <v>331</v>
      </c>
      <c r="BJ34" s="638">
        <v>9</v>
      </c>
      <c r="BK34" s="638" t="s">
        <v>328</v>
      </c>
      <c r="BL34" s="832">
        <v>307.28399999999999</v>
      </c>
      <c r="BM34" s="690">
        <v>292.64600000000002</v>
      </c>
      <c r="BN34" s="842">
        <f t="shared" si="5"/>
        <v>1.0500194774574059</v>
      </c>
      <c r="BO34" s="835"/>
      <c r="BP34" s="655">
        <v>1.03</v>
      </c>
      <c r="BQ34" s="832"/>
      <c r="BR34" s="690"/>
      <c r="BS34" s="842" t="str">
        <f t="shared" si="6"/>
        <v/>
      </c>
      <c r="BT34" s="835"/>
      <c r="BU34" s="655">
        <v>1.03</v>
      </c>
      <c r="BX34" s="666" t="str">
        <f t="shared" si="3"/>
        <v>Jun</v>
      </c>
      <c r="BY34" s="643">
        <f>IF(CB34=$CB38,SUMIF($BI26:$BI37,$BX34,$BR26:$BR37),SUMIF($BI26:$BI37,$BX34,$BM26:$BM37))</f>
        <v>292.64600000000002</v>
      </c>
      <c r="BZ34" s="675">
        <f>IF(IF(CB34=CB38,SUMIF(BI26:BI37,$BX34,BU26:BU37),SUMIF(BI26:BI37,$BX34,BP26:BP37))=0,NA(),IF(CB34=CB38,SUMIF(BI26:BI37,$BX34,BU26:BU37),SUMIF(BI26:BI37,$BX34,BP26:BP37)))</f>
        <v>1.03</v>
      </c>
      <c r="CA34" s="664">
        <f>IF(IF(CB34=CB38,SUMIF(BI26:BI37,$BX34,BS26:BS37),SUMIF(BI26:BI37,$BX34,BN26:BN37))=0,NA(),IF(CB34=CB38,SUMIF(BI26:BI37,$BX34,BS26:BS37),SUMIF(BI26:BI37,$BX34,BN26:BN37)))</f>
        <v>1.0500194774574059</v>
      </c>
      <c r="CB34" s="645">
        <v>23</v>
      </c>
      <c r="CC34" s="645">
        <f t="shared" si="4"/>
        <v>6</v>
      </c>
    </row>
    <row r="35" spans="1:81" s="43" customFormat="1" ht="15" customHeight="1">
      <c r="B35" s="1124" t="s">
        <v>332</v>
      </c>
      <c r="C35" s="1124"/>
      <c r="D35" s="1124"/>
      <c r="E35" s="1124"/>
      <c r="F35" s="1124"/>
      <c r="G35" s="1124"/>
      <c r="H35" s="1124"/>
      <c r="I35" s="1124"/>
      <c r="J35" s="1124"/>
      <c r="K35" s="1124" t="s">
        <v>335</v>
      </c>
      <c r="L35" s="1124"/>
      <c r="M35" s="1124"/>
      <c r="N35" s="1124"/>
      <c r="O35" s="1124"/>
      <c r="P35" s="1124"/>
      <c r="Q35" s="1123" t="s">
        <v>713</v>
      </c>
      <c r="R35" s="1123"/>
      <c r="S35" s="1123"/>
      <c r="T35" s="1124" t="s">
        <v>712</v>
      </c>
      <c r="U35" s="1124"/>
      <c r="V35" s="1124"/>
      <c r="W35" s="1124"/>
      <c r="X35" s="1124"/>
      <c r="Y35" s="1124"/>
      <c r="Z35" s="1124"/>
      <c r="AA35" s="1124"/>
      <c r="AB35" s="1124"/>
      <c r="AC35" s="1153" t="s">
        <v>336</v>
      </c>
      <c r="AD35" s="1154"/>
      <c r="AE35" s="1154"/>
      <c r="AF35" s="1154"/>
      <c r="AG35" s="1154"/>
      <c r="AH35" s="1154"/>
      <c r="AI35" s="1154"/>
      <c r="AJ35" s="1154"/>
      <c r="AK35" s="1154"/>
      <c r="AL35" s="1154"/>
      <c r="AM35" s="1154"/>
      <c r="AN35" s="1154"/>
      <c r="AO35" s="1154"/>
      <c r="AP35" s="1154"/>
      <c r="AQ35" s="1154"/>
      <c r="AR35" s="1154"/>
      <c r="AS35" s="1154"/>
      <c r="AT35" s="1154"/>
      <c r="AU35" s="1154"/>
      <c r="AV35" s="1154"/>
      <c r="AW35" s="1154"/>
      <c r="AX35" s="1154"/>
      <c r="AY35" s="1154"/>
      <c r="AZ35" s="1154"/>
      <c r="BA35" s="1154"/>
      <c r="BB35" s="1154"/>
      <c r="BC35" s="1154"/>
      <c r="BD35" s="1154"/>
      <c r="BE35" s="1155"/>
      <c r="BH35" s="223"/>
      <c r="BI35" s="638" t="s">
        <v>337</v>
      </c>
      <c r="BJ35" s="638">
        <v>10</v>
      </c>
      <c r="BK35" s="638" t="s">
        <v>338</v>
      </c>
      <c r="BL35" s="832">
        <v>245.78</v>
      </c>
      <c r="BM35" s="822">
        <v>219.91</v>
      </c>
      <c r="BN35" s="842">
        <f t="shared" si="5"/>
        <v>1.1176390341503342</v>
      </c>
      <c r="BO35" s="843">
        <f>IF(SUM(BM35:BM37=0),0,SUM(BL35:BL37)/SUM(BM35:BM37))</f>
        <v>0.97385791200026539</v>
      </c>
      <c r="BP35" s="655">
        <v>1.03</v>
      </c>
      <c r="BQ35" s="832"/>
      <c r="BR35" s="822"/>
      <c r="BS35" s="842" t="str">
        <f t="shared" si="6"/>
        <v/>
      </c>
      <c r="BT35" s="843">
        <f>IF(SUM(BR35:BR37=0),0,SUM(BQ35:BQ37)/SUM(BR35:BR37))</f>
        <v>0</v>
      </c>
      <c r="BU35" s="655">
        <v>1.03</v>
      </c>
      <c r="BV35" s="270"/>
      <c r="BW35" s="6"/>
      <c r="BX35" s="666" t="str">
        <f t="shared" si="3"/>
        <v>Jul</v>
      </c>
      <c r="BY35" s="643">
        <f>IF(CB35=$CB38,SUMIF($BI26:$BI37,$BX35,$BR26:$BR37),SUMIF($BI26:$BI37,$BX35,$BM26:$BM37))</f>
        <v>219.91</v>
      </c>
      <c r="BZ35" s="675">
        <f>IF(IF(CB35=CB38,SUMIF(BI26:BI37,$BX35,BU26:BU37),SUMIF(BI26:BI37,$BX35,BP26:BP37))=0,NA(),IF(CB35=CB38,SUMIF(BI26:BI37,$BX35,BU26:BU37),SUMIF(BI26:BI37,$BX35,BP26:BP37)))</f>
        <v>1.03</v>
      </c>
      <c r="CA35" s="664">
        <f>IF(IF(CB35=CB38,SUMIF(BI26:BI37,$BX35,BS26:BS37),SUMIF(BI26:BI37,$BX35,BN26:BN37))=0,NA(),IF(CB35=CB38,SUMIF(BI26:BI37,$BX35,BS26:BS37),SUMIF(BI26:BI37,$BX35,BN26:BN37)))</f>
        <v>1.1176390341503342</v>
      </c>
      <c r="CB35" s="645">
        <v>23</v>
      </c>
      <c r="CC35" s="645">
        <f t="shared" si="4"/>
        <v>7</v>
      </c>
    </row>
    <row r="36" spans="1:81" s="43" customFormat="1" ht="15" customHeight="1">
      <c r="B36" s="1124"/>
      <c r="C36" s="1124"/>
      <c r="D36" s="1124"/>
      <c r="E36" s="1124"/>
      <c r="F36" s="1124"/>
      <c r="G36" s="1124"/>
      <c r="H36" s="1124"/>
      <c r="I36" s="1124"/>
      <c r="J36" s="1124"/>
      <c r="K36" s="1124" t="s">
        <v>23</v>
      </c>
      <c r="L36" s="1124"/>
      <c r="M36" s="1124"/>
      <c r="N36" s="1124" t="s">
        <v>339</v>
      </c>
      <c r="O36" s="1124"/>
      <c r="P36" s="1124"/>
      <c r="Q36" s="1123"/>
      <c r="R36" s="1123"/>
      <c r="S36" s="1123"/>
      <c r="T36" s="1123" t="s">
        <v>340</v>
      </c>
      <c r="U36" s="1123"/>
      <c r="V36" s="1123"/>
      <c r="W36" s="1123" t="s">
        <v>341</v>
      </c>
      <c r="X36" s="1123"/>
      <c r="Y36" s="1123"/>
      <c r="Z36" s="1123" t="s">
        <v>342</v>
      </c>
      <c r="AA36" s="1123"/>
      <c r="AB36" s="1123"/>
      <c r="AC36" s="1156"/>
      <c r="AD36" s="1157"/>
      <c r="AE36" s="1157"/>
      <c r="AF36" s="1157"/>
      <c r="AG36" s="1157"/>
      <c r="AH36" s="1157"/>
      <c r="AI36" s="1157"/>
      <c r="AJ36" s="1157"/>
      <c r="AK36" s="1157"/>
      <c r="AL36" s="1157"/>
      <c r="AM36" s="1157"/>
      <c r="AN36" s="1157"/>
      <c r="AO36" s="1157"/>
      <c r="AP36" s="1157"/>
      <c r="AQ36" s="1157"/>
      <c r="AR36" s="1157"/>
      <c r="AS36" s="1157"/>
      <c r="AT36" s="1157"/>
      <c r="AU36" s="1157"/>
      <c r="AV36" s="1157"/>
      <c r="AW36" s="1157"/>
      <c r="AX36" s="1157"/>
      <c r="AY36" s="1157"/>
      <c r="AZ36" s="1157"/>
      <c r="BA36" s="1157"/>
      <c r="BB36" s="1157"/>
      <c r="BC36" s="1157"/>
      <c r="BD36" s="1157"/>
      <c r="BE36" s="1158"/>
      <c r="BH36" s="223"/>
      <c r="BI36" s="638" t="s">
        <v>343</v>
      </c>
      <c r="BJ36" s="638">
        <v>11</v>
      </c>
      <c r="BK36" s="638" t="s">
        <v>338</v>
      </c>
      <c r="BL36" s="832">
        <v>240.89699999999999</v>
      </c>
      <c r="BM36" s="822">
        <v>234.52</v>
      </c>
      <c r="BN36" s="842">
        <f t="shared" si="5"/>
        <v>1.027191710728296</v>
      </c>
      <c r="BO36" s="835"/>
      <c r="BP36" s="655">
        <v>1.03</v>
      </c>
      <c r="BQ36" s="832"/>
      <c r="BR36" s="822"/>
      <c r="BS36" s="842" t="str">
        <f t="shared" si="6"/>
        <v/>
      </c>
      <c r="BT36" s="835"/>
      <c r="BU36" s="655">
        <v>1.03</v>
      </c>
      <c r="BV36" s="270"/>
      <c r="BW36" s="6"/>
      <c r="BX36" s="666" t="str">
        <f t="shared" si="3"/>
        <v>Aug</v>
      </c>
      <c r="BY36" s="643">
        <f>IF(CB36=$CB38,SUMIF($BI26:$BI37,$BX36,$BR26:$BR37),SUMIF($BI26:$BI37,$BX36,$BM26:$BM37))</f>
        <v>234.52</v>
      </c>
      <c r="BZ36" s="675">
        <f>IF(IF(CB36=CB38,SUMIF(BI26:BI37,$BX36,BU26:BU37),SUMIF(BI26:BI37,$BX36,BP26:BP37))=0,NA(),IF(CB36=CB38,SUMIF(BI26:BI37,$BX36,BU26:BU37),SUMIF(BI26:BI37,$BX36,BP26:BP37)))</f>
        <v>1.03</v>
      </c>
      <c r="CA36" s="664">
        <f>IF(IF(CB36=CB38,SUMIF(BI26:BI37,$BX36,BS26:BS37),SUMIF(BI26:BI37,$BX36,BN26:BN37))=0,NA(),IF(CB36=CB38,SUMIF(BI26:BI37,$BX36,BS26:BS37),SUMIF(BI26:BI37,$BX36,BN26:BN37)))</f>
        <v>1.027191710728296</v>
      </c>
      <c r="CB36" s="645">
        <v>23</v>
      </c>
      <c r="CC36" s="645">
        <f t="shared" si="4"/>
        <v>8</v>
      </c>
    </row>
    <row r="37" spans="1:81" s="43" customFormat="1" ht="15" customHeight="1">
      <c r="B37" s="1124"/>
      <c r="C37" s="1124"/>
      <c r="D37" s="1124"/>
      <c r="E37" s="1124"/>
      <c r="F37" s="1124"/>
      <c r="G37" s="1124"/>
      <c r="H37" s="1124"/>
      <c r="I37" s="1124"/>
      <c r="J37" s="1124"/>
      <c r="K37" s="1124"/>
      <c r="L37" s="1124"/>
      <c r="M37" s="1124"/>
      <c r="N37" s="1124"/>
      <c r="O37" s="1124"/>
      <c r="P37" s="1124"/>
      <c r="Q37" s="1123"/>
      <c r="R37" s="1123"/>
      <c r="S37" s="1123"/>
      <c r="T37" s="1123"/>
      <c r="U37" s="1123"/>
      <c r="V37" s="1123"/>
      <c r="W37" s="1123"/>
      <c r="X37" s="1123"/>
      <c r="Y37" s="1123"/>
      <c r="Z37" s="1123"/>
      <c r="AA37" s="1123"/>
      <c r="AB37" s="1123"/>
      <c r="AC37" s="1159"/>
      <c r="AD37" s="1160"/>
      <c r="AE37" s="1160"/>
      <c r="AF37" s="1160"/>
      <c r="AG37" s="1160"/>
      <c r="AH37" s="1160"/>
      <c r="AI37" s="1160"/>
      <c r="AJ37" s="1160"/>
      <c r="AK37" s="1160"/>
      <c r="AL37" s="1160"/>
      <c r="AM37" s="1160"/>
      <c r="AN37" s="1160"/>
      <c r="AO37" s="1160"/>
      <c r="AP37" s="1160"/>
      <c r="AQ37" s="1160"/>
      <c r="AR37" s="1160"/>
      <c r="AS37" s="1160"/>
      <c r="AT37" s="1160"/>
      <c r="AU37" s="1160"/>
      <c r="AV37" s="1160"/>
      <c r="AW37" s="1160"/>
      <c r="AX37" s="1160"/>
      <c r="AY37" s="1160"/>
      <c r="AZ37" s="1160"/>
      <c r="BA37" s="1160"/>
      <c r="BB37" s="1160"/>
      <c r="BC37" s="1160"/>
      <c r="BD37" s="1160"/>
      <c r="BE37" s="1161"/>
      <c r="BH37" s="223"/>
      <c r="BI37" s="638" t="s">
        <v>344</v>
      </c>
      <c r="BJ37" s="638">
        <v>12</v>
      </c>
      <c r="BK37" s="638" t="s">
        <v>338</v>
      </c>
      <c r="BL37" s="832">
        <v>305.75799999999998</v>
      </c>
      <c r="BM37" s="822">
        <v>359.27699999999999</v>
      </c>
      <c r="BN37" s="842">
        <f t="shared" si="5"/>
        <v>0.85103694363958726</v>
      </c>
      <c r="BO37" s="835"/>
      <c r="BP37" s="655">
        <v>1.03</v>
      </c>
      <c r="BQ37" s="832"/>
      <c r="BR37" s="822"/>
      <c r="BS37" s="842" t="str">
        <f t="shared" si="6"/>
        <v/>
      </c>
      <c r="BT37" s="835"/>
      <c r="BU37" s="655">
        <v>1.03</v>
      </c>
      <c r="BV37" s="270"/>
      <c r="BW37" s="6"/>
      <c r="BX37" s="666" t="str">
        <f t="shared" si="3"/>
        <v>Sep</v>
      </c>
      <c r="BY37" s="643">
        <f>IF(CB37=$CB38,SUMIF($BI26:$BI37,$BX37,$BR26:$BR37),SUMIF($BI26:$BI37,$BX37,$BM26:$BM37))</f>
        <v>359.27699999999999</v>
      </c>
      <c r="BZ37" s="675">
        <f>IF(IF(CB37=CB38,SUMIF(BI26:BI37,$BX37,BU26:BU37),SUMIF(BI26:BI37,$BX37,BP26:BP37))=0,NA(),IF(CB37=CB38,SUMIF(BI26:BI37,$BX37,BU26:BU37),SUMIF(BI26:BI37,$BX37,BP26:BP37)))</f>
        <v>1.03</v>
      </c>
      <c r="CA37" s="664">
        <f>IF(IF(CB37=CB38,SUMIF(BI26:BI37,$BX37,BS26:BS37),SUMIF(BI26:BI37,$BX37,BN26:BN37))=0,NA(),IF(CB37=CB38,SUMIF(BI26:BI37,$BX37,BS26:BS37),SUMIF(BI26:BI37,$BX37,BN26:BN37)))</f>
        <v>0.85103694363958726</v>
      </c>
      <c r="CB37" s="645">
        <v>23</v>
      </c>
      <c r="CC37" s="645">
        <f>IF(CC38-1&lt;1,CC38+11,CC38-1)</f>
        <v>9</v>
      </c>
    </row>
    <row r="38" spans="1:81" s="43" customFormat="1" ht="45" customHeight="1">
      <c r="A38" s="6"/>
      <c r="B38" s="1126" t="s">
        <v>145</v>
      </c>
      <c r="C38" s="1126"/>
      <c r="D38" s="1126"/>
      <c r="E38" s="1126"/>
      <c r="F38" s="1126"/>
      <c r="G38" s="1126"/>
      <c r="H38" s="1126"/>
      <c r="I38" s="1126"/>
      <c r="J38" s="1126"/>
      <c r="K38" s="1299">
        <f>SUMIF(PR!$BJ$26:$BJ$37,Cover!$M$36,PR!$BN$26:$BN$37)</f>
        <v>0.88982427904889383</v>
      </c>
      <c r="L38" s="1299"/>
      <c r="M38" s="1299"/>
      <c r="N38" s="1299">
        <f>SUMIF(PR!$BK$26:$BK$37,Cover!$M$35,PR!$BO$26:$BO$37)</f>
        <v>0.99087236125721867</v>
      </c>
      <c r="O38" s="1299"/>
      <c r="P38" s="1299"/>
      <c r="Q38" s="1301">
        <f>SUMIF(PR!$BJ$26:$BJ$37,Cover!$M$36,PR!$BU$26:$BU$37)</f>
        <v>1.03</v>
      </c>
      <c r="R38" s="1301"/>
      <c r="S38" s="1301"/>
      <c r="T38" s="1299">
        <f>IF(Cover!$M$36=1,SUMIF($BJ$26:$BJ$37,12,$BN$26:$BN$37),SUMIF(PR!$BJ$26:$BJ$37,Cover!$M$36-1,PR!$BS$26:$BS$37))</f>
        <v>0.85103694363958726</v>
      </c>
      <c r="U38" s="1299"/>
      <c r="V38" s="1299"/>
      <c r="W38" s="1299">
        <f>SUMIF(PR!$BJ$26:$BJ$37,Cover!$M$36,PR!$BS$26:$BS$37)</f>
        <v>0.84746064905924412</v>
      </c>
      <c r="X38" s="1299"/>
      <c r="Y38" s="1299"/>
      <c r="Z38" s="1299">
        <f>SUMIF(PR!$BK$26:$BK$37,Cover!$M$35,PR!$BT$26:$BT$37)</f>
        <v>0.84746064905924412</v>
      </c>
      <c r="AA38" s="1299"/>
      <c r="AB38" s="1299"/>
      <c r="AC38" s="1291" t="s">
        <v>740</v>
      </c>
      <c r="AD38" s="1292"/>
      <c r="AE38" s="1292"/>
      <c r="AF38" s="1292"/>
      <c r="AG38" s="1292"/>
      <c r="AH38" s="1292"/>
      <c r="AI38" s="1292"/>
      <c r="AJ38" s="1292"/>
      <c r="AK38" s="1292"/>
      <c r="AL38" s="1292"/>
      <c r="AM38" s="1292"/>
      <c r="AN38" s="1292"/>
      <c r="AO38" s="1292"/>
      <c r="AP38" s="1292"/>
      <c r="AQ38" s="1292"/>
      <c r="AR38" s="1292"/>
      <c r="AS38" s="1292"/>
      <c r="AT38" s="1292"/>
      <c r="AU38" s="1292"/>
      <c r="AV38" s="1292"/>
      <c r="AW38" s="1292"/>
      <c r="AX38" s="1292"/>
      <c r="AY38" s="1292"/>
      <c r="AZ38" s="1292"/>
      <c r="BA38" s="1292"/>
      <c r="BB38" s="1292"/>
      <c r="BC38" s="1292"/>
      <c r="BD38" s="1292"/>
      <c r="BE38" s="1293"/>
      <c r="BH38" s="160">
        <f>IF(Q38=0,4,IF(W38=0,0,IF(Q38="","",IF(W38&lt;=Q38,1,IF(W38&gt;Q38*1.1,3,2)))))</f>
        <v>1</v>
      </c>
      <c r="BI38" s="277"/>
      <c r="BJ38" s="277"/>
      <c r="BK38" s="277"/>
      <c r="BL38" s="399"/>
      <c r="BM38" s="400"/>
      <c r="BN38" s="401"/>
      <c r="BO38" s="270"/>
      <c r="BP38" s="270"/>
      <c r="BQ38" s="270"/>
      <c r="BR38" s="270"/>
      <c r="BS38" s="270"/>
      <c r="BT38" s="270"/>
      <c r="BU38" s="270"/>
      <c r="BV38" s="270"/>
      <c r="BW38" s="667" t="str">
        <f>Cover!$M$34</f>
        <v>OCT FY-24</v>
      </c>
      <c r="BX38" s="666" t="str">
        <f>TEXT(CONCATENATE(CC38,"/01/20",CB38),"MMM")</f>
        <v>Oct</v>
      </c>
      <c r="BY38" s="643">
        <f>SUMIF($BI26:$BI37,$BX38,$BR26:$BR37)</f>
        <v>297.26100000000002</v>
      </c>
      <c r="BZ38" s="675">
        <f>IF(IF(CB38=CB38,SUMIF(BI26:BI37,$BX38,BU26:BU37),SUMIF(BI26:BI37,$BX38,BP26:BP37))=0,NA(),IF(CB38=CB38,SUMIF(BI26:BI37,$BX38,BU26:BU37),SUMIF(BI26:BI37,$BX38,BP26:BP37)))</f>
        <v>1.03</v>
      </c>
      <c r="CA38" s="664">
        <f>IF(SUMIF($BI26:$BI37,$BX38,$BS26:$BS37)=0,NA(),SUMIF($BI26:$BI37,$BX38,$BS26:$BS37))</f>
        <v>0.84746064905924412</v>
      </c>
      <c r="CB38" s="645">
        <v>24</v>
      </c>
      <c r="CC38" s="645">
        <f>MONTH(DATEVALUE(LEFT(BW38,3)&amp;" 1"))</f>
        <v>10</v>
      </c>
    </row>
    <row r="39" spans="1:81" s="43" customFormat="1" ht="45" customHeight="1">
      <c r="A39" s="6"/>
      <c r="B39" s="1177" t="s">
        <v>423</v>
      </c>
      <c r="C39" s="1177"/>
      <c r="D39" s="1177"/>
      <c r="E39" s="1177"/>
      <c r="F39" s="1177"/>
      <c r="G39" s="1177"/>
      <c r="H39" s="1177"/>
      <c r="I39" s="1177"/>
      <c r="J39" s="1177"/>
      <c r="K39" s="1125">
        <f>SUMIF(PR!$BJ$45:$BJ$56,Cover!$M$36,PR!$BN$45:$BN$56)</f>
        <v>0.99469026548672557</v>
      </c>
      <c r="L39" s="1125"/>
      <c r="M39" s="1125"/>
      <c r="N39" s="1125">
        <f>SUMIF(PR!$BK$45:$BK$56,Cover!$M$35,PR!$BO$45:$BO$56)</f>
        <v>0.99419901829540369</v>
      </c>
      <c r="O39" s="1125"/>
      <c r="P39" s="1125"/>
      <c r="Q39" s="1285">
        <f>SUMIF(PR!$BJ$45:$BJ$56,Cover!$M$36,PR!$BU$45:$BU$56)</f>
        <v>0.99</v>
      </c>
      <c r="R39" s="1285"/>
      <c r="S39" s="1285"/>
      <c r="T39" s="1125">
        <f>IF(Cover!$M$36=1,SUMIF($BJ$45:$BJ$56,12,$BN$45:$BN$56),SUMIF(PR!$BJ$45:$BJ$56,Cover!$M$36-1,PR!$BS$45:$BS$56))</f>
        <v>0.99152542372881347</v>
      </c>
      <c r="U39" s="1125"/>
      <c r="V39" s="1125"/>
      <c r="W39" s="1125">
        <f>SUMIF(PR!$BJ$45:$BJ$56,Cover!$M$36,PR!$BS$45:$BS$56)</f>
        <v>0.98009950248756217</v>
      </c>
      <c r="X39" s="1125"/>
      <c r="Y39" s="1125"/>
      <c r="Z39" s="1125">
        <f>SUMIF(PR!$BK$45:$BK$56,Cover!$M$35,PR!$BT$45:$BT$56)</f>
        <v>0.98009950248756217</v>
      </c>
      <c r="AA39" s="1125"/>
      <c r="AB39" s="1125"/>
      <c r="AC39" s="1294" t="s">
        <v>741</v>
      </c>
      <c r="AD39" s="1295"/>
      <c r="AE39" s="1295"/>
      <c r="AF39" s="1295"/>
      <c r="AG39" s="1295"/>
      <c r="AH39" s="1295"/>
      <c r="AI39" s="1295"/>
      <c r="AJ39" s="1295"/>
      <c r="AK39" s="1295"/>
      <c r="AL39" s="1295"/>
      <c r="AM39" s="1295"/>
      <c r="AN39" s="1295"/>
      <c r="AO39" s="1295"/>
      <c r="AP39" s="1295"/>
      <c r="AQ39" s="1295"/>
      <c r="AR39" s="1295"/>
      <c r="AS39" s="1295"/>
      <c r="AT39" s="1295"/>
      <c r="AU39" s="1295"/>
      <c r="AV39" s="1295"/>
      <c r="AW39" s="1295"/>
      <c r="AX39" s="1295"/>
      <c r="AY39" s="1295"/>
      <c r="AZ39" s="1295"/>
      <c r="BA39" s="1295"/>
      <c r="BB39" s="1295"/>
      <c r="BC39" s="1295"/>
      <c r="BD39" s="1295"/>
      <c r="BE39" s="1296"/>
      <c r="BH39" s="160">
        <f>IF(Q39=0,4,IF(W39=0,0,IF(Q39="","",IF(W39&gt;=Q39,1,IF(W39&lt;Q39*0.9,3,2)))))</f>
        <v>2</v>
      </c>
      <c r="BJ39" s="245"/>
      <c r="BV39" s="270"/>
      <c r="BW39" s="6"/>
      <c r="BX39" s="6"/>
      <c r="BY39" s="6"/>
      <c r="BZ39" s="6"/>
      <c r="CA39" s="6"/>
      <c r="CB39" s="6"/>
      <c r="CC39" s="6"/>
    </row>
    <row r="40" spans="1:81" ht="45" customHeight="1">
      <c r="B40" s="1126" t="s">
        <v>362</v>
      </c>
      <c r="C40" s="1126"/>
      <c r="D40" s="1126"/>
      <c r="E40" s="1126"/>
      <c r="F40" s="1126"/>
      <c r="G40" s="1126"/>
      <c r="H40" s="1126"/>
      <c r="I40" s="1126"/>
      <c r="J40" s="1126"/>
      <c r="K40" s="1125">
        <f>SUMIF(PR!$BJ$64:$BJ$75,Cover!$M$36,PR!$BN$64:$BN$75)</f>
        <v>0.99227441285537687</v>
      </c>
      <c r="L40" s="1125"/>
      <c r="M40" s="1125"/>
      <c r="N40" s="1125">
        <f>SUMIF(PR!$BK$64:$BK$75,Cover!$M$35,PR!$BO$64:$BO$75)</f>
        <v>0.98735095904613768</v>
      </c>
      <c r="O40" s="1125"/>
      <c r="P40" s="1125"/>
      <c r="Q40" s="1335">
        <f>SUMIF(PR!$BJ$64:$BJ$75,Cover!$M$36,PR!$BU$64:$BU$75)</f>
        <v>0.9</v>
      </c>
      <c r="R40" s="1335"/>
      <c r="S40" s="1335"/>
      <c r="T40" s="1125">
        <f>IF(Cover!$M$36=1,SUMIF($BJ$64:$BJ$75,12,$BN$64:$BN$75),SUMIF(PR!$BJ$64:$BJ$75,Cover!$M$36-1,PR!$BS$64:$BS$75))</f>
        <v>0.99970335212103234</v>
      </c>
      <c r="U40" s="1125"/>
      <c r="V40" s="1125"/>
      <c r="W40" s="1125">
        <f>SUMIF(PR!$BJ$64:$BJ$75,Cover!$M$36,PR!$BS$64:$BS$75)</f>
        <v>0.96927248079530048</v>
      </c>
      <c r="X40" s="1125"/>
      <c r="Y40" s="1125"/>
      <c r="Z40" s="1125">
        <f>SUMIF(PR!$BK$64:$BK$75,Cover!$M$35,PR!$BT$64:$BT$75)</f>
        <v>0.96927248079530048</v>
      </c>
      <c r="AA40" s="1125"/>
      <c r="AB40" s="1125"/>
      <c r="AC40" s="1291" t="s">
        <v>742</v>
      </c>
      <c r="AD40" s="1292"/>
      <c r="AE40" s="1292"/>
      <c r="AF40" s="1292"/>
      <c r="AG40" s="1292"/>
      <c r="AH40" s="1292"/>
      <c r="AI40" s="1292"/>
      <c r="AJ40" s="1292"/>
      <c r="AK40" s="1292"/>
      <c r="AL40" s="1292"/>
      <c r="AM40" s="1292"/>
      <c r="AN40" s="1292"/>
      <c r="AO40" s="1292"/>
      <c r="AP40" s="1292"/>
      <c r="AQ40" s="1292"/>
      <c r="AR40" s="1292"/>
      <c r="AS40" s="1292"/>
      <c r="AT40" s="1292"/>
      <c r="AU40" s="1292"/>
      <c r="AV40" s="1292"/>
      <c r="AW40" s="1292"/>
      <c r="AX40" s="1292"/>
      <c r="AY40" s="1292"/>
      <c r="AZ40" s="1292"/>
      <c r="BA40" s="1292"/>
      <c r="BB40" s="1292"/>
      <c r="BC40" s="1292"/>
      <c r="BD40" s="1292"/>
      <c r="BE40" s="1293"/>
      <c r="BF40" s="43"/>
      <c r="BH40" s="160">
        <f>IF(Q40=0,4,IF(W40=0,0,IF(Q40="","",IF(W40&gt;=Q40,1,IF(W40&lt;Q40*0.9,3,2)))))</f>
        <v>1</v>
      </c>
      <c r="BI40" s="54" t="s">
        <v>292</v>
      </c>
      <c r="BJ40" s="1116" t="s">
        <v>424</v>
      </c>
      <c r="BK40" s="1116"/>
      <c r="BL40" s="1116"/>
      <c r="BM40" s="1116"/>
      <c r="BN40" s="1116"/>
      <c r="BO40" s="1116"/>
      <c r="BP40" s="1116"/>
      <c r="BQ40" s="1116"/>
      <c r="BR40" s="1116"/>
      <c r="BS40" s="1116"/>
      <c r="BT40" s="1116"/>
      <c r="BU40" s="1116"/>
      <c r="BY40" s="270"/>
      <c r="BZ40" s="270"/>
      <c r="CA40" s="270"/>
      <c r="CB40" s="270"/>
      <c r="CC40" s="270"/>
    </row>
    <row r="41" spans="1:81" customFormat="1" ht="15" customHeight="1">
      <c r="A41" s="6"/>
      <c r="B41" s="336"/>
      <c r="C41" s="336"/>
      <c r="D41" s="336"/>
      <c r="E41" s="336"/>
      <c r="F41" s="336"/>
      <c r="G41" s="336"/>
      <c r="H41" s="336"/>
      <c r="I41" s="336"/>
      <c r="J41" s="336"/>
      <c r="K41" s="336"/>
      <c r="L41" s="336"/>
      <c r="M41" s="336"/>
      <c r="N41" s="336"/>
      <c r="O41" s="336"/>
      <c r="P41" s="336"/>
      <c r="Q41" s="336"/>
      <c r="R41" s="336"/>
      <c r="S41" s="336"/>
      <c r="T41" s="336"/>
      <c r="U41" s="336"/>
      <c r="V41" s="336"/>
      <c r="W41" s="336"/>
      <c r="X41" s="336"/>
      <c r="Y41" s="336"/>
      <c r="Z41" s="336"/>
      <c r="AA41" s="336"/>
      <c r="AB41" s="336"/>
      <c r="AC41" s="336"/>
      <c r="AD41" s="336"/>
      <c r="AE41" s="336"/>
      <c r="AF41" s="336"/>
      <c r="AG41" s="336"/>
      <c r="AH41" s="336"/>
      <c r="AI41" s="336"/>
      <c r="AJ41" s="336"/>
      <c r="AK41" s="336"/>
      <c r="AL41" s="336"/>
      <c r="AM41" s="336"/>
      <c r="AN41" s="336"/>
      <c r="AO41" s="336"/>
      <c r="AP41" s="336"/>
      <c r="AQ41" s="336"/>
      <c r="AR41" s="336"/>
      <c r="AS41" s="336"/>
      <c r="AT41" s="336"/>
      <c r="AU41" s="336"/>
      <c r="AV41" s="336"/>
      <c r="AW41" s="336"/>
      <c r="AX41" s="336"/>
      <c r="AY41" s="336"/>
      <c r="AZ41" s="336"/>
      <c r="BA41" s="336"/>
      <c r="BB41" s="336"/>
      <c r="BC41" s="336"/>
      <c r="BD41" s="336"/>
      <c r="BE41" s="336"/>
      <c r="BF41" s="6"/>
      <c r="BH41" s="6"/>
      <c r="BI41" s="54" t="s">
        <v>296</v>
      </c>
      <c r="BJ41" s="283" t="s">
        <v>425</v>
      </c>
      <c r="BK41" s="283"/>
      <c r="BL41" s="283"/>
      <c r="BM41" s="283"/>
      <c r="BN41" s="283"/>
      <c r="BO41" s="283"/>
      <c r="BP41" s="283"/>
      <c r="BQ41" s="283"/>
      <c r="BR41" s="283"/>
      <c r="BS41" s="283"/>
      <c r="BT41" s="283"/>
      <c r="BU41" s="283"/>
      <c r="BV41" s="270"/>
      <c r="BW41" s="270"/>
      <c r="BX41" s="270"/>
      <c r="BY41" s="6"/>
      <c r="BZ41" s="6"/>
      <c r="CA41" s="6"/>
      <c r="CB41" s="6"/>
      <c r="CC41" s="6"/>
    </row>
    <row r="42" spans="1:81" ht="15" customHeight="1" thickBot="1">
      <c r="A42"/>
      <c r="B42" s="531" t="s">
        <v>350</v>
      </c>
      <c r="C42" s="533"/>
      <c r="D42" s="533"/>
      <c r="E42" s="533"/>
      <c r="F42" s="533"/>
      <c r="G42" s="532"/>
      <c r="H42" s="532"/>
      <c r="I42" s="532"/>
      <c r="J42" s="532"/>
      <c r="K42" s="532"/>
      <c r="L42" s="539"/>
      <c r="M42" s="533"/>
      <c r="N42" s="533"/>
      <c r="O42" s="532"/>
      <c r="P42" s="532"/>
      <c r="Q42" s="532"/>
      <c r="R42" s="532"/>
      <c r="S42" s="532"/>
      <c r="T42" s="532"/>
      <c r="U42" s="532"/>
      <c r="V42" s="532"/>
      <c r="W42" s="532"/>
      <c r="X42" s="532"/>
      <c r="Y42" s="532"/>
      <c r="Z42" s="532"/>
      <c r="AA42" s="532"/>
      <c r="AB42" s="532"/>
      <c r="AC42" s="532"/>
      <c r="AD42" s="532"/>
      <c r="AE42" s="532"/>
      <c r="AF42" s="532"/>
      <c r="AG42" s="532"/>
      <c r="AH42" s="532"/>
      <c r="AI42" s="532"/>
      <c r="AJ42" s="532"/>
      <c r="AK42" s="532"/>
      <c r="AL42" s="532"/>
      <c r="AM42" s="532"/>
      <c r="AN42" s="532"/>
      <c r="AO42" s="532"/>
      <c r="AP42" s="532"/>
      <c r="AQ42" s="532"/>
      <c r="AR42" s="532"/>
      <c r="AS42" s="532"/>
      <c r="AT42" s="532"/>
      <c r="AU42" s="532"/>
      <c r="AV42" s="532"/>
      <c r="AW42" s="532"/>
      <c r="AX42" s="532"/>
      <c r="AY42" s="532"/>
      <c r="AZ42" s="532"/>
      <c r="BA42" s="532"/>
      <c r="BB42" s="532"/>
      <c r="BC42" s="532"/>
      <c r="BD42" s="532"/>
      <c r="BE42" s="532"/>
      <c r="BF42"/>
      <c r="BI42" s="54" t="s">
        <v>300</v>
      </c>
      <c r="BJ42" s="283" t="s">
        <v>426</v>
      </c>
      <c r="BK42" s="283"/>
      <c r="BL42" s="283"/>
      <c r="BM42" s="283"/>
      <c r="BN42" s="283"/>
      <c r="BO42" s="283"/>
      <c r="BP42" s="283"/>
      <c r="BQ42" s="283"/>
      <c r="BR42" s="283"/>
      <c r="BS42" s="283"/>
      <c r="BT42" s="283"/>
      <c r="BU42" s="283"/>
      <c r="BY42" s="270"/>
      <c r="BZ42" s="270"/>
      <c r="CA42" s="270"/>
      <c r="CB42" s="270"/>
      <c r="CC42" s="270"/>
    </row>
    <row r="43" spans="1:81" ht="15" customHeight="1" thickBot="1">
      <c r="F43" s="337"/>
      <c r="G43" s="338"/>
      <c r="BI43" s="277"/>
      <c r="BJ43" s="277"/>
      <c r="BK43" s="277"/>
      <c r="BL43" s="1148" t="s">
        <v>302</v>
      </c>
      <c r="BM43" s="1149"/>
      <c r="BN43" s="1149"/>
      <c r="BO43" s="1149"/>
      <c r="BP43" s="1151"/>
      <c r="BQ43" s="1148" t="s">
        <v>719</v>
      </c>
      <c r="BR43" s="1149"/>
      <c r="BS43" s="1149"/>
      <c r="BT43" s="1149"/>
      <c r="BU43" s="1150"/>
      <c r="BW43" s="1148" t="s">
        <v>303</v>
      </c>
      <c r="BX43" s="1149"/>
      <c r="BY43" s="1149"/>
      <c r="BZ43" s="1149"/>
      <c r="CA43" s="1149"/>
      <c r="CB43" s="1149"/>
      <c r="CC43" s="1150"/>
    </row>
    <row r="44" spans="1:81" ht="15" customHeight="1">
      <c r="B44" s="52"/>
      <c r="F44" s="337"/>
      <c r="G44" s="338"/>
      <c r="AD44" s="336"/>
      <c r="BI44" s="636" t="s">
        <v>23</v>
      </c>
      <c r="BJ44" s="636" t="s">
        <v>37</v>
      </c>
      <c r="BK44" s="636" t="s">
        <v>304</v>
      </c>
      <c r="BL44" s="637" t="s">
        <v>305</v>
      </c>
      <c r="BM44" s="637" t="s">
        <v>310</v>
      </c>
      <c r="BN44" s="637" t="s">
        <v>311</v>
      </c>
      <c r="BO44" s="278" t="s">
        <v>312</v>
      </c>
      <c r="BP44" s="637" t="s">
        <v>313</v>
      </c>
      <c r="BQ44" s="637" t="s">
        <v>305</v>
      </c>
      <c r="BR44" s="637" t="s">
        <v>715</v>
      </c>
      <c r="BS44" s="637" t="s">
        <v>716</v>
      </c>
      <c r="BT44" s="278" t="s">
        <v>717</v>
      </c>
      <c r="BU44" s="637" t="s">
        <v>718</v>
      </c>
      <c r="BW44" s="279" t="s">
        <v>314</v>
      </c>
      <c r="BX44" s="279" t="s">
        <v>23</v>
      </c>
      <c r="BY44" s="280" t="s">
        <v>315</v>
      </c>
      <c r="BZ44" s="279" t="s">
        <v>122</v>
      </c>
      <c r="CA44" s="279" t="s">
        <v>316</v>
      </c>
      <c r="CB44" s="279" t="s">
        <v>317</v>
      </c>
      <c r="CC44" s="279" t="s">
        <v>318</v>
      </c>
    </row>
    <row r="45" spans="1:81" ht="15" customHeight="1">
      <c r="BI45" s="638" t="s">
        <v>319</v>
      </c>
      <c r="BJ45" s="638">
        <v>1</v>
      </c>
      <c r="BK45" s="638" t="s">
        <v>320</v>
      </c>
      <c r="BL45" s="690">
        <v>1.6859999999999999</v>
      </c>
      <c r="BM45" s="690">
        <v>1.6950000000000001</v>
      </c>
      <c r="BN45" s="653">
        <f>IF(BM45="","",BL45/BM45)</f>
        <v>0.99469026548672557</v>
      </c>
      <c r="BO45" s="289">
        <f>IF(SUM(BM45:BM47=0),0,SUM(BL45:BL47)/SUM(BM45:BM47))</f>
        <v>0.99419901829540369</v>
      </c>
      <c r="BP45" s="821">
        <v>0.99</v>
      </c>
      <c r="BQ45" s="690">
        <v>1.379</v>
      </c>
      <c r="BR45" s="690">
        <v>1.407</v>
      </c>
      <c r="BS45" s="653">
        <f>IF(BR45="","",BQ45/BR45)</f>
        <v>0.98009950248756217</v>
      </c>
      <c r="BT45" s="289">
        <f>IF(SUM(BR45:BR47=0),0,SUM(BQ45:BQ47)/SUM(BR45:BR47))</f>
        <v>0.98009950248756217</v>
      </c>
      <c r="BU45" s="821">
        <v>0.99</v>
      </c>
      <c r="BX45" s="666" t="str">
        <f t="shared" ref="BX45:BX56" si="7">TEXT(CONCATENATE(CC45,"/01/20",CB45),"MMM")</f>
        <v>Oct</v>
      </c>
      <c r="BY45" s="643">
        <f>IF(CB45=$CB57,SUMIF($BI45:$BI56,$BX45,$BR45:$BR56),SUMIF($BI45:$BI56,$BX45,$BM45:$BM56))</f>
        <v>1.6950000000000001</v>
      </c>
      <c r="BZ45" s="821">
        <f>IF(IF(CB45=CB57,SUMIF(BI45:BI56,$BX45,BU45:BU56),SUMIF(BI45:BI56,$BX45,BP45:BP56))=0,NA(),IF(CB45=CB57,SUMIF(BI45:BI56,$BX45,BU45:BU56),SUMIF(BI45:BI56,$BX45,BP45:BP56)))</f>
        <v>0.99</v>
      </c>
      <c r="CA45" s="640">
        <f>IF(IF(CB45=CB57,SUMIF(BI45:BI56,$BX45,BS45:BS56),SUMIF(BI45:BI56,$BX45,BN45:BN56))=0,NA(),IF(CB45=CB57,SUMIF(BI45:BI56,$BX45,BS45:BS56),SUMIF(BI45:BI56,$BX45,BN45:BN56)))</f>
        <v>0.99469026548672557</v>
      </c>
      <c r="CB45" s="645">
        <f>CB26</f>
        <v>23</v>
      </c>
      <c r="CC45" s="645">
        <f t="shared" ref="CC45:CC55" si="8">IF(CC46-1&lt;1,CC46+11,CC46-1)</f>
        <v>10</v>
      </c>
    </row>
    <row r="46" spans="1:81" ht="15" customHeight="1">
      <c r="BI46" s="638" t="s">
        <v>321</v>
      </c>
      <c r="BJ46" s="638">
        <v>2</v>
      </c>
      <c r="BK46" s="638" t="s">
        <v>320</v>
      </c>
      <c r="BL46" s="690">
        <v>1.1619999999999999</v>
      </c>
      <c r="BM46" s="690">
        <v>1.169</v>
      </c>
      <c r="BN46" s="653">
        <f t="shared" ref="BN46:BN56" si="9">IF(BM46="","",BL46/BM46)</f>
        <v>0.99401197604790414</v>
      </c>
      <c r="BO46" s="844"/>
      <c r="BP46" s="821">
        <v>0.99</v>
      </c>
      <c r="BQ46" s="690"/>
      <c r="BR46" s="690"/>
      <c r="BS46" s="653" t="str">
        <f t="shared" ref="BS46:BS56" si="10">IF(BR46="","",BQ46/BR46)</f>
        <v/>
      </c>
      <c r="BT46" s="844"/>
      <c r="BU46" s="821">
        <v>0.99</v>
      </c>
      <c r="BX46" s="666" t="str">
        <f t="shared" si="7"/>
        <v>Nov</v>
      </c>
      <c r="BY46" s="643">
        <f>IF(CB46=$CB57,SUMIF($BI45:$BI56,$BX46,$BR45:$BR56),SUMIF($BI45:$BI56,$BX46,$BM45:$BM56))</f>
        <v>1.169</v>
      </c>
      <c r="BZ46" s="821">
        <f>IF(IF(CB46=CB57,SUMIF(BI45:BI56,$BX46,BU45:BU56),SUMIF(BI45:BI56,$BX46,BP45:BP56))=0,NA(),IF(CB46=CB57,SUMIF(BI45:BI56,$BX46,BU45:BU56),SUMIF(BI45:BI56,$BX46,BP45:BP56)))</f>
        <v>0.99</v>
      </c>
      <c r="CA46" s="640">
        <f>IF(IF(CB46=CB57,SUMIF(BI45:BI56,$BX46,BS45:BS56),SUMIF(BI45:BI56,$BX46,BN45:BN56))=0,NA(),IF(CB46=CB57,SUMIF(BI45:BI56,$BX46,BS45:BS56),SUMIF(BI45:BI56,$BX46,BN45:BN56)))</f>
        <v>0.99401197604790414</v>
      </c>
      <c r="CB46" s="645">
        <f t="shared" ref="CB46:CB57" si="11">CB27</f>
        <v>23</v>
      </c>
      <c r="CC46" s="645">
        <f t="shared" si="8"/>
        <v>11</v>
      </c>
    </row>
    <row r="47" spans="1:81" ht="15" customHeight="1">
      <c r="BI47" s="638" t="s">
        <v>322</v>
      </c>
      <c r="BJ47" s="638">
        <v>3</v>
      </c>
      <c r="BK47" s="638" t="s">
        <v>320</v>
      </c>
      <c r="BL47" s="690">
        <v>1.6080000000000001</v>
      </c>
      <c r="BM47" s="690">
        <v>1.6180000000000001</v>
      </c>
      <c r="BN47" s="653">
        <f t="shared" si="9"/>
        <v>0.99381953028430159</v>
      </c>
      <c r="BO47" s="844"/>
      <c r="BP47" s="821">
        <v>0.99</v>
      </c>
      <c r="BQ47" s="690"/>
      <c r="BR47" s="690"/>
      <c r="BS47" s="653" t="str">
        <f t="shared" si="10"/>
        <v/>
      </c>
      <c r="BT47" s="844"/>
      <c r="BU47" s="821">
        <v>0.99</v>
      </c>
      <c r="BX47" s="666" t="str">
        <f t="shared" si="7"/>
        <v>Dec</v>
      </c>
      <c r="BY47" s="643">
        <f>IF(CB47=$CB57,SUMIF($BI45:$BI56,$BX47,$BR45:$BR56),SUMIF($BI45:$BI56,$BX47,$BM45:$BM56))</f>
        <v>1.6180000000000001</v>
      </c>
      <c r="BZ47" s="821">
        <f>IF(IF(CB47=CB57,SUMIF(BI45:BI56,$BX47,BU45:BU56),SUMIF(BI45:BI56,$BX47,BP45:BP56))=0,NA(),IF(CB47=CB57,SUMIF(BI45:BI56,$BX47,BU45:BU56),SUMIF(BI45:BI56,$BX47,BP45:BP56)))</f>
        <v>0.99</v>
      </c>
      <c r="CA47" s="640">
        <f>IF(IF(CB47=CB57,SUMIF(BI45:BI56,$BX47,BS45:BS56),SUMIF(BI45:BI56,$BX47,BN45:BN56))=0,NA(),IF(CB47=CB57,SUMIF(BI45:BI56,$BX47,BS45:BS56),SUMIF(BI45:BI56,$BX47,BN45:BN56)))</f>
        <v>0.99381953028430159</v>
      </c>
      <c r="CB47" s="645">
        <f t="shared" si="11"/>
        <v>23</v>
      </c>
      <c r="CC47" s="645">
        <f t="shared" si="8"/>
        <v>12</v>
      </c>
    </row>
    <row r="48" spans="1:81" ht="15" customHeight="1">
      <c r="BI48" s="638" t="s">
        <v>323</v>
      </c>
      <c r="BJ48" s="638">
        <v>4</v>
      </c>
      <c r="BK48" s="638" t="s">
        <v>324</v>
      </c>
      <c r="BL48" s="690">
        <v>1.45</v>
      </c>
      <c r="BM48" s="690">
        <v>1.4610000000000001</v>
      </c>
      <c r="BN48" s="653">
        <f t="shared" si="9"/>
        <v>0.99247091033538659</v>
      </c>
      <c r="BO48" s="289">
        <f>IF(SUM(BM48:BM50=0),0,SUM(BL48:BL50)/SUM(BM48:BM50))</f>
        <v>0.99692386567546787</v>
      </c>
      <c r="BP48" s="821">
        <v>0.99</v>
      </c>
      <c r="BQ48" s="690"/>
      <c r="BR48" s="690"/>
      <c r="BS48" s="653" t="str">
        <f t="shared" si="10"/>
        <v/>
      </c>
      <c r="BT48" s="289">
        <f>IF(SUM(BR48:BR50=0),0,SUM(BQ48:BQ50)/SUM(BR48:BR50))</f>
        <v>0</v>
      </c>
      <c r="BU48" s="821">
        <v>0.99</v>
      </c>
      <c r="BX48" s="666" t="str">
        <f t="shared" si="7"/>
        <v>Jan</v>
      </c>
      <c r="BY48" s="643">
        <f>IF(CB48=$CB57,SUMIF($BI45:$BI56,$BX48,$BR45:$BR56),SUMIF($BI45:$BI56,$BX48,$BM45:$BM56))</f>
        <v>1.4610000000000001</v>
      </c>
      <c r="BZ48" s="821">
        <f>IF(IF(CB48=CB57,SUMIF(BI45:BI56,$BX48,BU45:BU56),SUMIF(BI45:BI56,$BX48,BP45:BP56))=0,NA(),IF(CB48=CB57,SUMIF(BI45:BI56,$BX48,BU45:BU56),SUMIF(BI45:BI56,$BX48,BP45:BP56)))</f>
        <v>0.99</v>
      </c>
      <c r="CA48" s="640">
        <f>IF(IF(CB48=CB57,SUMIF(BI45:BI56,$BX48,BS45:BS56),SUMIF(BI45:BI56,$BX48,BN45:BN56))=0,NA(),IF(CB48=CB57,SUMIF(BI45:BI56,$BX48,BS45:BS56),SUMIF(BI45:BI56,$BX48,BN45:BN56)))</f>
        <v>0.99247091033538659</v>
      </c>
      <c r="CB48" s="645">
        <f t="shared" si="11"/>
        <v>23</v>
      </c>
      <c r="CC48" s="645">
        <f t="shared" si="8"/>
        <v>1</v>
      </c>
    </row>
    <row r="49" spans="2:81" ht="15" customHeight="1">
      <c r="BI49" s="638" t="s">
        <v>325</v>
      </c>
      <c r="BJ49" s="638">
        <v>5</v>
      </c>
      <c r="BK49" s="638" t="s">
        <v>324</v>
      </c>
      <c r="BL49" s="690">
        <v>1.069</v>
      </c>
      <c r="BM49" s="822">
        <v>1.069</v>
      </c>
      <c r="BN49" s="653">
        <f t="shared" si="9"/>
        <v>1</v>
      </c>
      <c r="BO49" s="844"/>
      <c r="BP49" s="821">
        <v>0.99</v>
      </c>
      <c r="BQ49" s="822"/>
      <c r="BR49" s="822"/>
      <c r="BS49" s="653" t="str">
        <f t="shared" si="10"/>
        <v/>
      </c>
      <c r="BT49" s="844"/>
      <c r="BU49" s="821">
        <v>0.99</v>
      </c>
      <c r="BX49" s="666" t="str">
        <f t="shared" si="7"/>
        <v>Feb</v>
      </c>
      <c r="BY49" s="643">
        <f>IF(CB49=$CB57,SUMIF($BI45:$BI56,$BX49,$BR45:$BR56),SUMIF($BI45:$BI56,$BX49,$BM45:$BM56))</f>
        <v>1.069</v>
      </c>
      <c r="BZ49" s="821">
        <f>IF(IF(CB49=CB57,SUMIF(BI45:BI56,$BX49,BU45:BU56),SUMIF(BI45:BI56,$BX49,BP45:BP56))=0,NA(),IF(CB49=CB57,SUMIF(BI45:BI56,$BX49,BU45:BU56),SUMIF(BI45:BI56,$BX49,BP45:BP56)))</f>
        <v>0.99</v>
      </c>
      <c r="CA49" s="640">
        <f>IF(IF(CB49=CB57,SUMIF(BI45:BI56,$BX49,BS45:BS56),SUMIF(BI45:BI56,$BX49,BN45:BN56))=0,NA(),IF(CB49=CB57,SUMIF(BI45:BI56,$BX49,BS45:BS56),SUMIF(BI45:BI56,$BX49,BN45:BN56)))</f>
        <v>1</v>
      </c>
      <c r="CB49" s="645">
        <f t="shared" si="11"/>
        <v>23</v>
      </c>
      <c r="CC49" s="645">
        <f t="shared" si="8"/>
        <v>2</v>
      </c>
    </row>
    <row r="50" spans="2:81" ht="15" customHeight="1">
      <c r="BI50" s="638" t="s">
        <v>326</v>
      </c>
      <c r="BJ50" s="638">
        <v>6</v>
      </c>
      <c r="BK50" s="638" t="s">
        <v>324</v>
      </c>
      <c r="BL50" s="690">
        <v>1.37</v>
      </c>
      <c r="BM50" s="822">
        <v>1.371</v>
      </c>
      <c r="BN50" s="653">
        <f t="shared" si="9"/>
        <v>0.99927060539752011</v>
      </c>
      <c r="BO50" s="844"/>
      <c r="BP50" s="821">
        <v>0.99</v>
      </c>
      <c r="BQ50" s="690"/>
      <c r="BR50" s="822"/>
      <c r="BS50" s="653" t="str">
        <f t="shared" si="10"/>
        <v/>
      </c>
      <c r="BT50" s="844"/>
      <c r="BU50" s="821">
        <v>0.99</v>
      </c>
      <c r="BX50" s="666" t="str">
        <f t="shared" si="7"/>
        <v>Mar</v>
      </c>
      <c r="BY50" s="643">
        <f>IF(CB50=$CB57,SUMIF($BI45:$BI56,$BX50,$BR45:$BR56),SUMIF($BI45:$BI56,$BX50,$BM45:$BM56))</f>
        <v>1.371</v>
      </c>
      <c r="BZ50" s="821">
        <f>IF(IF(CB50=CB57,SUMIF(BI45:BI56,$BX50,BU45:BU56),SUMIF(BI45:BI56,$BX50,BP45:BP56))=0,NA(),IF(CB50=CB57,SUMIF(BI45:BI56,$BX50,BU45:BU56),SUMIF(BI45:BI56,$BX50,BP45:BP56)))</f>
        <v>0.99</v>
      </c>
      <c r="CA50" s="640">
        <f>IF(IF(CB50=CB57,SUMIF(BI45:BI56,$BX50,BS45:BS56),SUMIF(BI45:BI56,$BX50,BN45:BN56))=0,NA(),IF(CB50=CB57,SUMIF(BI45:BI56,$BX50,BS45:BS56),SUMIF(BI45:BI56,$BX50,BN45:BN56)))</f>
        <v>0.99927060539752011</v>
      </c>
      <c r="CB50" s="645">
        <f t="shared" si="11"/>
        <v>23</v>
      </c>
      <c r="CC50" s="645">
        <f t="shared" si="8"/>
        <v>3</v>
      </c>
    </row>
    <row r="51" spans="2:81" ht="15" customHeight="1">
      <c r="BI51" s="638" t="s">
        <v>327</v>
      </c>
      <c r="BJ51" s="638">
        <v>7</v>
      </c>
      <c r="BK51" s="638" t="s">
        <v>328</v>
      </c>
      <c r="BL51" s="690">
        <v>1.0649999999999999</v>
      </c>
      <c r="BM51" s="822">
        <v>1.0669999999999999</v>
      </c>
      <c r="BN51" s="653">
        <f t="shared" si="9"/>
        <v>0.99812558575445176</v>
      </c>
      <c r="BO51" s="289">
        <f>IF(SUM(BM51:BM53=0),0,SUM(BL51:BL53)/SUM(BM51:BM53))</f>
        <v>0.99864130434782616</v>
      </c>
      <c r="BP51" s="821">
        <v>0.99</v>
      </c>
      <c r="BQ51" s="690"/>
      <c r="BR51" s="822"/>
      <c r="BS51" s="653" t="str">
        <f t="shared" si="10"/>
        <v/>
      </c>
      <c r="BT51" s="289">
        <f>IF(SUM(BR51:BR53=0),0,SUM(BQ51:BQ53)/SUM(BR51:BR53))</f>
        <v>0</v>
      </c>
      <c r="BU51" s="821">
        <v>0.99</v>
      </c>
      <c r="BX51" s="666" t="str">
        <f t="shared" si="7"/>
        <v>Apr</v>
      </c>
      <c r="BY51" s="643">
        <f>IF(CB51=$CB57,SUMIF($BI45:$BI56,$BX51,$BR45:$BR56),SUMIF($BI45:$BI56,$BX51,$BM45:$BM56))</f>
        <v>1.0669999999999999</v>
      </c>
      <c r="BZ51" s="821">
        <f>IF(IF(CB51=CB57,SUMIF(BI45:BI56,$BX51,BU45:BU56),SUMIF(BI45:BI56,$BX51,BP45:BP56))=0,NA(),IF(CB51=CB57,SUMIF(BI45:BI56,$BX51,BU45:BU56),SUMIF(BI45:BI56,$BX51,BP45:BP56)))</f>
        <v>0.99</v>
      </c>
      <c r="CA51" s="640">
        <f>IF(IF(CB51=CB57,SUMIF(BI45:BI56,$BX51,BS45:BS56),SUMIF(BI45:BI56,$BX51,BN45:BN56))=0,NA(),IF(CB51=CB57,SUMIF(BI45:BI56,$BX51,BS45:BS56),SUMIF(BI45:BI56,$BX51,BN45:BN56)))</f>
        <v>0.99812558575445176</v>
      </c>
      <c r="CB51" s="645">
        <f t="shared" si="11"/>
        <v>23</v>
      </c>
      <c r="CC51" s="645">
        <f t="shared" si="8"/>
        <v>4</v>
      </c>
    </row>
    <row r="52" spans="2:81" ht="15" customHeight="1">
      <c r="BI52" s="638" t="s">
        <v>329</v>
      </c>
      <c r="BJ52" s="638">
        <v>8</v>
      </c>
      <c r="BK52" s="638" t="s">
        <v>328</v>
      </c>
      <c r="BL52" s="690">
        <v>1.145</v>
      </c>
      <c r="BM52" s="822">
        <v>1.145</v>
      </c>
      <c r="BN52" s="653">
        <f t="shared" si="9"/>
        <v>1</v>
      </c>
      <c r="BO52" s="844"/>
      <c r="BP52" s="821">
        <v>0.99</v>
      </c>
      <c r="BQ52" s="690"/>
      <c r="BR52" s="822"/>
      <c r="BS52" s="653" t="str">
        <f t="shared" si="10"/>
        <v/>
      </c>
      <c r="BT52" s="844"/>
      <c r="BU52" s="821">
        <v>0.99</v>
      </c>
      <c r="BX52" s="666" t="str">
        <f t="shared" si="7"/>
        <v>May</v>
      </c>
      <c r="BY52" s="643">
        <f>IF(CB52=$CB57,SUMIF($BI45:$BI56,$BX52,$BR45:$BR56),SUMIF($BI45:$BI56,$BX52,$BM45:$BM56))</f>
        <v>1.145</v>
      </c>
      <c r="BZ52" s="821">
        <f>IF(IF(CB52=CB57,SUMIF(BI45:BI56,$BX52,BU45:BU56),SUMIF(BI45:BI56,$BX52,BP45:BP56))=0,NA(),IF(CB52=CB57,SUMIF(BI45:BI56,$BX52,BU45:BU56),SUMIF(BI45:BI56,$BX52,BP45:BP56)))</f>
        <v>0.99</v>
      </c>
      <c r="CA52" s="640">
        <f>IF(IF(CB52=CB57,SUMIF(BI45:BI56,$BX52,BS45:BS56),SUMIF(BI45:BI56,$BX52,BN45:BN56))=0,NA(),IF(CB52=CB57,SUMIF(BI45:BI56,$BX52,BS45:BS56),SUMIF(BI45:BI56,$BX52,BN45:BN56)))</f>
        <v>1</v>
      </c>
      <c r="CB52" s="645">
        <f t="shared" si="11"/>
        <v>23</v>
      </c>
      <c r="CC52" s="645">
        <f t="shared" si="8"/>
        <v>5</v>
      </c>
    </row>
    <row r="53" spans="2:81" ht="15" customHeight="1">
      <c r="BI53" s="638" t="s">
        <v>331</v>
      </c>
      <c r="BJ53" s="638">
        <v>9</v>
      </c>
      <c r="BK53" s="638" t="s">
        <v>328</v>
      </c>
      <c r="BL53" s="690">
        <v>1.4650000000000001</v>
      </c>
      <c r="BM53" s="822">
        <v>1.468</v>
      </c>
      <c r="BN53" s="653">
        <f t="shared" si="9"/>
        <v>0.99795640326975488</v>
      </c>
      <c r="BO53" s="844"/>
      <c r="BP53" s="821">
        <v>0.99</v>
      </c>
      <c r="BQ53" s="690"/>
      <c r="BR53" s="822"/>
      <c r="BS53" s="653" t="str">
        <f t="shared" si="10"/>
        <v/>
      </c>
      <c r="BT53" s="844"/>
      <c r="BU53" s="821">
        <v>0.99</v>
      </c>
      <c r="BX53" s="666" t="str">
        <f t="shared" si="7"/>
        <v>Jun</v>
      </c>
      <c r="BY53" s="643">
        <f>IF(CB53=$CB57,SUMIF($BI45:$BI56,$BX53,$BR45:$BR56),SUMIF($BI45:$BI56,$BX53,$BM45:$BM56))</f>
        <v>1.468</v>
      </c>
      <c r="BZ53" s="821">
        <f>IF(IF(CB53=CB57,SUMIF(BI45:BI56,$BX53,BU45:BU56),SUMIF(BI45:BI56,$BX53,BP45:BP56))=0,NA(),IF(CB53=CB57,SUMIF(BI45:BI56,$BX53,BU45:BU56),SUMIF(BI45:BI56,$BX53,BP45:BP56)))</f>
        <v>0.99</v>
      </c>
      <c r="CA53" s="640">
        <f>IF(IF(CB53=CB57,SUMIF(BI45:BI56,$BX53,BS45:BS56),SUMIF(BI45:BI56,$BX53,BN45:BN56))=0,NA(),IF(CB53=CB57,SUMIF(BI45:BI56,$BX53,BS45:BS56),SUMIF(BI45:BI56,$BX53,BN45:BN56)))</f>
        <v>0.99795640326975488</v>
      </c>
      <c r="CB53" s="645">
        <f t="shared" si="11"/>
        <v>23</v>
      </c>
      <c r="CC53" s="645">
        <f t="shared" si="8"/>
        <v>6</v>
      </c>
    </row>
    <row r="54" spans="2:81" ht="15" customHeight="1">
      <c r="BI54" s="638" t="s">
        <v>337</v>
      </c>
      <c r="BJ54" s="638">
        <v>10</v>
      </c>
      <c r="BK54" s="638" t="s">
        <v>338</v>
      </c>
      <c r="BL54" s="690">
        <v>1.3069999999999999</v>
      </c>
      <c r="BM54" s="822">
        <v>1.3069999999999999</v>
      </c>
      <c r="BN54" s="653">
        <f t="shared" si="9"/>
        <v>1</v>
      </c>
      <c r="BO54" s="289">
        <f>IF(SUM(BM54:BM56=0),0,SUM(BL54:BL56)/SUM(BM54:BM56))</f>
        <v>0.99665700913750821</v>
      </c>
      <c r="BP54" s="821">
        <v>0.99</v>
      </c>
      <c r="BQ54" s="690"/>
      <c r="BR54" s="822"/>
      <c r="BS54" s="653" t="str">
        <f t="shared" si="10"/>
        <v/>
      </c>
      <c r="BT54" s="289">
        <f>IF(SUM(BR54:BR56=0),0,SUM(BQ54:BQ56)/SUM(BR54:BR56))</f>
        <v>0</v>
      </c>
      <c r="BU54" s="821">
        <v>0.99</v>
      </c>
      <c r="BX54" s="666" t="str">
        <f t="shared" si="7"/>
        <v>Jul</v>
      </c>
      <c r="BY54" s="643">
        <f>IF(CB54=$CB57,SUMIF($BI45:$BI56,$BX54,$BR45:$BR56),SUMIF($BI45:$BI56,$BX54,$BM45:$BM56))</f>
        <v>1.3069999999999999</v>
      </c>
      <c r="BZ54" s="821">
        <f>IF(IF(CB54=CB57,SUMIF(BI45:BI56,$BX54,BU45:BU56),SUMIF(BI45:BI56,$BX54,BP45:BP56))=0,NA(),IF(CB54=CB57,SUMIF(BI45:BI56,$BX54,BU45:BU56),SUMIF(BI45:BI56,$BX54,BP45:BP56)))</f>
        <v>0.99</v>
      </c>
      <c r="CA54" s="640">
        <f>IF(IF(CB54=CB57,SUMIF(BI45:BI56,$BX54,BS45:BS56),SUMIF(BI45:BI56,$BX54,BN45:BN56))=0,NA(),IF(CB54=CB57,SUMIF(BI45:BI56,$BX54,BS45:BS56),SUMIF(BI45:BI56,$BX54,BN45:BN56)))</f>
        <v>1</v>
      </c>
      <c r="CB54" s="645">
        <f t="shared" si="11"/>
        <v>23</v>
      </c>
      <c r="CC54" s="645">
        <f t="shared" si="8"/>
        <v>7</v>
      </c>
    </row>
    <row r="55" spans="2:81" ht="15" customHeight="1">
      <c r="BI55" s="638" t="s">
        <v>343</v>
      </c>
      <c r="BJ55" s="638">
        <v>11</v>
      </c>
      <c r="BK55" s="638" t="s">
        <v>338</v>
      </c>
      <c r="BL55" s="690">
        <v>1.41</v>
      </c>
      <c r="BM55" s="822">
        <v>1.41</v>
      </c>
      <c r="BN55" s="653">
        <f t="shared" si="9"/>
        <v>1</v>
      </c>
      <c r="BO55" s="290"/>
      <c r="BP55" s="821">
        <v>0.99</v>
      </c>
      <c r="BQ55" s="690"/>
      <c r="BR55" s="822"/>
      <c r="BS55" s="653" t="str">
        <f t="shared" si="10"/>
        <v/>
      </c>
      <c r="BT55" s="290"/>
      <c r="BU55" s="821">
        <v>0.99</v>
      </c>
      <c r="BX55" s="666" t="str">
        <f t="shared" si="7"/>
        <v>Aug</v>
      </c>
      <c r="BY55" s="643">
        <f>IF(CB55=$CB57,SUMIF($BI45:$BI56,$BX55,$BR45:$BR56),SUMIF($BI45:$BI56,$BX55,$BM45:$BM56))</f>
        <v>1.41</v>
      </c>
      <c r="BZ55" s="821">
        <f>IF(IF(CB55=CB57,SUMIF(BI45:BI56,$BX55,BU45:BU56),SUMIF(BI45:BI56,$BX55,BP45:BP56))=0,NA(),IF(CB55=CB57,SUMIF(BI45:BI56,$BX55,BU45:BU56),SUMIF(BI45:BI56,$BX55,BP45:BP56)))</f>
        <v>0.99</v>
      </c>
      <c r="CA55" s="640">
        <f>IF(IF(CB55=CB57,SUMIF(BI45:BI56,$BX55,BS45:BS56),SUMIF(BI45:BI56,$BX55,BN45:BN56))=0,NA(),IF(CB55=CB57,SUMIF(BI45:BI56,$BX55,BS45:BS56),SUMIF(BI45:BI56,$BX55,BN45:BN56)))</f>
        <v>1</v>
      </c>
      <c r="CB55" s="645">
        <f t="shared" si="11"/>
        <v>23</v>
      </c>
      <c r="CC55" s="645">
        <f t="shared" si="8"/>
        <v>8</v>
      </c>
    </row>
    <row r="56" spans="2:81" ht="15" customHeight="1">
      <c r="BI56" s="638" t="s">
        <v>344</v>
      </c>
      <c r="BJ56" s="638">
        <v>12</v>
      </c>
      <c r="BK56" s="638" t="s">
        <v>338</v>
      </c>
      <c r="BL56" s="690">
        <v>1.7549999999999999</v>
      </c>
      <c r="BM56" s="822">
        <v>1.77</v>
      </c>
      <c r="BN56" s="653">
        <f t="shared" si="9"/>
        <v>0.99152542372881347</v>
      </c>
      <c r="BO56" s="290"/>
      <c r="BP56" s="821">
        <v>0.99</v>
      </c>
      <c r="BQ56" s="690"/>
      <c r="BR56" s="822"/>
      <c r="BS56" s="653" t="str">
        <f t="shared" si="10"/>
        <v/>
      </c>
      <c r="BT56" s="290"/>
      <c r="BU56" s="821">
        <v>0.99</v>
      </c>
      <c r="BX56" s="666" t="str">
        <f t="shared" si="7"/>
        <v>Sep</v>
      </c>
      <c r="BY56" s="643">
        <f>IF(CB56=$CB57,SUMIF($BI45:$BI56,$BX56,$BR45:$BR56),SUMIF($BI45:$BI56,$BX56,$BM45:$BM56))</f>
        <v>1.77</v>
      </c>
      <c r="BZ56" s="821">
        <f>IF(IF(CB56=CB57,SUMIF(BI45:BI56,$BX56,BU45:BU56),SUMIF(BI45:BI56,$BX56,BP45:BP56))=0,NA(),IF(CB56=CB57,SUMIF(BI45:BI56,$BX56,BU45:BU56),SUMIF(BI45:BI56,$BX56,BP45:BP56)))</f>
        <v>0.99</v>
      </c>
      <c r="CA56" s="640">
        <f>IF(IF(CB56=CB57,SUMIF(BI45:BI56,$BX56,BS45:BS56),SUMIF(BI45:BI56,$BX56,BN45:BN56))=0,NA(),IF(CB56=CB57,SUMIF(BI45:BI56,$BX56,BS45:BS56),SUMIF(BI45:BI56,$BX56,BN45:BN56)))</f>
        <v>0.99152542372881347</v>
      </c>
      <c r="CB56" s="645">
        <f t="shared" si="11"/>
        <v>23</v>
      </c>
      <c r="CC56" s="645">
        <f>IF(CC57-1&lt;1,CC57+11,CC57-1)</f>
        <v>9</v>
      </c>
    </row>
    <row r="57" spans="2:81" ht="15" customHeight="1">
      <c r="BJ57" s="277"/>
      <c r="BK57" s="277"/>
      <c r="BL57" s="277"/>
      <c r="BM57" s="277"/>
      <c r="BN57" s="277"/>
      <c r="BO57" s="277"/>
      <c r="BP57" s="277"/>
      <c r="BQ57" s="277"/>
      <c r="BR57" s="277"/>
      <c r="BS57" s="277"/>
      <c r="BT57" s="277"/>
      <c r="BW57" s="667" t="str">
        <f>Cover!$M$34</f>
        <v>OCT FY-24</v>
      </c>
      <c r="BX57" s="666" t="str">
        <f>TEXT(CONCATENATE(CC57,"/01/20",CB57),"MMM")</f>
        <v>Oct</v>
      </c>
      <c r="BY57" s="643">
        <f>SUMIF($BI45:$BI56,$BX57,$BR45:$BR56)</f>
        <v>1.407</v>
      </c>
      <c r="BZ57" s="821">
        <f>IF(IF(CB57=CB57,SUMIF(BI45:BI56,$BX57,BU45:BU56),SUMIF(BI45:BI56,$BX57,BP45:BP56))=0,NA(),IF(CB57=CB57,SUMIF(BI45:BI56,$BX57,BU45:BU56),SUMIF(BI45:BI56,$BX57,BP45:BP56)))</f>
        <v>0.99</v>
      </c>
      <c r="CA57" s="640">
        <f>IF(SUMIF($BI45:$BI56,$BX57,$BS45:$BS56)=0,NA(),SUMIF($BI45:$BI56,$BX57,$BS45:$BS56))</f>
        <v>0.98009950248756217</v>
      </c>
      <c r="CB57" s="645">
        <f t="shared" si="11"/>
        <v>24</v>
      </c>
      <c r="CC57" s="645">
        <f>MONTH(DATEVALUE(LEFT(BW57,3)&amp;" 1"))</f>
        <v>10</v>
      </c>
    </row>
    <row r="59" spans="2:81" ht="15" customHeight="1">
      <c r="BI59" s="54" t="s">
        <v>292</v>
      </c>
      <c r="BJ59" s="287" t="s">
        <v>362</v>
      </c>
      <c r="BK59" s="287"/>
      <c r="BL59" s="287"/>
      <c r="BM59" s="287"/>
      <c r="BN59" s="287"/>
      <c r="BO59" s="287"/>
      <c r="BP59" s="287"/>
      <c r="BQ59" s="287"/>
      <c r="BR59" s="287"/>
      <c r="BS59" s="287"/>
      <c r="BT59" s="287"/>
      <c r="BU59" s="287"/>
    </row>
    <row r="60" spans="2:81" ht="15" customHeight="1">
      <c r="BI60" s="54" t="s">
        <v>296</v>
      </c>
      <c r="BJ60" s="283" t="s">
        <v>363</v>
      </c>
      <c r="BK60" s="283"/>
      <c r="BL60" s="283"/>
      <c r="BM60" s="283"/>
      <c r="BN60" s="283"/>
      <c r="BO60" s="283"/>
      <c r="BP60" s="283"/>
      <c r="BQ60" s="283"/>
      <c r="BR60" s="283"/>
      <c r="BS60" s="283"/>
      <c r="BT60" s="283"/>
      <c r="BU60" s="283"/>
    </row>
    <row r="61" spans="2:81" ht="15" customHeight="1" thickBot="1">
      <c r="B61" s="267" t="s">
        <v>242</v>
      </c>
      <c r="C61" s="267"/>
      <c r="D61" s="267"/>
      <c r="E61" s="334"/>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E61" s="267" t="s">
        <v>242</v>
      </c>
      <c r="AF61" s="267"/>
      <c r="AG61" s="267"/>
      <c r="AH61" s="334"/>
      <c r="AI61" s="326"/>
      <c r="AJ61" s="326"/>
      <c r="AK61" s="326"/>
      <c r="AL61" s="326"/>
      <c r="AM61" s="326"/>
      <c r="AN61" s="326"/>
      <c r="AO61" s="326"/>
      <c r="AP61" s="326"/>
      <c r="AQ61" s="326"/>
      <c r="AR61" s="326"/>
      <c r="AS61" s="326"/>
      <c r="AT61" s="326"/>
      <c r="AU61" s="326"/>
      <c r="AV61" s="326"/>
      <c r="AW61" s="326"/>
      <c r="AX61" s="326"/>
      <c r="AY61" s="326"/>
      <c r="AZ61" s="326"/>
      <c r="BA61" s="326"/>
      <c r="BB61" s="326"/>
      <c r="BC61" s="326"/>
      <c r="BD61" s="326"/>
      <c r="BE61" s="326"/>
      <c r="BI61" s="54" t="s">
        <v>300</v>
      </c>
      <c r="BJ61" s="283" t="s">
        <v>177</v>
      </c>
      <c r="BK61" s="283"/>
      <c r="BL61" s="283"/>
      <c r="BM61" s="283"/>
      <c r="BN61" s="283"/>
      <c r="BO61" s="283"/>
      <c r="BP61" s="283"/>
      <c r="BQ61" s="283"/>
      <c r="BR61" s="283"/>
      <c r="BS61" s="283"/>
      <c r="BT61" s="283"/>
      <c r="BU61" s="283"/>
    </row>
    <row r="62" spans="2:81" ht="15" customHeight="1" thickBot="1">
      <c r="B62" s="1137" t="str">
        <f>AC38</f>
        <v xml:space="preserve">We processed a total of 297,261 transactions which is approximately 62,000 less payments processed than previous month. Additionally, the labor cost reduced by approximately $54K. The proportionate decrease in the number of payments and the cost of labor led to the cost per payment to be status quo at $0.85 per payment. </v>
      </c>
      <c r="C62" s="1138"/>
      <c r="D62" s="1138"/>
      <c r="E62" s="1138"/>
      <c r="F62" s="1138"/>
      <c r="G62" s="1138"/>
      <c r="H62" s="1138"/>
      <c r="I62" s="1138"/>
      <c r="J62" s="1138"/>
      <c r="K62" s="1138"/>
      <c r="L62" s="1138"/>
      <c r="M62" s="1138"/>
      <c r="N62" s="1138"/>
      <c r="O62" s="1138"/>
      <c r="P62" s="1138"/>
      <c r="Q62" s="1138"/>
      <c r="R62" s="1138"/>
      <c r="S62" s="1138"/>
      <c r="T62" s="1138"/>
      <c r="U62" s="1138"/>
      <c r="V62" s="1138"/>
      <c r="W62" s="1138"/>
      <c r="X62" s="1138"/>
      <c r="Y62" s="1138"/>
      <c r="Z62" s="1138"/>
      <c r="AA62" s="1138"/>
      <c r="AB62" s="1139"/>
      <c r="AE62" s="1137" t="str">
        <f>AC39</f>
        <v>We resolved a total of 1,379 REQs out of 1,407 REQs received. Corrective measures have been implemented to ensure that every request is worked in a timely and accurate manner.</v>
      </c>
      <c r="AF62" s="1138"/>
      <c r="AG62" s="1138"/>
      <c r="AH62" s="1138"/>
      <c r="AI62" s="1138"/>
      <c r="AJ62" s="1138"/>
      <c r="AK62" s="1138"/>
      <c r="AL62" s="1138"/>
      <c r="AM62" s="1138"/>
      <c r="AN62" s="1138"/>
      <c r="AO62" s="1138"/>
      <c r="AP62" s="1138"/>
      <c r="AQ62" s="1138"/>
      <c r="AR62" s="1138"/>
      <c r="AS62" s="1138"/>
      <c r="AT62" s="1138"/>
      <c r="AU62" s="1138"/>
      <c r="AV62" s="1138"/>
      <c r="AW62" s="1138"/>
      <c r="AX62" s="1138"/>
      <c r="AY62" s="1138"/>
      <c r="AZ62" s="1138"/>
      <c r="BA62" s="1138"/>
      <c r="BB62" s="1138"/>
      <c r="BC62" s="1138"/>
      <c r="BD62" s="1138"/>
      <c r="BE62" s="1139"/>
      <c r="BI62" s="277"/>
      <c r="BJ62" s="277"/>
      <c r="BK62" s="277"/>
      <c r="BL62" s="1148" t="s">
        <v>302</v>
      </c>
      <c r="BM62" s="1149"/>
      <c r="BN62" s="1149"/>
      <c r="BO62" s="1149"/>
      <c r="BP62" s="1151"/>
      <c r="BQ62" s="1148" t="s">
        <v>719</v>
      </c>
      <c r="BR62" s="1149"/>
      <c r="BS62" s="1149"/>
      <c r="BT62" s="1149"/>
      <c r="BU62" s="1150"/>
      <c r="BW62" s="1148" t="s">
        <v>303</v>
      </c>
      <c r="BX62" s="1149"/>
      <c r="BY62" s="1149"/>
      <c r="BZ62" s="1149"/>
      <c r="CA62" s="1149"/>
      <c r="CB62" s="1149"/>
      <c r="CC62" s="1150"/>
    </row>
    <row r="63" spans="2:81" ht="15" customHeight="1">
      <c r="B63" s="1140"/>
      <c r="C63" s="1141"/>
      <c r="D63" s="1141"/>
      <c r="E63" s="1141"/>
      <c r="F63" s="1141"/>
      <c r="G63" s="1141"/>
      <c r="H63" s="1141"/>
      <c r="I63" s="1141"/>
      <c r="J63" s="1141"/>
      <c r="K63" s="1141"/>
      <c r="L63" s="1141"/>
      <c r="M63" s="1141"/>
      <c r="N63" s="1141"/>
      <c r="O63" s="1141"/>
      <c r="P63" s="1141"/>
      <c r="Q63" s="1141"/>
      <c r="R63" s="1141"/>
      <c r="S63" s="1141"/>
      <c r="T63" s="1141"/>
      <c r="U63" s="1141"/>
      <c r="V63" s="1141"/>
      <c r="W63" s="1141"/>
      <c r="X63" s="1141"/>
      <c r="Y63" s="1141"/>
      <c r="Z63" s="1141"/>
      <c r="AA63" s="1141"/>
      <c r="AB63" s="1142"/>
      <c r="AE63" s="1140"/>
      <c r="AF63" s="1141"/>
      <c r="AG63" s="1141"/>
      <c r="AH63" s="1141"/>
      <c r="AI63" s="1141"/>
      <c r="AJ63" s="1141"/>
      <c r="AK63" s="1141"/>
      <c r="AL63" s="1141"/>
      <c r="AM63" s="1141"/>
      <c r="AN63" s="1141"/>
      <c r="AO63" s="1141"/>
      <c r="AP63" s="1141"/>
      <c r="AQ63" s="1141"/>
      <c r="AR63" s="1141"/>
      <c r="AS63" s="1141"/>
      <c r="AT63" s="1141"/>
      <c r="AU63" s="1141"/>
      <c r="AV63" s="1141"/>
      <c r="AW63" s="1141"/>
      <c r="AX63" s="1141"/>
      <c r="AY63" s="1141"/>
      <c r="AZ63" s="1141"/>
      <c r="BA63" s="1141"/>
      <c r="BB63" s="1141"/>
      <c r="BC63" s="1141"/>
      <c r="BD63" s="1141"/>
      <c r="BE63" s="1142"/>
      <c r="BI63" s="636" t="s">
        <v>23</v>
      </c>
      <c r="BJ63" s="636" t="s">
        <v>37</v>
      </c>
      <c r="BK63" s="636" t="s">
        <v>304</v>
      </c>
      <c r="BL63" s="637" t="s">
        <v>305</v>
      </c>
      <c r="BM63" s="637" t="s">
        <v>310</v>
      </c>
      <c r="BN63" s="637" t="s">
        <v>311</v>
      </c>
      <c r="BO63" s="278" t="s">
        <v>312</v>
      </c>
      <c r="BP63" s="637" t="s">
        <v>313</v>
      </c>
      <c r="BQ63" s="637" t="s">
        <v>305</v>
      </c>
      <c r="BR63" s="637" t="s">
        <v>715</v>
      </c>
      <c r="BS63" s="637" t="s">
        <v>716</v>
      </c>
      <c r="BT63" s="278" t="s">
        <v>717</v>
      </c>
      <c r="BU63" s="637" t="s">
        <v>718</v>
      </c>
      <c r="BW63" s="279" t="s">
        <v>314</v>
      </c>
      <c r="BX63" s="279" t="s">
        <v>23</v>
      </c>
      <c r="BY63" s="280" t="s">
        <v>315</v>
      </c>
      <c r="BZ63" s="279" t="s">
        <v>122</v>
      </c>
      <c r="CA63" s="279" t="s">
        <v>316</v>
      </c>
      <c r="CB63" s="279" t="s">
        <v>317</v>
      </c>
      <c r="CC63" s="279" t="s">
        <v>318</v>
      </c>
    </row>
    <row r="64" spans="2:81" ht="15" customHeight="1">
      <c r="B64" s="1140"/>
      <c r="C64" s="1141"/>
      <c r="D64" s="1141"/>
      <c r="E64" s="1141"/>
      <c r="F64" s="1141"/>
      <c r="G64" s="1141"/>
      <c r="H64" s="1141"/>
      <c r="I64" s="1141"/>
      <c r="J64" s="1141"/>
      <c r="K64" s="1141"/>
      <c r="L64" s="1141"/>
      <c r="M64" s="1141"/>
      <c r="N64" s="1141"/>
      <c r="O64" s="1141"/>
      <c r="P64" s="1141"/>
      <c r="Q64" s="1141"/>
      <c r="R64" s="1141"/>
      <c r="S64" s="1141"/>
      <c r="T64" s="1141"/>
      <c r="U64" s="1141"/>
      <c r="V64" s="1141"/>
      <c r="W64" s="1141"/>
      <c r="X64" s="1141"/>
      <c r="Y64" s="1141"/>
      <c r="Z64" s="1141"/>
      <c r="AA64" s="1141"/>
      <c r="AB64" s="1142"/>
      <c r="AE64" s="1140"/>
      <c r="AF64" s="1141"/>
      <c r="AG64" s="1141"/>
      <c r="AH64" s="1141"/>
      <c r="AI64" s="1141"/>
      <c r="AJ64" s="1141"/>
      <c r="AK64" s="1141"/>
      <c r="AL64" s="1141"/>
      <c r="AM64" s="1141"/>
      <c r="AN64" s="1141"/>
      <c r="AO64" s="1141"/>
      <c r="AP64" s="1141"/>
      <c r="AQ64" s="1141"/>
      <c r="AR64" s="1141"/>
      <c r="AS64" s="1141"/>
      <c r="AT64" s="1141"/>
      <c r="AU64" s="1141"/>
      <c r="AV64" s="1141"/>
      <c r="AW64" s="1141"/>
      <c r="AX64" s="1141"/>
      <c r="AY64" s="1141"/>
      <c r="AZ64" s="1141"/>
      <c r="BA64" s="1141"/>
      <c r="BB64" s="1141"/>
      <c r="BC64" s="1141"/>
      <c r="BD64" s="1141"/>
      <c r="BE64" s="1142"/>
      <c r="BI64" s="638" t="s">
        <v>319</v>
      </c>
      <c r="BJ64" s="638">
        <v>1</v>
      </c>
      <c r="BK64" s="638" t="s">
        <v>320</v>
      </c>
      <c r="BL64" s="690">
        <v>3.2109999999999999</v>
      </c>
      <c r="BM64" s="690">
        <v>3.2360000000000002</v>
      </c>
      <c r="BN64" s="653">
        <f>IF(BM64="","",BL64/BM64)</f>
        <v>0.99227441285537687</v>
      </c>
      <c r="BO64" s="289">
        <f>IF(SUM(BM64:BM66=0),0,SUM(BL64:BL66)/SUM(BM64:BM66))</f>
        <v>0.98735095904613768</v>
      </c>
      <c r="BP64" s="821">
        <v>0.9</v>
      </c>
      <c r="BQ64" s="690">
        <v>2.145</v>
      </c>
      <c r="BR64" s="690">
        <v>2.2130000000000001</v>
      </c>
      <c r="BS64" s="653">
        <f>IF(BR64="","",BQ64/BR64)</f>
        <v>0.96927248079530048</v>
      </c>
      <c r="BT64" s="289">
        <f>IF(SUM(BR64:BR66=0),0,SUM(BQ64:BQ66)/SUM(BR64:BR66))</f>
        <v>0.96927248079530048</v>
      </c>
      <c r="BU64" s="821">
        <v>0.9</v>
      </c>
      <c r="BX64" s="666" t="str">
        <f t="shared" ref="BX64:BX75" si="12">TEXT(CONCATENATE(CC64,"/01/20",CB64),"MMM")</f>
        <v>Oct</v>
      </c>
      <c r="BY64" s="643">
        <f>IF(CB64=$CB76,SUMIF($BI64:$BI75,$BX64,$BR64:$BR75),SUMIF($BI64:$BI75,$BX64,$BM64:$BM75))</f>
        <v>3.2360000000000002</v>
      </c>
      <c r="BZ64" s="821">
        <f>IF(IF(CB64=CB76,SUMIF(BI64:BI75,$BX64,BU64:BU75),SUMIF(BI64:BI75,$BX64,BP64:BP75))=0,NA(),IF(CB64=CB76,SUMIF(BI64:BI75,$BX64,BU64:BU75),SUMIF(BI64:BI75,$BX64,BP64:BP75)))</f>
        <v>0.9</v>
      </c>
      <c r="CA64" s="640">
        <f>IF(IF(CB64=CB76,SUMIF(BI64:BI75,$BX64,BS64:BS75),SUMIF(BI64:BI75,$BX64,BN64:BN75))=0,NA(),IF(CB64=CB76,SUMIF(BI64:BI75,$BX64,BS64:BS75),SUMIF(BI64:BI75,$BX64,BN64:BN75)))</f>
        <v>0.99227441285537687</v>
      </c>
      <c r="CB64" s="645">
        <f>CB45</f>
        <v>23</v>
      </c>
      <c r="CC64" s="645">
        <f t="shared" ref="CC64:CC74" si="13">IF(CC65-1&lt;1,CC65+11,CC65-1)</f>
        <v>10</v>
      </c>
    </row>
    <row r="65" spans="1:81" ht="15" customHeight="1">
      <c r="B65" s="1143"/>
      <c r="C65" s="1144"/>
      <c r="D65" s="1144"/>
      <c r="E65" s="1144"/>
      <c r="F65" s="1144"/>
      <c r="G65" s="1144"/>
      <c r="H65" s="1144"/>
      <c r="I65" s="1144"/>
      <c r="J65" s="1144"/>
      <c r="K65" s="1144"/>
      <c r="L65" s="1144"/>
      <c r="M65" s="1144"/>
      <c r="N65" s="1144"/>
      <c r="O65" s="1144"/>
      <c r="P65" s="1144"/>
      <c r="Q65" s="1144"/>
      <c r="R65" s="1144"/>
      <c r="S65" s="1144"/>
      <c r="T65" s="1144"/>
      <c r="U65" s="1144"/>
      <c r="V65" s="1144"/>
      <c r="W65" s="1144"/>
      <c r="X65" s="1144"/>
      <c r="Y65" s="1144"/>
      <c r="Z65" s="1144"/>
      <c r="AA65" s="1144"/>
      <c r="AB65" s="1145"/>
      <c r="AE65" s="1143"/>
      <c r="AF65" s="1144"/>
      <c r="AG65" s="1144"/>
      <c r="AH65" s="1144"/>
      <c r="AI65" s="1144"/>
      <c r="AJ65" s="1144"/>
      <c r="AK65" s="1144"/>
      <c r="AL65" s="1144"/>
      <c r="AM65" s="1144"/>
      <c r="AN65" s="1144"/>
      <c r="AO65" s="1144"/>
      <c r="AP65" s="1144"/>
      <c r="AQ65" s="1144"/>
      <c r="AR65" s="1144"/>
      <c r="AS65" s="1144"/>
      <c r="AT65" s="1144"/>
      <c r="AU65" s="1144"/>
      <c r="AV65" s="1144"/>
      <c r="AW65" s="1144"/>
      <c r="AX65" s="1144"/>
      <c r="AY65" s="1144"/>
      <c r="AZ65" s="1144"/>
      <c r="BA65" s="1144"/>
      <c r="BB65" s="1144"/>
      <c r="BC65" s="1144"/>
      <c r="BD65" s="1144"/>
      <c r="BE65" s="1145"/>
      <c r="BI65" s="638" t="s">
        <v>321</v>
      </c>
      <c r="BJ65" s="638">
        <v>2</v>
      </c>
      <c r="BK65" s="638" t="s">
        <v>320</v>
      </c>
      <c r="BL65" s="690">
        <v>2.452</v>
      </c>
      <c r="BM65" s="690">
        <v>2.4740000000000002</v>
      </c>
      <c r="BN65" s="653">
        <f t="shared" ref="BN65:BN75" si="14">IF(BM65="","",BL65/BM65)</f>
        <v>0.9911075181891672</v>
      </c>
      <c r="BO65" s="845"/>
      <c r="BP65" s="821">
        <v>0.9</v>
      </c>
      <c r="BQ65" s="690"/>
      <c r="BR65" s="690"/>
      <c r="BS65" s="653" t="str">
        <f t="shared" ref="BS65:BS75" si="15">IF(BR65="","",BQ65/BR65)</f>
        <v/>
      </c>
      <c r="BT65" s="845"/>
      <c r="BU65" s="821">
        <v>0.9</v>
      </c>
      <c r="BX65" s="666" t="str">
        <f t="shared" si="12"/>
        <v>Nov</v>
      </c>
      <c r="BY65" s="643">
        <f>IF(CB65=$CB76,SUMIF($BI64:$BI75,$BX65,$BR64:$BR75),SUMIF($BI64:$BI75,$BX65,$BM64:$BM75))</f>
        <v>2.4740000000000002</v>
      </c>
      <c r="BZ65" s="821">
        <f>IF(IF(CB65=CB76,SUMIF(BI64:BI75,$BX65,BU64:BU75),SUMIF(BI64:BI75,$BX65,BP64:BP75))=0,NA(),IF(CB65=CB76,SUMIF(BI64:BI75,$BX65,BU64:BU75),SUMIF(BI64:BI75,$BX65,BP64:BP75)))</f>
        <v>0.9</v>
      </c>
      <c r="CA65" s="640">
        <f>IF(IF(CB65=CB76,SUMIF(BI64:BI75,$BX65,BS64:BS75),SUMIF(BI64:BI75,$BX65,BN64:BN75))=0,NA(),IF(CB65=CB76,SUMIF(BI64:BI75,$BX65,BS64:BS75),SUMIF(BI64:BI75,$BX65,BN64:BN75)))</f>
        <v>0.9911075181891672</v>
      </c>
      <c r="CB65" s="645">
        <f t="shared" ref="CB65:CB76" si="16">CB46</f>
        <v>23</v>
      </c>
      <c r="CC65" s="645">
        <f t="shared" si="13"/>
        <v>11</v>
      </c>
    </row>
    <row r="66" spans="1:81" customFormat="1" ht="15" customHeight="1">
      <c r="A66" s="6"/>
      <c r="B66" s="336"/>
      <c r="C66" s="336"/>
      <c r="D66" s="336"/>
      <c r="E66" s="336"/>
      <c r="F66" s="336"/>
      <c r="G66" s="336"/>
      <c r="H66" s="336"/>
      <c r="I66" s="336"/>
      <c r="J66" s="336"/>
      <c r="K66" s="336"/>
      <c r="L66" s="336"/>
      <c r="M66" s="336"/>
      <c r="N66" s="336"/>
      <c r="O66" s="336"/>
      <c r="P66" s="336"/>
      <c r="Q66" s="336"/>
      <c r="R66" s="336"/>
      <c r="S66" s="336"/>
      <c r="T66" s="336"/>
      <c r="U66" s="336"/>
      <c r="V66" s="336"/>
      <c r="W66" s="336"/>
      <c r="X66" s="336"/>
      <c r="Y66" s="336"/>
      <c r="Z66" s="336"/>
      <c r="AA66" s="336"/>
      <c r="AB66" s="336"/>
      <c r="AC66" s="336"/>
      <c r="AD66" s="336"/>
      <c r="AE66" s="336"/>
      <c r="AF66" s="336"/>
      <c r="AG66" s="336"/>
      <c r="AH66" s="336"/>
      <c r="AI66" s="336"/>
      <c r="AJ66" s="336"/>
      <c r="AK66" s="336"/>
      <c r="AL66" s="336"/>
      <c r="AM66" s="336"/>
      <c r="AN66" s="336"/>
      <c r="AO66" s="336"/>
      <c r="AP66" s="336"/>
      <c r="AQ66" s="336"/>
      <c r="AR66" s="336"/>
      <c r="AS66" s="336"/>
      <c r="AT66" s="336"/>
      <c r="AU66" s="336"/>
      <c r="AV66" s="336"/>
      <c r="AW66" s="336"/>
      <c r="AX66" s="336"/>
      <c r="AY66" s="336"/>
      <c r="AZ66" s="336"/>
      <c r="BA66" s="336"/>
      <c r="BB66" s="336"/>
      <c r="BC66" s="336"/>
      <c r="BD66" s="336"/>
      <c r="BE66" s="336"/>
      <c r="BF66" s="6"/>
      <c r="BI66" s="638" t="s">
        <v>322</v>
      </c>
      <c r="BJ66" s="638">
        <v>3</v>
      </c>
      <c r="BK66" s="638" t="s">
        <v>320</v>
      </c>
      <c r="BL66" s="690">
        <v>3.86</v>
      </c>
      <c r="BM66" s="690">
        <v>3.9350000000000001</v>
      </c>
      <c r="BN66" s="653">
        <f t="shared" si="14"/>
        <v>0.98094027954256668</v>
      </c>
      <c r="BO66" s="845"/>
      <c r="BP66" s="821">
        <v>0.9</v>
      </c>
      <c r="BQ66" s="690"/>
      <c r="BR66" s="690"/>
      <c r="BS66" s="653" t="str">
        <f t="shared" si="15"/>
        <v/>
      </c>
      <c r="BT66" s="845"/>
      <c r="BU66" s="821">
        <v>0.9</v>
      </c>
      <c r="BV66" s="270"/>
      <c r="BW66" s="6"/>
      <c r="BX66" s="666" t="str">
        <f t="shared" si="12"/>
        <v>Dec</v>
      </c>
      <c r="BY66" s="643">
        <f>IF(CB66=$CB76,SUMIF($BI64:$BI75,$BX66,$BR64:$BR75),SUMIF($BI64:$BI75,$BX66,$BM64:$BM75))</f>
        <v>3.9350000000000001</v>
      </c>
      <c r="BZ66" s="821">
        <f>IF(IF(CB66=CB76,SUMIF(BI64:BI75,$BX66,BU64:BU75),SUMIF(BI64:BI75,$BX66,BP64:BP75))=0,NA(),IF(CB66=CB76,SUMIF(BI64:BI75,$BX66,BU64:BU75),SUMIF(BI64:BI75,$BX66,BP64:BP75)))</f>
        <v>0.9</v>
      </c>
      <c r="CA66" s="640">
        <f>IF(IF(CB66=CB76,SUMIF(BI64:BI75,$BX66,BS64:BS75),SUMIF(BI64:BI75,$BX66,BN64:BN75))=0,NA(),IF(CB66=CB76,SUMIF(BI64:BI75,$BX66,BS64:BS75),SUMIF(BI64:BI75,$BX66,BN64:BN75)))</f>
        <v>0.98094027954256668</v>
      </c>
      <c r="CB66" s="645">
        <f t="shared" si="16"/>
        <v>23</v>
      </c>
      <c r="CC66" s="645">
        <f t="shared" si="13"/>
        <v>12</v>
      </c>
    </row>
    <row r="67" spans="1:81" ht="15" customHeight="1">
      <c r="B67" s="52"/>
      <c r="AD67" s="336"/>
      <c r="AE67" s="336"/>
      <c r="AF67" s="336"/>
      <c r="AG67" s="336"/>
      <c r="AH67" s="336"/>
      <c r="AI67" s="336"/>
      <c r="AJ67" s="336"/>
      <c r="AK67" s="336"/>
      <c r="AL67" s="336"/>
      <c r="AM67" s="336"/>
      <c r="AN67" s="336"/>
      <c r="AO67" s="336"/>
      <c r="AP67" s="336"/>
      <c r="AQ67" s="336"/>
      <c r="AR67" s="336"/>
      <c r="AS67" s="336"/>
      <c r="AT67" s="336"/>
      <c r="AU67" s="336"/>
      <c r="AV67" s="336"/>
      <c r="AW67" s="336"/>
      <c r="AX67" s="336"/>
      <c r="AY67" s="336"/>
      <c r="AZ67" s="336"/>
      <c r="BA67" s="336"/>
      <c r="BB67" s="336"/>
      <c r="BC67" s="336"/>
      <c r="BD67" s="336"/>
      <c r="BF67"/>
      <c r="BI67" s="638" t="s">
        <v>323</v>
      </c>
      <c r="BJ67" s="638">
        <v>4</v>
      </c>
      <c r="BK67" s="638" t="s">
        <v>324</v>
      </c>
      <c r="BL67" s="690">
        <v>3.4769999999999999</v>
      </c>
      <c r="BM67" s="690">
        <v>3.5369999999999999</v>
      </c>
      <c r="BN67" s="653">
        <f t="shared" si="14"/>
        <v>0.98303647158608987</v>
      </c>
      <c r="BO67" s="289">
        <f>IF(SUM(BM67:BM69=0),0,SUM(BL67:BL69)/SUM(BM67:BM69))</f>
        <v>0.99059183896729042</v>
      </c>
      <c r="BP67" s="821">
        <v>0.9</v>
      </c>
      <c r="BQ67" s="690"/>
      <c r="BR67" s="690"/>
      <c r="BS67" s="653" t="str">
        <f t="shared" si="15"/>
        <v/>
      </c>
      <c r="BT67" s="289">
        <f>IF(SUM(BR67:BR69=0),0,SUM(BQ67:BQ69)/SUM(BR67:BR69))</f>
        <v>0</v>
      </c>
      <c r="BU67" s="821">
        <v>0.9</v>
      </c>
      <c r="BX67" s="666" t="str">
        <f t="shared" si="12"/>
        <v>Jan</v>
      </c>
      <c r="BY67" s="643">
        <f>IF(CB67=$CB76,SUMIF($BI64:$BI75,$BX67,$BR64:$BR75),SUMIF($BI64:$BI75,$BX67,$BM64:$BM75))</f>
        <v>3.5369999999999999</v>
      </c>
      <c r="BZ67" s="821">
        <f>IF(IF(CB67=CB76,SUMIF(BI64:BI75,$BX67,BU64:BU75),SUMIF(BI64:BI75,$BX67,BP64:BP75))=0,NA(),IF(CB67=CB76,SUMIF(BI64:BI75,$BX67,BU64:BU75),SUMIF(BI64:BI75,$BX67,BP64:BP75)))</f>
        <v>0.9</v>
      </c>
      <c r="CA67" s="640">
        <f>IF(IF(CB67=CB76,SUMIF(BI64:BI75,$BX67,BS64:BS75),SUMIF(BI64:BI75,$BX67,BN64:BN75))=0,NA(),IF(CB67=CB76,SUMIF(BI64:BI75,$BX67,BS64:BS75),SUMIF(BI64:BI75,$BX67,BN64:BN75)))</f>
        <v>0.98303647158608987</v>
      </c>
      <c r="CB67" s="645">
        <f t="shared" si="16"/>
        <v>23</v>
      </c>
      <c r="CC67" s="645">
        <f t="shared" si="13"/>
        <v>1</v>
      </c>
    </row>
    <row r="68" spans="1:81" ht="15" customHeight="1">
      <c r="AD68" s="336"/>
      <c r="AE68" s="336"/>
      <c r="AF68" s="336"/>
      <c r="AG68" s="336"/>
      <c r="AH68" s="336"/>
      <c r="AI68" s="336"/>
      <c r="AJ68" s="336"/>
      <c r="AK68" s="336"/>
      <c r="AL68" s="336"/>
      <c r="AM68" s="336"/>
      <c r="AN68" s="336"/>
      <c r="AO68" s="336"/>
      <c r="AP68" s="336"/>
      <c r="AQ68" s="336"/>
      <c r="AR68" s="336"/>
      <c r="AS68" s="336"/>
      <c r="AT68" s="336"/>
      <c r="AU68" s="336"/>
      <c r="AV68" s="336"/>
      <c r="AW68" s="336"/>
      <c r="AX68" s="336"/>
      <c r="AY68" s="336"/>
      <c r="AZ68" s="336"/>
      <c r="BA68" s="336"/>
      <c r="BB68" s="336"/>
      <c r="BC68" s="336"/>
      <c r="BD68" s="336"/>
      <c r="BI68" s="638" t="s">
        <v>325</v>
      </c>
      <c r="BJ68" s="638">
        <v>5</v>
      </c>
      <c r="BK68" s="638" t="s">
        <v>324</v>
      </c>
      <c r="BL68" s="690">
        <v>2.706</v>
      </c>
      <c r="BM68" s="822">
        <v>2.7269999999999999</v>
      </c>
      <c r="BN68" s="653">
        <f t="shared" si="14"/>
        <v>0.99229922992299235</v>
      </c>
      <c r="BO68" s="845"/>
      <c r="BP68" s="821">
        <v>0.9</v>
      </c>
      <c r="BQ68" s="690"/>
      <c r="BR68" s="822"/>
      <c r="BS68" s="653" t="str">
        <f t="shared" si="15"/>
        <v/>
      </c>
      <c r="BT68" s="845"/>
      <c r="BU68" s="821">
        <v>0.9</v>
      </c>
      <c r="BX68" s="666" t="str">
        <f t="shared" si="12"/>
        <v>Feb</v>
      </c>
      <c r="BY68" s="643">
        <f>IF(CB68=$CB76,SUMIF($BI64:$BI75,$BX68,$BR64:$BR75),SUMIF($BI64:$BI75,$BX68,$BM64:$BM75))</f>
        <v>2.7269999999999999</v>
      </c>
      <c r="BZ68" s="821">
        <f>IF(IF(CB68=CB76,SUMIF(BI64:BI75,$BX68,BU64:BU75),SUMIF(BI64:BI75,$BX68,BP64:BP75))=0,NA(),IF(CB68=CB76,SUMIF(BI64:BI75,$BX68,BU64:BU75),SUMIF(BI64:BI75,$BX68,BP64:BP75)))</f>
        <v>0.9</v>
      </c>
      <c r="CA68" s="640">
        <f>IF(IF(CB68=CB76,SUMIF(BI64:BI75,$BX68,BS64:BS75),SUMIF(BI64:BI75,$BX68,BN64:BN75))=0,NA(),IF(CB68=CB76,SUMIF(BI64:BI75,$BX68,BS64:BS75),SUMIF(BI64:BI75,$BX68,BN64:BN75)))</f>
        <v>0.99229922992299235</v>
      </c>
      <c r="CB68" s="645">
        <f t="shared" si="16"/>
        <v>23</v>
      </c>
      <c r="CC68" s="645">
        <f t="shared" si="13"/>
        <v>2</v>
      </c>
    </row>
    <row r="69" spans="1:81" ht="15" customHeight="1">
      <c r="AD69" s="336"/>
      <c r="AE69" s="336"/>
      <c r="AF69" s="336"/>
      <c r="AG69" s="336"/>
      <c r="AH69" s="336"/>
      <c r="AI69" s="336"/>
      <c r="AJ69" s="336"/>
      <c r="AK69" s="336"/>
      <c r="AL69" s="336"/>
      <c r="AM69" s="336"/>
      <c r="AN69" s="336"/>
      <c r="AO69" s="336"/>
      <c r="AP69" s="336"/>
      <c r="AQ69" s="336"/>
      <c r="AR69" s="336"/>
      <c r="AS69" s="336"/>
      <c r="AT69" s="336"/>
      <c r="AU69" s="336"/>
      <c r="AV69" s="336"/>
      <c r="AW69" s="336"/>
      <c r="AX69" s="336"/>
      <c r="AY69" s="336"/>
      <c r="AZ69" s="336"/>
      <c r="BA69" s="336"/>
      <c r="BB69" s="336"/>
      <c r="BC69" s="336"/>
      <c r="BD69" s="336"/>
      <c r="BI69" s="638" t="s">
        <v>326</v>
      </c>
      <c r="BJ69" s="638">
        <v>6</v>
      </c>
      <c r="BK69" s="638" t="s">
        <v>324</v>
      </c>
      <c r="BL69" s="690">
        <v>2.8719999999999999</v>
      </c>
      <c r="BM69" s="822">
        <v>2.8769999999999998</v>
      </c>
      <c r="BN69" s="653">
        <f t="shared" si="14"/>
        <v>0.99826207855404936</v>
      </c>
      <c r="BO69" s="845"/>
      <c r="BP69" s="821">
        <v>0.9</v>
      </c>
      <c r="BQ69" s="690"/>
      <c r="BR69" s="822"/>
      <c r="BS69" s="653" t="str">
        <f t="shared" si="15"/>
        <v/>
      </c>
      <c r="BT69" s="845"/>
      <c r="BU69" s="821">
        <v>0.9</v>
      </c>
      <c r="BX69" s="666" t="str">
        <f t="shared" si="12"/>
        <v>Mar</v>
      </c>
      <c r="BY69" s="643">
        <f>IF(CB69=$CB76,SUMIF($BI64:$BI75,$BX69,$BR64:$BR75),SUMIF($BI64:$BI75,$BX69,$BM64:$BM75))</f>
        <v>2.8769999999999998</v>
      </c>
      <c r="BZ69" s="821">
        <f>IF(IF(CB69=CB76,SUMIF(BI64:BI75,$BX69,BU64:BU75),SUMIF(BI64:BI75,$BX69,BP64:BP75))=0,NA(),IF(CB69=CB76,SUMIF(BI64:BI75,$BX69,BU64:BU75),SUMIF(BI64:BI75,$BX69,BP64:BP75)))</f>
        <v>0.9</v>
      </c>
      <c r="CA69" s="640">
        <f>IF(IF(CB69=CB76,SUMIF(BI64:BI75,$BX69,BS64:BS75),SUMIF(BI64:BI75,$BX69,BN64:BN75))=0,NA(),IF(CB69=CB76,SUMIF(BI64:BI75,$BX69,BS64:BS75),SUMIF(BI64:BI75,$BX69,BN64:BN75)))</f>
        <v>0.99826207855404936</v>
      </c>
      <c r="CB69" s="645">
        <f t="shared" si="16"/>
        <v>23</v>
      </c>
      <c r="CC69" s="645">
        <f t="shared" si="13"/>
        <v>3</v>
      </c>
    </row>
    <row r="70" spans="1:81" ht="15" customHeight="1">
      <c r="AD70" s="336"/>
      <c r="AE70" s="336"/>
      <c r="AF70" s="336"/>
      <c r="AG70" s="336"/>
      <c r="AH70" s="336"/>
      <c r="AI70" s="336"/>
      <c r="AJ70" s="336"/>
      <c r="AK70" s="336"/>
      <c r="AL70" s="336"/>
      <c r="AM70" s="336"/>
      <c r="AN70" s="336"/>
      <c r="AO70" s="336"/>
      <c r="AP70" s="336"/>
      <c r="AQ70" s="336"/>
      <c r="AR70" s="336"/>
      <c r="AS70" s="336"/>
      <c r="AT70" s="336"/>
      <c r="AU70" s="336"/>
      <c r="AV70" s="336"/>
      <c r="AW70" s="336"/>
      <c r="AX70" s="336"/>
      <c r="AY70" s="336"/>
      <c r="AZ70" s="336"/>
      <c r="BA70" s="336"/>
      <c r="BB70" s="336"/>
      <c r="BC70" s="336"/>
      <c r="BD70" s="336"/>
      <c r="BI70" s="638" t="s">
        <v>327</v>
      </c>
      <c r="BJ70" s="638">
        <v>7</v>
      </c>
      <c r="BK70" s="638" t="s">
        <v>328</v>
      </c>
      <c r="BL70" s="690">
        <v>2.8690000000000002</v>
      </c>
      <c r="BM70" s="822">
        <v>2.875</v>
      </c>
      <c r="BN70" s="653">
        <f t="shared" si="14"/>
        <v>0.99791304347826093</v>
      </c>
      <c r="BO70" s="289">
        <f>IF(SUM(BM70:BM72=0),0,SUM(BL70:BL72)/SUM(BM70:BM72))</f>
        <v>0.99883398921440025</v>
      </c>
      <c r="BP70" s="821">
        <v>0.9</v>
      </c>
      <c r="BQ70" s="690"/>
      <c r="BR70" s="822"/>
      <c r="BS70" s="653" t="str">
        <f t="shared" si="15"/>
        <v/>
      </c>
      <c r="BT70" s="289">
        <f>IF(SUM(BR70:BR72=0),0,SUM(BQ70:BQ72)/SUM(BR70:BR72))</f>
        <v>0</v>
      </c>
      <c r="BU70" s="821">
        <v>0.9</v>
      </c>
      <c r="BX70" s="666" t="str">
        <f t="shared" si="12"/>
        <v>Apr</v>
      </c>
      <c r="BY70" s="643">
        <f>IF(CB70=$CB76,SUMIF($BI64:$BI75,$BX70,$BR64:$BR75),SUMIF($BI64:$BI75,$BX70,$BM64:$BM75))</f>
        <v>2.875</v>
      </c>
      <c r="BZ70" s="821">
        <f>IF(IF(CB70=CB76,SUMIF(BI64:BI75,$BX70,BU64:BU75),SUMIF(BI64:BI75,$BX70,BP64:BP75))=0,NA(),IF(CB70=CB76,SUMIF(BI64:BI75,$BX70,BU64:BU75),SUMIF(BI64:BI75,$BX70,BP64:BP75)))</f>
        <v>0.9</v>
      </c>
      <c r="CA70" s="640">
        <f>IF(IF(CB70=CB76,SUMIF(BI64:BI75,$BX70,BS64:BS75),SUMIF(BI64:BI75,$BX70,BN64:BN75))=0,NA(),IF(CB70=CB76,SUMIF(BI64:BI75,$BX70,BS64:BS75),SUMIF(BI64:BI75,$BX70,BN64:BN75)))</f>
        <v>0.99791304347826093</v>
      </c>
      <c r="CB70" s="645">
        <f t="shared" si="16"/>
        <v>23</v>
      </c>
      <c r="CC70" s="645">
        <f t="shared" si="13"/>
        <v>4</v>
      </c>
    </row>
    <row r="71" spans="1:81" ht="15" customHeight="1">
      <c r="AD71" s="336"/>
      <c r="AE71" s="336"/>
      <c r="AF71" s="336"/>
      <c r="AG71" s="336"/>
      <c r="AH71" s="336"/>
      <c r="AI71" s="336"/>
      <c r="AJ71" s="336"/>
      <c r="AK71" s="336"/>
      <c r="AL71" s="336"/>
      <c r="AM71" s="336"/>
      <c r="AN71" s="336"/>
      <c r="AO71" s="336"/>
      <c r="AP71" s="336"/>
      <c r="AQ71" s="336"/>
      <c r="AR71" s="336"/>
      <c r="AS71" s="336"/>
      <c r="AT71" s="336"/>
      <c r="AU71" s="336"/>
      <c r="AV71" s="336"/>
      <c r="AW71" s="336"/>
      <c r="AX71" s="336"/>
      <c r="AY71" s="336"/>
      <c r="AZ71" s="336"/>
      <c r="BA71" s="336"/>
      <c r="BB71" s="336"/>
      <c r="BC71" s="336"/>
      <c r="BD71" s="336"/>
      <c r="BI71" s="638" t="s">
        <v>329</v>
      </c>
      <c r="BJ71" s="638">
        <v>8</v>
      </c>
      <c r="BK71" s="638" t="s">
        <v>328</v>
      </c>
      <c r="BL71" s="690">
        <v>1.651</v>
      </c>
      <c r="BM71" s="822">
        <v>1.653</v>
      </c>
      <c r="BN71" s="653">
        <f t="shared" si="14"/>
        <v>0.99879007864488811</v>
      </c>
      <c r="BO71" s="845"/>
      <c r="BP71" s="821">
        <v>0.9</v>
      </c>
      <c r="BQ71" s="690"/>
      <c r="BR71" s="822"/>
      <c r="BS71" s="653" t="str">
        <f t="shared" si="15"/>
        <v/>
      </c>
      <c r="BT71" s="845"/>
      <c r="BU71" s="821">
        <v>0.9</v>
      </c>
      <c r="BX71" s="666" t="str">
        <f t="shared" si="12"/>
        <v>May</v>
      </c>
      <c r="BY71" s="643">
        <f>IF(CB71=$CB76,SUMIF($BI64:$BI75,$BX71,$BR64:$BR75),SUMIF($BI64:$BI75,$BX71,$BM64:$BM75))</f>
        <v>1.653</v>
      </c>
      <c r="BZ71" s="821">
        <f>IF(IF(CB71=CB76,SUMIF(BI64:BI75,$BX71,BU64:BU75),SUMIF(BI64:BI75,$BX71,BP64:BP75))=0,NA(),IF(CB71=CB76,SUMIF(BI64:BI75,$BX71,BU64:BU75),SUMIF(BI64:BI75,$BX71,BP64:BP75)))</f>
        <v>0.9</v>
      </c>
      <c r="CA71" s="640">
        <f>IF(IF(CB71=CB76,SUMIF(BI64:BI75,$BX71,BS64:BS75),SUMIF(BI64:BI75,$BX71,BN64:BN75))=0,NA(),IF(CB71=CB76,SUMIF(BI64:BI75,$BX71,BS64:BS75),SUMIF(BI64:BI75,$BX71,BN64:BN75)))</f>
        <v>0.99879007864488811</v>
      </c>
      <c r="CB71" s="645">
        <f t="shared" si="16"/>
        <v>23</v>
      </c>
      <c r="CC71" s="645">
        <f t="shared" si="13"/>
        <v>5</v>
      </c>
    </row>
    <row r="72" spans="1:81" ht="15" customHeight="1">
      <c r="AD72" s="336"/>
      <c r="AE72" s="336"/>
      <c r="AF72" s="336"/>
      <c r="AG72" s="336"/>
      <c r="AH72" s="336"/>
      <c r="AI72" s="336"/>
      <c r="AJ72" s="336"/>
      <c r="AK72" s="336"/>
      <c r="AL72" s="336"/>
      <c r="AM72" s="336"/>
      <c r="AN72" s="336"/>
      <c r="AO72" s="336"/>
      <c r="AP72" s="336"/>
      <c r="AQ72" s="336"/>
      <c r="AR72" s="336"/>
      <c r="AS72" s="336"/>
      <c r="AT72" s="336"/>
      <c r="AU72" s="336"/>
      <c r="AV72" s="336"/>
      <c r="AW72" s="336"/>
      <c r="AX72" s="336"/>
      <c r="AY72" s="336"/>
      <c r="AZ72" s="336"/>
      <c r="BA72" s="336"/>
      <c r="BB72" s="336"/>
      <c r="BC72" s="336"/>
      <c r="BD72" s="336"/>
      <c r="BI72" s="638" t="s">
        <v>331</v>
      </c>
      <c r="BJ72" s="638">
        <v>9</v>
      </c>
      <c r="BK72" s="638" t="s">
        <v>328</v>
      </c>
      <c r="BL72" s="690">
        <v>2.3330000000000002</v>
      </c>
      <c r="BM72" s="822">
        <v>2.3330000000000002</v>
      </c>
      <c r="BN72" s="653">
        <f t="shared" si="14"/>
        <v>1</v>
      </c>
      <c r="BO72" s="845"/>
      <c r="BP72" s="821">
        <v>0.9</v>
      </c>
      <c r="BQ72" s="690"/>
      <c r="BR72" s="822"/>
      <c r="BS72" s="653" t="str">
        <f t="shared" si="15"/>
        <v/>
      </c>
      <c r="BT72" s="845"/>
      <c r="BU72" s="821">
        <v>0.9</v>
      </c>
      <c r="BX72" s="666" t="str">
        <f t="shared" si="12"/>
        <v>Jun</v>
      </c>
      <c r="BY72" s="643">
        <f>IF(CB72=$CB76,SUMIF($BI64:$BI75,$BX72,$BR64:$BR75),SUMIF($BI64:$BI75,$BX72,$BM64:$BM75))</f>
        <v>2.3330000000000002</v>
      </c>
      <c r="BZ72" s="821">
        <f>IF(IF(CB72=CB76,SUMIF(BI64:BI75,$BX72,BU64:BU75),SUMIF(BI64:BI75,$BX72,BP64:BP75))=0,NA(),IF(CB72=CB76,SUMIF(BI64:BI75,$BX72,BU64:BU75),SUMIF(BI64:BI75,$BX72,BP64:BP75)))</f>
        <v>0.9</v>
      </c>
      <c r="CA72" s="640">
        <f>IF(IF(CB72=CB76,SUMIF(BI64:BI75,$BX72,BS64:BS75),SUMIF(BI64:BI75,$BX72,BN64:BN75))=0,NA(),IF(CB72=CB76,SUMIF(BI64:BI75,$BX72,BS64:BS75),SUMIF(BI64:BI75,$BX72,BN64:BN75)))</f>
        <v>1</v>
      </c>
      <c r="CB72" s="645">
        <f t="shared" si="16"/>
        <v>23</v>
      </c>
      <c r="CC72" s="645">
        <f t="shared" si="13"/>
        <v>6</v>
      </c>
    </row>
    <row r="73" spans="1:81" ht="15" customHeight="1">
      <c r="AD73" s="336"/>
      <c r="AE73" s="336"/>
      <c r="AF73" s="336"/>
      <c r="AG73" s="336"/>
      <c r="AH73" s="336"/>
      <c r="AI73" s="336"/>
      <c r="AJ73" s="336"/>
      <c r="AK73" s="336"/>
      <c r="AL73" s="336"/>
      <c r="AM73" s="336"/>
      <c r="AN73" s="336"/>
      <c r="AO73" s="336"/>
      <c r="AP73" s="336"/>
      <c r="AQ73" s="336"/>
      <c r="AR73" s="336"/>
      <c r="AS73" s="336"/>
      <c r="AT73" s="336"/>
      <c r="AU73" s="336"/>
      <c r="AV73" s="336"/>
      <c r="AW73" s="336"/>
      <c r="AX73" s="336"/>
      <c r="AY73" s="336"/>
      <c r="AZ73" s="336"/>
      <c r="BA73" s="336"/>
      <c r="BB73" s="336"/>
      <c r="BC73" s="336"/>
      <c r="BD73" s="336"/>
      <c r="BI73" s="638" t="s">
        <v>337</v>
      </c>
      <c r="BJ73" s="638">
        <v>10</v>
      </c>
      <c r="BK73" s="638" t="s">
        <v>338</v>
      </c>
      <c r="BL73" s="690">
        <v>2.0830000000000002</v>
      </c>
      <c r="BM73" s="822">
        <v>2.09</v>
      </c>
      <c r="BN73" s="653">
        <f t="shared" si="14"/>
        <v>0.99665071770334945</v>
      </c>
      <c r="BO73" s="289">
        <f>IF(SUM(BM73:BM75=0),0,SUM(BL73:BL75)/SUM(BM73:BM75))</f>
        <v>0.99854458851548022</v>
      </c>
      <c r="BP73" s="821">
        <v>0.9</v>
      </c>
      <c r="BQ73" s="690"/>
      <c r="BR73" s="822"/>
      <c r="BS73" s="653" t="str">
        <f t="shared" si="15"/>
        <v/>
      </c>
      <c r="BT73" s="289">
        <f>IF(SUM(BR73:BR75=0),0,SUM(BQ73:BQ75)/SUM(BR73:BR75))</f>
        <v>0</v>
      </c>
      <c r="BU73" s="821">
        <v>0.9</v>
      </c>
      <c r="BX73" s="666" t="str">
        <f t="shared" si="12"/>
        <v>Jul</v>
      </c>
      <c r="BY73" s="643">
        <f>IF(CB73=$CB76,SUMIF($BI64:$BI75,$BX73,$BR64:$BR75),SUMIF($BI64:$BI75,$BX73,$BM64:$BM75))</f>
        <v>2.09</v>
      </c>
      <c r="BZ73" s="821">
        <f>IF(IF(CB73=CB76,SUMIF(BI64:BI75,$BX73,BU64:BU75),SUMIF(BI64:BI75,$BX73,BP64:BP75))=0,NA(),IF(CB73=CB76,SUMIF(BI64:BI75,$BX73,BU64:BU75),SUMIF(BI64:BI75,$BX73,BP64:BP75)))</f>
        <v>0.9</v>
      </c>
      <c r="CA73" s="640">
        <f>IF(IF(CB73=CB76,SUMIF(BI64:BI75,$BX73,BS64:BS75),SUMIF(BI64:BI75,$BX73,BN64:BN75))=0,NA(),IF(CB73=CB76,SUMIF(BI64:BI75,$BX73,BS64:BS75),SUMIF(BI64:BI75,$BX73,BN64:BN75)))</f>
        <v>0.99665071770334945</v>
      </c>
      <c r="CB73" s="645">
        <f t="shared" si="16"/>
        <v>23</v>
      </c>
      <c r="CC73" s="645">
        <f t="shared" si="13"/>
        <v>7</v>
      </c>
    </row>
    <row r="74" spans="1:81" ht="15" customHeight="1">
      <c r="AD74" s="336"/>
      <c r="AE74" s="336"/>
      <c r="AF74" s="336"/>
      <c r="AG74" s="336"/>
      <c r="AH74" s="336"/>
      <c r="AI74" s="336"/>
      <c r="AJ74" s="336"/>
      <c r="AK74" s="336"/>
      <c r="AL74" s="336"/>
      <c r="AM74" s="336"/>
      <c r="AN74" s="336"/>
      <c r="AO74" s="336"/>
      <c r="AP74" s="336"/>
      <c r="AQ74" s="336"/>
      <c r="AR74" s="336"/>
      <c r="AS74" s="336"/>
      <c r="AT74" s="336"/>
      <c r="AU74" s="336"/>
      <c r="AV74" s="336"/>
      <c r="AW74" s="336"/>
      <c r="AX74" s="336"/>
      <c r="AY74" s="336"/>
      <c r="AZ74" s="336"/>
      <c r="BA74" s="336"/>
      <c r="BB74" s="336"/>
      <c r="BC74" s="336"/>
      <c r="BD74" s="336"/>
      <c r="BI74" s="638" t="s">
        <v>343</v>
      </c>
      <c r="BJ74" s="638">
        <v>11</v>
      </c>
      <c r="BK74" s="638" t="s">
        <v>338</v>
      </c>
      <c r="BL74" s="690">
        <v>2.0939999999999999</v>
      </c>
      <c r="BM74" s="822">
        <v>2.097</v>
      </c>
      <c r="BN74" s="653">
        <f t="shared" si="14"/>
        <v>0.99856938483547919</v>
      </c>
      <c r="BO74" s="835"/>
      <c r="BP74" s="821">
        <v>0.9</v>
      </c>
      <c r="BQ74" s="690"/>
      <c r="BR74" s="822"/>
      <c r="BS74" s="653" t="str">
        <f t="shared" si="15"/>
        <v/>
      </c>
      <c r="BT74" s="835"/>
      <c r="BU74" s="821">
        <v>0.9</v>
      </c>
      <c r="BX74" s="666" t="str">
        <f t="shared" si="12"/>
        <v>Aug</v>
      </c>
      <c r="BY74" s="643">
        <f>IF(CB74=$CB76,SUMIF($BI64:$BI75,$BX74,$BR64:$BR75),SUMIF($BI64:$BI75,$BX74,$BM64:$BM75))</f>
        <v>2.097</v>
      </c>
      <c r="BZ74" s="821">
        <f>IF(IF(CB74=CB76,SUMIF(BI64:BI75,$BX74,BU64:BU75),SUMIF(BI64:BI75,$BX74,BP64:BP75))=0,NA(),IF(CB74=CB76,SUMIF(BI64:BI75,$BX74,BU64:BU75),SUMIF(BI64:BI75,$BX74,BP64:BP75)))</f>
        <v>0.9</v>
      </c>
      <c r="CA74" s="640">
        <f>IF(IF(CB74=CB76,SUMIF(BI64:BI75,$BX74,BS64:BS75),SUMIF(BI64:BI75,$BX74,BN64:BN75))=0,NA(),IF(CB74=CB76,SUMIF(BI64:BI75,$BX74,BS64:BS75),SUMIF(BI64:BI75,$BX74,BN64:BN75)))</f>
        <v>0.99856938483547919</v>
      </c>
      <c r="CB74" s="645">
        <f t="shared" si="16"/>
        <v>23</v>
      </c>
      <c r="CC74" s="645">
        <f t="shared" si="13"/>
        <v>8</v>
      </c>
    </row>
    <row r="75" spans="1:81" ht="15" customHeight="1">
      <c r="AD75" s="336"/>
      <c r="AE75" s="336"/>
      <c r="AF75" s="336"/>
      <c r="AG75" s="336"/>
      <c r="AH75" s="336"/>
      <c r="AI75" s="336"/>
      <c r="AJ75" s="336"/>
      <c r="AK75" s="336"/>
      <c r="AL75" s="336"/>
      <c r="AM75" s="336"/>
      <c r="AN75" s="336"/>
      <c r="AO75" s="336"/>
      <c r="AP75" s="336"/>
      <c r="AQ75" s="336"/>
      <c r="AR75" s="336"/>
      <c r="AS75" s="336"/>
      <c r="AT75" s="336"/>
      <c r="AU75" s="336"/>
      <c r="AV75" s="336"/>
      <c r="AW75" s="336"/>
      <c r="AX75" s="336"/>
      <c r="AY75" s="336"/>
      <c r="AZ75" s="336"/>
      <c r="BA75" s="336"/>
      <c r="BB75" s="336"/>
      <c r="BC75" s="336"/>
      <c r="BD75" s="336"/>
      <c r="BI75" s="638" t="s">
        <v>344</v>
      </c>
      <c r="BJ75" s="638">
        <v>12</v>
      </c>
      <c r="BK75" s="638" t="s">
        <v>338</v>
      </c>
      <c r="BL75" s="690">
        <v>3.37</v>
      </c>
      <c r="BM75" s="822">
        <v>3.371</v>
      </c>
      <c r="BN75" s="653">
        <f t="shared" si="14"/>
        <v>0.99970335212103234</v>
      </c>
      <c r="BO75" s="835"/>
      <c r="BP75" s="821">
        <v>0.9</v>
      </c>
      <c r="BQ75" s="690"/>
      <c r="BR75" s="822"/>
      <c r="BS75" s="653" t="str">
        <f t="shared" si="15"/>
        <v/>
      </c>
      <c r="BT75" s="835"/>
      <c r="BU75" s="821">
        <v>0.9</v>
      </c>
      <c r="BV75" s="6"/>
      <c r="BX75" s="666" t="str">
        <f t="shared" si="12"/>
        <v>Sep</v>
      </c>
      <c r="BY75" s="643">
        <f>IF(CB75=$CB76,SUMIF($BI64:$BI75,$BX75,$BR64:$BR75),SUMIF($BI64:$BI75,$BX75,$BM64:$BM75))</f>
        <v>3.371</v>
      </c>
      <c r="BZ75" s="821">
        <f>IF(IF(CB75=CB76,SUMIF(BI64:BI75,$BX75,BU64:BU75),SUMIF(BI64:BI75,$BX75,BP64:BP75))=0,NA(),IF(CB75=CB76,SUMIF(BI64:BI75,$BX75,BU64:BU75),SUMIF(BI64:BI75,$BX75,BP64:BP75)))</f>
        <v>0.9</v>
      </c>
      <c r="CA75" s="640">
        <f>IF(IF(CB75=CB76,SUMIF(BI64:BI75,$BX75,BS64:BS75),SUMIF(BI64:BI75,$BX75,BN64:BN75))=0,NA(),IF(CB75=CB76,SUMIF(BI64:BI75,$BX75,BS64:BS75),SUMIF(BI64:BI75,$BX75,BN64:BN75)))</f>
        <v>0.99970335212103234</v>
      </c>
      <c r="CB75" s="645">
        <f t="shared" si="16"/>
        <v>23</v>
      </c>
      <c r="CC75" s="645">
        <f>IF(CC76-1&lt;1,CC76+11,CC76-1)</f>
        <v>9</v>
      </c>
    </row>
    <row r="76" spans="1:81" ht="15" customHeight="1">
      <c r="AD76" s="336"/>
      <c r="AE76" s="336"/>
      <c r="AF76" s="336"/>
      <c r="AG76" s="336"/>
      <c r="AH76" s="336"/>
      <c r="AI76" s="336"/>
      <c r="AJ76" s="336"/>
      <c r="AK76" s="336"/>
      <c r="AL76" s="336"/>
      <c r="AM76" s="336"/>
      <c r="AN76" s="336"/>
      <c r="AO76" s="336"/>
      <c r="AP76" s="336"/>
      <c r="AQ76" s="336"/>
      <c r="AR76" s="336"/>
      <c r="AS76" s="336"/>
      <c r="AT76" s="336"/>
      <c r="AU76" s="336"/>
      <c r="AV76" s="336"/>
      <c r="AW76" s="336"/>
      <c r="AX76" s="336"/>
      <c r="AY76" s="336"/>
      <c r="AZ76" s="336"/>
      <c r="BA76" s="336"/>
      <c r="BB76" s="336"/>
      <c r="BC76" s="336"/>
      <c r="BD76" s="336"/>
      <c r="BJ76" s="6"/>
      <c r="BK76" s="6"/>
      <c r="BL76" s="6"/>
      <c r="BM76" s="6"/>
      <c r="BN76" s="6"/>
      <c r="BO76" s="6"/>
      <c r="BP76" s="6"/>
      <c r="BQ76" s="6"/>
      <c r="BR76" s="6"/>
      <c r="BS76" s="6"/>
      <c r="BT76" s="6"/>
      <c r="BU76" s="6"/>
      <c r="BV76" s="6"/>
      <c r="BW76" s="667" t="str">
        <f>Cover!$M$34</f>
        <v>OCT FY-24</v>
      </c>
      <c r="BX76" s="666" t="str">
        <f>TEXT(CONCATENATE(CC76,"/01/20",CB76),"MMM")</f>
        <v>Oct</v>
      </c>
      <c r="BY76" s="643">
        <f>SUMIF($BI64:$BI75,$BX76,$BR64:$BR75)</f>
        <v>2.2130000000000001</v>
      </c>
      <c r="BZ76" s="821">
        <f>IF(IF(CB76=CB76,SUMIF(BI64:BI75,$BX76,BU64:BU75),SUMIF(BI64:BI75,$BX76,BP64:BP75))=0,NA(),IF(CB76=CB76,SUMIF(BI64:BI75,$BX76,BU64:BU75),SUMIF(BI64:BI75,$BX76,BP64:BP75)))</f>
        <v>0.9</v>
      </c>
      <c r="CA76" s="640">
        <f>IF(SUMIF($BI64:$BI75,$BX76,$BS64:$BS75)=0,NA(),SUMIF($BI64:$BI75,$BX76,$BS64:$BS75))</f>
        <v>0.96927248079530048</v>
      </c>
      <c r="CB76" s="645">
        <f t="shared" si="16"/>
        <v>24</v>
      </c>
      <c r="CC76" s="645">
        <f>MONTH(DATEVALUE(LEFT(BW76,3)&amp;" 1"))</f>
        <v>10</v>
      </c>
    </row>
    <row r="77" spans="1:81" ht="15" customHeight="1">
      <c r="AD77" s="336"/>
      <c r="AE77" s="336"/>
      <c r="AF77" s="336"/>
      <c r="AG77" s="336"/>
      <c r="AH77" s="336"/>
      <c r="AI77" s="336"/>
      <c r="AJ77" s="336"/>
      <c r="AK77" s="336"/>
      <c r="AL77" s="336"/>
      <c r="AM77" s="336"/>
      <c r="AN77" s="336"/>
      <c r="AO77" s="336"/>
      <c r="AP77" s="336"/>
      <c r="AQ77" s="336"/>
      <c r="AR77" s="336"/>
      <c r="AS77" s="336"/>
      <c r="AT77" s="336"/>
      <c r="AU77" s="336"/>
      <c r="AV77" s="336"/>
      <c r="AW77" s="336"/>
      <c r="AX77" s="336"/>
      <c r="AY77" s="336"/>
      <c r="AZ77" s="336"/>
      <c r="BA77" s="336"/>
      <c r="BB77" s="336"/>
      <c r="BC77" s="336"/>
      <c r="BD77" s="336"/>
      <c r="BJ77" s="6"/>
      <c r="BK77" s="6"/>
      <c r="BL77" s="6"/>
      <c r="BM77" s="6"/>
      <c r="BN77" s="6"/>
      <c r="BO77" s="6"/>
      <c r="BP77" s="6"/>
      <c r="BQ77" s="6"/>
      <c r="BR77" s="6"/>
      <c r="BS77" s="6"/>
      <c r="BT77" s="6"/>
      <c r="BU77" s="6"/>
      <c r="BV77" s="6"/>
    </row>
    <row r="78" spans="1:81" ht="15" customHeight="1">
      <c r="AD78" s="336"/>
      <c r="AE78" s="336"/>
      <c r="AF78" s="336"/>
      <c r="AG78" s="336"/>
      <c r="AH78" s="336"/>
      <c r="AI78" s="336"/>
      <c r="AJ78" s="336"/>
      <c r="AK78" s="336"/>
      <c r="AL78" s="336"/>
      <c r="AM78" s="336"/>
      <c r="AN78" s="336"/>
      <c r="AO78" s="336"/>
      <c r="AP78" s="336"/>
      <c r="AQ78" s="336"/>
      <c r="AR78" s="336"/>
      <c r="AS78" s="336"/>
      <c r="AT78" s="336"/>
      <c r="AU78" s="336"/>
      <c r="AV78" s="336"/>
      <c r="AW78" s="336"/>
      <c r="AX78" s="336"/>
      <c r="AY78" s="336"/>
      <c r="AZ78" s="336"/>
      <c r="BA78" s="336"/>
      <c r="BB78" s="336"/>
      <c r="BC78" s="336"/>
      <c r="BD78" s="336"/>
      <c r="BJ78" s="6"/>
      <c r="BK78" s="6"/>
      <c r="BL78" s="6"/>
      <c r="BM78" s="6"/>
      <c r="BN78" s="6"/>
      <c r="BO78" s="6"/>
      <c r="BP78" s="6"/>
      <c r="BQ78" s="6"/>
      <c r="BR78" s="6"/>
      <c r="BS78" s="6"/>
      <c r="BT78" s="6"/>
      <c r="BU78" s="6"/>
      <c r="BV78" s="6"/>
    </row>
    <row r="79" spans="1:81" ht="15" customHeight="1">
      <c r="AD79" s="336"/>
      <c r="AE79" s="336"/>
      <c r="AF79" s="336"/>
      <c r="AG79" s="336"/>
      <c r="AH79" s="336"/>
      <c r="AI79" s="336"/>
      <c r="AJ79" s="336"/>
      <c r="AK79" s="336"/>
      <c r="AL79" s="336"/>
      <c r="AM79" s="336"/>
      <c r="AN79" s="336"/>
      <c r="AO79" s="336"/>
      <c r="AP79" s="336"/>
      <c r="AQ79" s="336"/>
      <c r="AR79" s="336"/>
      <c r="AS79" s="336"/>
      <c r="AT79" s="336"/>
      <c r="AU79" s="336"/>
      <c r="AV79" s="336"/>
      <c r="AW79" s="336"/>
      <c r="AX79" s="336"/>
      <c r="AY79" s="336"/>
      <c r="AZ79" s="336"/>
      <c r="BA79" s="336"/>
      <c r="BB79" s="336"/>
      <c r="BC79" s="336"/>
      <c r="BD79" s="336"/>
      <c r="BJ79" s="6"/>
      <c r="BK79" s="6"/>
      <c r="BL79" s="6"/>
      <c r="BM79" s="6"/>
      <c r="BN79" s="6"/>
      <c r="BO79" s="6"/>
      <c r="BP79" s="6"/>
      <c r="BQ79" s="6"/>
      <c r="BR79" s="6"/>
      <c r="BS79" s="6"/>
      <c r="BT79" s="6"/>
      <c r="BU79" s="6"/>
      <c r="BV79" s="6"/>
    </row>
    <row r="80" spans="1:81" ht="15" customHeight="1">
      <c r="AD80" s="336"/>
      <c r="AE80" s="336"/>
      <c r="AF80" s="336"/>
      <c r="AG80" s="336"/>
      <c r="AH80" s="336"/>
      <c r="AI80" s="336"/>
      <c r="AJ80" s="336"/>
      <c r="AK80" s="336"/>
      <c r="AL80" s="336"/>
      <c r="AM80" s="336"/>
      <c r="AN80" s="336"/>
      <c r="AO80" s="336"/>
      <c r="AP80" s="336"/>
      <c r="AQ80" s="336"/>
      <c r="AR80" s="336"/>
      <c r="AS80" s="336"/>
      <c r="AT80" s="336"/>
      <c r="AU80" s="336"/>
      <c r="AV80" s="336"/>
      <c r="AW80" s="336"/>
      <c r="AX80" s="336"/>
      <c r="AY80" s="336"/>
      <c r="AZ80" s="336"/>
      <c r="BA80" s="336"/>
      <c r="BB80" s="336"/>
      <c r="BC80" s="336"/>
      <c r="BD80" s="336"/>
      <c r="BJ80" s="6"/>
      <c r="BK80" s="6"/>
      <c r="BL80" s="6"/>
      <c r="BM80" s="6"/>
      <c r="BN80" s="6"/>
      <c r="BO80" s="6"/>
      <c r="BP80" s="6"/>
      <c r="BQ80" s="6"/>
      <c r="BR80" s="6"/>
      <c r="BS80" s="6"/>
      <c r="BT80" s="6"/>
      <c r="BU80" s="6"/>
      <c r="BV80" s="6"/>
    </row>
    <row r="81" spans="2:74" ht="15" customHeight="1">
      <c r="AD81" s="336"/>
      <c r="AE81" s="336"/>
      <c r="AF81" s="336"/>
      <c r="AG81" s="336"/>
      <c r="AH81" s="336"/>
      <c r="AI81" s="336"/>
      <c r="AJ81" s="336"/>
      <c r="AK81" s="336"/>
      <c r="AL81" s="336"/>
      <c r="AM81" s="336"/>
      <c r="AN81" s="336"/>
      <c r="AO81" s="336"/>
      <c r="AP81" s="336"/>
      <c r="AQ81" s="336"/>
      <c r="AR81" s="336"/>
      <c r="AS81" s="336"/>
      <c r="AT81" s="336"/>
      <c r="AU81" s="336"/>
      <c r="AV81" s="336"/>
      <c r="AW81" s="336"/>
      <c r="AX81" s="336"/>
      <c r="AY81" s="336"/>
      <c r="AZ81" s="336"/>
      <c r="BA81" s="336"/>
      <c r="BB81" s="336"/>
      <c r="BC81" s="336"/>
      <c r="BD81" s="336"/>
      <c r="BJ81" s="6"/>
      <c r="BK81" s="6"/>
      <c r="BL81" s="6"/>
      <c r="BM81" s="6"/>
      <c r="BN81" s="6"/>
      <c r="BO81" s="6"/>
      <c r="BP81" s="6"/>
      <c r="BQ81" s="6"/>
      <c r="BR81" s="6"/>
      <c r="BS81" s="6"/>
      <c r="BT81" s="6"/>
      <c r="BU81" s="6"/>
      <c r="BV81" s="6"/>
    </row>
    <row r="82" spans="2:74" ht="15" customHeight="1">
      <c r="AD82" s="336"/>
      <c r="AE82" s="336"/>
      <c r="AF82" s="336"/>
      <c r="AG82" s="336"/>
      <c r="AH82" s="336"/>
      <c r="AI82" s="336"/>
      <c r="AJ82" s="336"/>
      <c r="AK82" s="336"/>
      <c r="AL82" s="336"/>
      <c r="AM82" s="336"/>
      <c r="AN82" s="336"/>
      <c r="AO82" s="336"/>
      <c r="AP82" s="336"/>
      <c r="AQ82" s="336"/>
      <c r="AR82" s="336"/>
      <c r="AS82" s="336"/>
      <c r="AT82" s="336"/>
      <c r="AU82" s="336"/>
      <c r="AV82" s="336"/>
      <c r="AW82" s="336"/>
      <c r="AX82" s="336"/>
      <c r="AY82" s="336"/>
      <c r="AZ82" s="336"/>
      <c r="BA82" s="336"/>
      <c r="BB82" s="336"/>
      <c r="BC82" s="336"/>
      <c r="BD82" s="336"/>
      <c r="BJ82" s="6"/>
      <c r="BK82" s="6"/>
      <c r="BL82" s="6"/>
      <c r="BM82" s="6"/>
      <c r="BN82" s="6"/>
      <c r="BO82" s="6"/>
      <c r="BP82" s="6"/>
      <c r="BQ82" s="6"/>
      <c r="BR82" s="6"/>
      <c r="BS82" s="6"/>
      <c r="BT82" s="6"/>
      <c r="BU82" s="6"/>
      <c r="BV82" s="6"/>
    </row>
    <row r="83" spans="2:74" ht="15" customHeight="1">
      <c r="AD83" s="336"/>
      <c r="AE83" s="336"/>
      <c r="AF83" s="336"/>
      <c r="AG83" s="336"/>
      <c r="AH83" s="336"/>
      <c r="AI83" s="336"/>
      <c r="AJ83" s="336"/>
      <c r="AK83" s="336"/>
      <c r="AL83" s="336"/>
      <c r="AM83" s="336"/>
      <c r="AN83" s="336"/>
      <c r="AO83" s="336"/>
      <c r="AP83" s="336"/>
      <c r="AQ83" s="336"/>
      <c r="AR83" s="336"/>
      <c r="AS83" s="336"/>
      <c r="AT83" s="336"/>
      <c r="AU83" s="336"/>
      <c r="AV83" s="336"/>
      <c r="AW83" s="336"/>
      <c r="AX83" s="336"/>
      <c r="AY83" s="336"/>
      <c r="AZ83" s="336"/>
      <c r="BA83" s="336"/>
      <c r="BB83" s="336"/>
      <c r="BC83" s="336"/>
      <c r="BD83" s="336"/>
      <c r="BI83" s="6"/>
      <c r="BJ83" s="6"/>
      <c r="BK83" s="6"/>
      <c r="BL83" s="6"/>
      <c r="BM83" s="6"/>
      <c r="BN83" s="6"/>
      <c r="BO83" s="6"/>
      <c r="BP83" s="6"/>
      <c r="BQ83" s="6"/>
      <c r="BR83" s="6"/>
      <c r="BS83" s="6"/>
      <c r="BT83" s="6"/>
      <c r="BU83" s="6"/>
      <c r="BV83" s="6"/>
    </row>
    <row r="84" spans="2:74" ht="15" customHeight="1">
      <c r="B84" s="267" t="s">
        <v>242</v>
      </c>
      <c r="C84" s="267"/>
      <c r="D84" s="267"/>
      <c r="E84" s="334"/>
      <c r="F84" s="326"/>
      <c r="G84" s="326"/>
      <c r="H84" s="326"/>
      <c r="I84" s="326"/>
      <c r="J84" s="326"/>
      <c r="K84" s="326"/>
      <c r="L84" s="326"/>
      <c r="M84" s="326"/>
      <c r="N84" s="326"/>
      <c r="O84" s="326"/>
      <c r="P84" s="326"/>
      <c r="Q84" s="326"/>
      <c r="R84" s="326"/>
      <c r="S84" s="326"/>
      <c r="T84" s="326"/>
      <c r="U84" s="326"/>
      <c r="V84" s="326"/>
      <c r="W84" s="326"/>
      <c r="X84" s="326"/>
      <c r="Y84" s="326"/>
      <c r="Z84" s="326"/>
      <c r="AA84" s="326"/>
      <c r="AB84" s="326"/>
      <c r="AD84" s="336"/>
      <c r="BI84" s="6"/>
      <c r="BJ84" s="6"/>
      <c r="BK84" s="6"/>
      <c r="BL84" s="6"/>
      <c r="BM84" s="6"/>
      <c r="BN84" s="6"/>
      <c r="BO84" s="6"/>
      <c r="BP84" s="6"/>
      <c r="BQ84" s="6"/>
      <c r="BR84" s="6"/>
      <c r="BS84" s="6"/>
      <c r="BT84" s="6"/>
      <c r="BU84" s="6"/>
      <c r="BV84" s="6"/>
    </row>
    <row r="85" spans="2:74" ht="15" customHeight="1">
      <c r="B85" s="1137" t="str">
        <f>AC40</f>
        <v>The Team has been working diligently to service the tickets. We resolved 100% of 827 tickets received.</v>
      </c>
      <c r="C85" s="1138"/>
      <c r="D85" s="1138"/>
      <c r="E85" s="1138"/>
      <c r="F85" s="1138"/>
      <c r="G85" s="1138"/>
      <c r="H85" s="1138"/>
      <c r="I85" s="1138"/>
      <c r="J85" s="1138"/>
      <c r="K85" s="1138"/>
      <c r="L85" s="1138"/>
      <c r="M85" s="1138"/>
      <c r="N85" s="1138"/>
      <c r="O85" s="1138"/>
      <c r="P85" s="1138"/>
      <c r="Q85" s="1138"/>
      <c r="R85" s="1138"/>
      <c r="S85" s="1138"/>
      <c r="T85" s="1138"/>
      <c r="U85" s="1138"/>
      <c r="V85" s="1138"/>
      <c r="W85" s="1138"/>
      <c r="X85" s="1138"/>
      <c r="Y85" s="1138"/>
      <c r="Z85" s="1138"/>
      <c r="AA85" s="1138"/>
      <c r="AB85" s="1139"/>
      <c r="AD85" s="336"/>
      <c r="BI85" s="6"/>
      <c r="BJ85" s="6"/>
      <c r="BK85" s="6"/>
      <c r="BL85" s="6"/>
      <c r="BM85" s="6"/>
      <c r="BN85" s="6"/>
      <c r="BO85" s="6"/>
      <c r="BP85" s="6"/>
      <c r="BQ85" s="6"/>
      <c r="BR85" s="6"/>
      <c r="BS85" s="6"/>
      <c r="BT85" s="6"/>
      <c r="BU85" s="6"/>
      <c r="BV85" s="6"/>
    </row>
    <row r="86" spans="2:74" ht="15" customHeight="1">
      <c r="B86" s="1140"/>
      <c r="C86" s="1141"/>
      <c r="D86" s="1141"/>
      <c r="E86" s="1141"/>
      <c r="F86" s="1141"/>
      <c r="G86" s="1141"/>
      <c r="H86" s="1141"/>
      <c r="I86" s="1141"/>
      <c r="J86" s="1141"/>
      <c r="K86" s="1141"/>
      <c r="L86" s="1141"/>
      <c r="M86" s="1141"/>
      <c r="N86" s="1141"/>
      <c r="O86" s="1141"/>
      <c r="P86" s="1141"/>
      <c r="Q86" s="1141"/>
      <c r="R86" s="1141"/>
      <c r="S86" s="1141"/>
      <c r="T86" s="1141"/>
      <c r="U86" s="1141"/>
      <c r="V86" s="1141"/>
      <c r="W86" s="1141"/>
      <c r="X86" s="1141"/>
      <c r="Y86" s="1141"/>
      <c r="Z86" s="1141"/>
      <c r="AA86" s="1141"/>
      <c r="AB86" s="1142"/>
      <c r="AD86" s="336"/>
      <c r="BI86" s="6"/>
      <c r="BJ86" s="6"/>
      <c r="BK86" s="6"/>
      <c r="BL86" s="6"/>
      <c r="BM86" s="6"/>
      <c r="BN86" s="6"/>
      <c r="BO86" s="6"/>
      <c r="BP86" s="6"/>
      <c r="BQ86" s="6"/>
      <c r="BR86" s="6"/>
      <c r="BS86" s="6"/>
      <c r="BT86" s="6"/>
      <c r="BU86" s="6"/>
      <c r="BV86" s="6"/>
    </row>
    <row r="87" spans="2:74" ht="15" customHeight="1">
      <c r="B87" s="1140"/>
      <c r="C87" s="1141"/>
      <c r="D87" s="1141"/>
      <c r="E87" s="1141"/>
      <c r="F87" s="1141"/>
      <c r="G87" s="1141"/>
      <c r="H87" s="1141"/>
      <c r="I87" s="1141"/>
      <c r="J87" s="1141"/>
      <c r="K87" s="1141"/>
      <c r="L87" s="1141"/>
      <c r="M87" s="1141"/>
      <c r="N87" s="1141"/>
      <c r="O87" s="1141"/>
      <c r="P87" s="1141"/>
      <c r="Q87" s="1141"/>
      <c r="R87" s="1141"/>
      <c r="S87" s="1141"/>
      <c r="T87" s="1141"/>
      <c r="U87" s="1141"/>
      <c r="V87" s="1141"/>
      <c r="W87" s="1141"/>
      <c r="X87" s="1141"/>
      <c r="Y87" s="1141"/>
      <c r="Z87" s="1141"/>
      <c r="AA87" s="1141"/>
      <c r="AB87" s="1142"/>
      <c r="AD87" s="336"/>
      <c r="BI87" s="6"/>
      <c r="BJ87" s="6"/>
      <c r="BK87" s="6"/>
      <c r="BL87" s="6"/>
      <c r="BM87" s="6"/>
      <c r="BN87" s="6"/>
      <c r="BO87" s="6"/>
      <c r="BP87" s="6"/>
      <c r="BQ87" s="6"/>
      <c r="BR87" s="6"/>
      <c r="BS87" s="6"/>
      <c r="BT87" s="6"/>
      <c r="BU87" s="6"/>
      <c r="BV87" s="6"/>
    </row>
    <row r="88" spans="2:74" ht="15" customHeight="1">
      <c r="B88" s="1143"/>
      <c r="C88" s="1144"/>
      <c r="D88" s="1144"/>
      <c r="E88" s="1144"/>
      <c r="F88" s="1144"/>
      <c r="G88" s="1144"/>
      <c r="H88" s="1144"/>
      <c r="I88" s="1144"/>
      <c r="J88" s="1144"/>
      <c r="K88" s="1144"/>
      <c r="L88" s="1144"/>
      <c r="M88" s="1144"/>
      <c r="N88" s="1144"/>
      <c r="O88" s="1144"/>
      <c r="P88" s="1144"/>
      <c r="Q88" s="1144"/>
      <c r="R88" s="1144"/>
      <c r="S88" s="1144"/>
      <c r="T88" s="1144"/>
      <c r="U88" s="1144"/>
      <c r="V88" s="1144"/>
      <c r="W88" s="1144"/>
      <c r="X88" s="1144"/>
      <c r="Y88" s="1144"/>
      <c r="Z88" s="1144"/>
      <c r="AA88" s="1144"/>
      <c r="AB88" s="1145"/>
      <c r="AD88" s="336"/>
      <c r="BI88" s="6"/>
      <c r="BJ88" s="6"/>
      <c r="BK88" s="6"/>
      <c r="BL88" s="6"/>
      <c r="BM88" s="6"/>
      <c r="BN88" s="6"/>
      <c r="BO88" s="6"/>
      <c r="BP88" s="6"/>
      <c r="BQ88" s="6"/>
      <c r="BR88" s="6"/>
      <c r="BS88" s="6"/>
      <c r="BT88" s="6"/>
      <c r="BU88" s="6"/>
      <c r="BV88" s="6"/>
    </row>
    <row r="89" spans="2:74" ht="15" customHeight="1">
      <c r="BI89" s="6"/>
      <c r="BJ89" s="6"/>
      <c r="BK89" s="6"/>
      <c r="BL89" s="6"/>
      <c r="BM89" s="6"/>
      <c r="BN89" s="6"/>
      <c r="BO89" s="6"/>
      <c r="BP89" s="6"/>
      <c r="BQ89" s="6"/>
      <c r="BR89" s="6"/>
      <c r="BS89" s="6"/>
      <c r="BT89" s="6"/>
      <c r="BU89" s="6"/>
      <c r="BV89" s="6"/>
    </row>
    <row r="90" spans="2:74" ht="15" customHeight="1">
      <c r="BI90" s="6"/>
      <c r="BJ90" s="6"/>
      <c r="BK90" s="6"/>
      <c r="BL90" s="6"/>
      <c r="BM90" s="6"/>
      <c r="BN90" s="6"/>
      <c r="BO90" s="6"/>
      <c r="BP90" s="6"/>
      <c r="BQ90" s="6"/>
      <c r="BR90" s="6"/>
      <c r="BS90" s="6"/>
      <c r="BT90" s="6"/>
      <c r="BU90" s="6"/>
      <c r="BV90" s="6"/>
    </row>
    <row r="91" spans="2:74" ht="15" customHeight="1">
      <c r="B91" s="1336"/>
      <c r="C91" s="1337"/>
      <c r="D91" s="1337"/>
      <c r="E91" s="1337"/>
      <c r="F91" s="1337"/>
      <c r="G91" s="1337"/>
      <c r="H91" s="1337"/>
      <c r="I91" s="1337"/>
      <c r="J91" s="1337"/>
      <c r="K91" s="1337"/>
      <c r="L91" s="1338"/>
      <c r="M91" s="1339"/>
      <c r="N91" s="1340"/>
      <c r="O91" s="1340"/>
      <c r="P91" s="1340"/>
      <c r="Q91" s="1340"/>
      <c r="R91" s="1340"/>
      <c r="S91" s="1340"/>
      <c r="T91" s="1340"/>
      <c r="U91" s="1340"/>
      <c r="V91" s="1341"/>
      <c r="W91" s="1342"/>
      <c r="X91" s="1343"/>
      <c r="Y91" s="1343"/>
      <c r="Z91" s="1343"/>
      <c r="AA91" s="1344"/>
      <c r="AB91" s="1345"/>
      <c r="AC91" s="1346"/>
      <c r="AD91" s="1346"/>
      <c r="AE91" s="1346"/>
      <c r="AF91" s="1347"/>
      <c r="AG91" s="1339"/>
      <c r="AH91" s="1340"/>
      <c r="AI91" s="1340"/>
      <c r="AJ91" s="1340"/>
      <c r="AK91" s="1340"/>
      <c r="AL91" s="1340"/>
      <c r="AM91" s="1340"/>
      <c r="AN91" s="1340"/>
      <c r="AO91" s="1340"/>
      <c r="AP91" s="1340"/>
      <c r="AQ91" s="1340"/>
      <c r="AR91" s="1340"/>
      <c r="AS91" s="1340"/>
      <c r="AT91" s="1340"/>
      <c r="AU91" s="1340"/>
      <c r="AV91" s="1340"/>
      <c r="AW91" s="1340"/>
      <c r="AX91" s="1340"/>
      <c r="AY91" s="1340"/>
      <c r="AZ91" s="1340"/>
      <c r="BA91" s="1340"/>
      <c r="BB91" s="1340"/>
      <c r="BC91" s="1340"/>
      <c r="BD91" s="1340"/>
      <c r="BE91" s="1341"/>
      <c r="BJ91" s="6"/>
      <c r="BK91" s="6"/>
      <c r="BL91" s="6"/>
      <c r="BM91" s="6"/>
      <c r="BN91" s="6"/>
      <c r="BO91" s="6"/>
      <c r="BP91" s="6"/>
      <c r="BQ91" s="6"/>
      <c r="BR91" s="6"/>
      <c r="BS91" s="6"/>
      <c r="BT91" s="6"/>
      <c r="BU91" s="6"/>
      <c r="BV91" s="6"/>
    </row>
    <row r="92" spans="2:74" ht="15" customHeight="1">
      <c r="B92" s="1336"/>
      <c r="C92" s="1337"/>
      <c r="D92" s="1337"/>
      <c r="E92" s="1337"/>
      <c r="F92" s="1337"/>
      <c r="G92" s="1337"/>
      <c r="H92" s="1337"/>
      <c r="I92" s="1337"/>
      <c r="J92" s="1337"/>
      <c r="K92" s="1337"/>
      <c r="L92" s="1338"/>
      <c r="M92" s="1339"/>
      <c r="N92" s="1340"/>
      <c r="O92" s="1340"/>
      <c r="P92" s="1340"/>
      <c r="Q92" s="1340"/>
      <c r="R92" s="1340"/>
      <c r="S92" s="1340"/>
      <c r="T92" s="1340"/>
      <c r="U92" s="1340"/>
      <c r="V92" s="1341"/>
      <c r="W92" s="1342"/>
      <c r="X92" s="1343"/>
      <c r="Y92" s="1343"/>
      <c r="Z92" s="1343"/>
      <c r="AA92" s="1344"/>
      <c r="AB92" s="1345"/>
      <c r="AC92" s="1346"/>
      <c r="AD92" s="1346"/>
      <c r="AE92" s="1346"/>
      <c r="AF92" s="1347"/>
      <c r="AG92" s="1339"/>
      <c r="AH92" s="1340"/>
      <c r="AI92" s="1340"/>
      <c r="AJ92" s="1340"/>
      <c r="AK92" s="1340"/>
      <c r="AL92" s="1340"/>
      <c r="AM92" s="1340"/>
      <c r="AN92" s="1340"/>
      <c r="AO92" s="1340"/>
      <c r="AP92" s="1340"/>
      <c r="AQ92" s="1340"/>
      <c r="AR92" s="1340"/>
      <c r="AS92" s="1340"/>
      <c r="AT92" s="1340"/>
      <c r="AU92" s="1340"/>
      <c r="AV92" s="1340"/>
      <c r="AW92" s="1340"/>
      <c r="AX92" s="1340"/>
      <c r="AY92" s="1340"/>
      <c r="AZ92" s="1340"/>
      <c r="BA92" s="1340"/>
      <c r="BB92" s="1340"/>
      <c r="BC92" s="1340"/>
      <c r="BD92" s="1340"/>
      <c r="BE92" s="1341"/>
      <c r="BJ92" s="6"/>
      <c r="BK92" s="6"/>
      <c r="BL92" s="6"/>
      <c r="BM92" s="6"/>
      <c r="BN92" s="6"/>
      <c r="BO92" s="6"/>
      <c r="BP92" s="6"/>
      <c r="BQ92" s="6"/>
      <c r="BR92" s="6"/>
      <c r="BS92" s="6"/>
      <c r="BT92" s="6"/>
      <c r="BU92" s="6"/>
      <c r="BV92" s="6"/>
    </row>
    <row r="93" spans="2:74" ht="15" customHeight="1">
      <c r="BJ93" s="6"/>
      <c r="BK93" s="6"/>
      <c r="BL93" s="6"/>
      <c r="BM93" s="6"/>
      <c r="BN93" s="6"/>
      <c r="BO93" s="6"/>
      <c r="BP93" s="6"/>
      <c r="BQ93" s="6"/>
      <c r="BR93" s="6"/>
      <c r="BS93" s="6"/>
      <c r="BT93" s="6"/>
      <c r="BU93" s="6"/>
      <c r="BV93" s="6"/>
    </row>
    <row r="94" spans="2:74" ht="15" customHeight="1">
      <c r="BJ94" s="6"/>
      <c r="BK94" s="6"/>
      <c r="BL94" s="6"/>
      <c r="BM94" s="6"/>
      <c r="BN94" s="6"/>
      <c r="BO94" s="6"/>
      <c r="BP94" s="6"/>
      <c r="BQ94" s="6"/>
      <c r="BR94" s="6"/>
      <c r="BS94" s="6"/>
      <c r="BT94" s="6"/>
      <c r="BU94" s="6"/>
      <c r="BV94" s="6"/>
    </row>
    <row r="95" spans="2:74" ht="15" customHeight="1">
      <c r="BJ95" s="6"/>
      <c r="BK95" s="6"/>
      <c r="BL95" s="6"/>
      <c r="BM95" s="6"/>
      <c r="BN95" s="6"/>
      <c r="BO95" s="6"/>
      <c r="BP95" s="6"/>
      <c r="BQ95" s="6"/>
      <c r="BR95" s="6"/>
      <c r="BS95" s="6"/>
      <c r="BT95" s="6"/>
      <c r="BU95" s="6"/>
      <c r="BV95" s="6"/>
    </row>
    <row r="96" spans="2:74" ht="15" customHeight="1">
      <c r="BJ96" s="6"/>
      <c r="BK96" s="6"/>
      <c r="BL96" s="6"/>
      <c r="BM96" s="6"/>
      <c r="BN96" s="6"/>
      <c r="BO96" s="6"/>
      <c r="BP96" s="6"/>
      <c r="BQ96" s="6"/>
      <c r="BR96" s="6"/>
      <c r="BS96" s="6"/>
      <c r="BT96" s="6"/>
      <c r="BU96" s="6"/>
      <c r="BV96" s="6"/>
    </row>
    <row r="97" spans="62:74" ht="15" customHeight="1">
      <c r="BJ97" s="6"/>
      <c r="BK97" s="6"/>
      <c r="BL97" s="6"/>
      <c r="BM97" s="6"/>
      <c r="BN97" s="6"/>
      <c r="BO97" s="6"/>
      <c r="BP97" s="6"/>
      <c r="BQ97" s="6"/>
      <c r="BR97" s="6"/>
      <c r="BS97" s="6"/>
      <c r="BT97" s="6"/>
      <c r="BU97" s="6"/>
      <c r="BV97" s="6"/>
    </row>
    <row r="98" spans="62:74" ht="15" customHeight="1">
      <c r="BJ98" s="6"/>
      <c r="BK98" s="6"/>
      <c r="BL98" s="6"/>
      <c r="BM98" s="6"/>
      <c r="BN98" s="6"/>
      <c r="BO98" s="6"/>
      <c r="BP98" s="6"/>
      <c r="BQ98" s="6"/>
      <c r="BR98" s="6"/>
      <c r="BS98" s="6"/>
      <c r="BT98" s="6"/>
      <c r="BU98" s="6"/>
      <c r="BV98" s="6"/>
    </row>
    <row r="99" spans="62:74" ht="15" customHeight="1">
      <c r="BJ99" s="6"/>
      <c r="BK99" s="6"/>
      <c r="BL99" s="6"/>
      <c r="BM99" s="6"/>
      <c r="BN99" s="6"/>
      <c r="BO99" s="6"/>
      <c r="BP99" s="6"/>
      <c r="BQ99" s="6"/>
      <c r="BR99" s="6"/>
      <c r="BS99" s="6"/>
      <c r="BT99" s="6"/>
      <c r="BU99" s="6"/>
      <c r="BV99" s="6"/>
    </row>
    <row r="100" spans="62:74" ht="15" customHeight="1">
      <c r="BJ100" s="6"/>
      <c r="BK100" s="6"/>
      <c r="BL100" s="6"/>
      <c r="BM100" s="6"/>
      <c r="BN100" s="6"/>
      <c r="BO100" s="6"/>
      <c r="BP100" s="6"/>
      <c r="BQ100" s="6"/>
      <c r="BR100" s="6"/>
      <c r="BS100" s="6"/>
      <c r="BT100" s="6"/>
      <c r="BU100" s="6"/>
      <c r="BV100" s="6"/>
    </row>
    <row r="101" spans="62:74" ht="15" customHeight="1">
      <c r="BJ101" s="6"/>
      <c r="BK101" s="6"/>
      <c r="BL101" s="6"/>
      <c r="BM101" s="6"/>
      <c r="BN101" s="6"/>
      <c r="BO101" s="6"/>
      <c r="BP101" s="6"/>
      <c r="BQ101" s="6"/>
      <c r="BR101" s="6"/>
      <c r="BS101" s="6"/>
      <c r="BT101" s="6"/>
      <c r="BU101" s="6"/>
      <c r="BV101" s="6"/>
    </row>
    <row r="102" spans="62:74" ht="15" customHeight="1">
      <c r="BJ102" s="6"/>
      <c r="BK102" s="6"/>
      <c r="BL102" s="6"/>
      <c r="BM102" s="6"/>
      <c r="BN102" s="6"/>
      <c r="BO102" s="6"/>
      <c r="BP102" s="6"/>
      <c r="BQ102" s="6"/>
      <c r="BR102" s="6"/>
      <c r="BS102" s="6"/>
      <c r="BT102" s="6"/>
      <c r="BU102" s="6"/>
      <c r="BV102" s="6"/>
    </row>
  </sheetData>
  <mergeCells count="97">
    <mergeCell ref="B62:AB65"/>
    <mergeCell ref="AE62:BE65"/>
    <mergeCell ref="B85:AB88"/>
    <mergeCell ref="B91:L91"/>
    <mergeCell ref="M91:V91"/>
    <mergeCell ref="W91:AA91"/>
    <mergeCell ref="AB91:AF91"/>
    <mergeCell ref="AG91:BE91"/>
    <mergeCell ref="BW43:CC43"/>
    <mergeCell ref="BW62:CC62"/>
    <mergeCell ref="BL24:BP24"/>
    <mergeCell ref="BL43:BP43"/>
    <mergeCell ref="BQ43:BU43"/>
    <mergeCell ref="BL62:BP62"/>
    <mergeCell ref="BQ62:BU62"/>
    <mergeCell ref="BW24:CC24"/>
    <mergeCell ref="BJ40:BU40"/>
    <mergeCell ref="B92:L92"/>
    <mergeCell ref="M92:V92"/>
    <mergeCell ref="W92:AA92"/>
    <mergeCell ref="AB92:AF92"/>
    <mergeCell ref="AG92:BE92"/>
    <mergeCell ref="Q40:S40"/>
    <mergeCell ref="V14:W14"/>
    <mergeCell ref="B15:G15"/>
    <mergeCell ref="AE15:AJ15"/>
    <mergeCell ref="AL15:AO15"/>
    <mergeCell ref="T36:V37"/>
    <mergeCell ref="AC35:BE37"/>
    <mergeCell ref="AE29:BE32"/>
    <mergeCell ref="B35:J37"/>
    <mergeCell ref="K35:P35"/>
    <mergeCell ref="T38:V38"/>
    <mergeCell ref="Q38:S38"/>
    <mergeCell ref="N36:P37"/>
    <mergeCell ref="Z39:AB39"/>
    <mergeCell ref="Z36:AB37"/>
    <mergeCell ref="T40:V40"/>
    <mergeCell ref="B2:BE4"/>
    <mergeCell ref="B38:J38"/>
    <mergeCell ref="K38:M38"/>
    <mergeCell ref="W40:Y40"/>
    <mergeCell ref="B39:J39"/>
    <mergeCell ref="T39:V39"/>
    <mergeCell ref="N38:P38"/>
    <mergeCell ref="Z40:AB40"/>
    <mergeCell ref="Z38:AB38"/>
    <mergeCell ref="K39:M39"/>
    <mergeCell ref="N39:P39"/>
    <mergeCell ref="W39:Y39"/>
    <mergeCell ref="B40:J40"/>
    <mergeCell ref="K40:M40"/>
    <mergeCell ref="N40:P40"/>
    <mergeCell ref="Q39:S39"/>
    <mergeCell ref="BI1:BU1"/>
    <mergeCell ref="BJ21:BU21"/>
    <mergeCell ref="BJ22:BU22"/>
    <mergeCell ref="BJ23:BU23"/>
    <mergeCell ref="BQ24:BU24"/>
    <mergeCell ref="AC40:BE40"/>
    <mergeCell ref="AC38:BE38"/>
    <mergeCell ref="AC39:BE39"/>
    <mergeCell ref="B5:AR5"/>
    <mergeCell ref="AN17:AQ17"/>
    <mergeCell ref="AU17:AX17"/>
    <mergeCell ref="W36:Y37"/>
    <mergeCell ref="W38:Y38"/>
    <mergeCell ref="AU24:AX24"/>
    <mergeCell ref="B29:AB32"/>
    <mergeCell ref="AN19:AQ19"/>
    <mergeCell ref="AN18:AQ18"/>
    <mergeCell ref="AN22:AQ22"/>
    <mergeCell ref="AU22:AX22"/>
    <mergeCell ref="AN23:AQ23"/>
    <mergeCell ref="AU23:AX23"/>
    <mergeCell ref="AE8:BE11"/>
    <mergeCell ref="AZ15:BE15"/>
    <mergeCell ref="B8:AB11"/>
    <mergeCell ref="AU18:AX18"/>
    <mergeCell ref="I15:V15"/>
    <mergeCell ref="X15:AB15"/>
    <mergeCell ref="AP15:AQ15"/>
    <mergeCell ref="AS15:AX15"/>
    <mergeCell ref="N16:Q16"/>
    <mergeCell ref="S16:V16"/>
    <mergeCell ref="I16:L16"/>
    <mergeCell ref="Q35:S37"/>
    <mergeCell ref="T35:AB35"/>
    <mergeCell ref="AU19:AX19"/>
    <mergeCell ref="K36:M37"/>
    <mergeCell ref="BB17:BE17"/>
    <mergeCell ref="BB24:BE24"/>
    <mergeCell ref="BB23:BE23"/>
    <mergeCell ref="BB19:BE19"/>
    <mergeCell ref="BB22:BE22"/>
    <mergeCell ref="BB18:BE18"/>
    <mergeCell ref="AN24:AQ24"/>
  </mergeCells>
  <conditionalFormatting sqref="A8:A11 A15:A19 A26:A29 A7:BH7 A12:BH14 H20:H24 J24:L24 U24:W24 AC15:AD15 AC17:AD19 AC16:AG16 AC20:AH20 AI16:BH16 AJ17 BF8:BH11 BF15:BH15 BF17:BH29">
    <cfRule type="cellIs" dxfId="1995" priority="1901" operator="equal">
      <formula>"XXX"</formula>
    </cfRule>
  </conditionalFormatting>
  <conditionalFormatting sqref="A62:A66 AD66">
    <cfRule type="cellIs" dxfId="1994" priority="1890" operator="equal">
      <formula>"XXX"</formula>
    </cfRule>
  </conditionalFormatting>
  <conditionalFormatting sqref="B2">
    <cfRule type="cellIs" dxfId="1993" priority="492" operator="equal">
      <formula>"XXX"</formula>
    </cfRule>
  </conditionalFormatting>
  <conditionalFormatting sqref="B61:D61 F61:AB61">
    <cfRule type="cellIs" dxfId="1992" priority="1889" operator="equal">
      <formula>"XXX"</formula>
    </cfRule>
  </conditionalFormatting>
  <conditionalFormatting sqref="B84:D84 F84:AB84">
    <cfRule type="cellIs" dxfId="1991" priority="1885" operator="equal">
      <formula>"XXX"</formula>
    </cfRule>
  </conditionalFormatting>
  <conditionalFormatting sqref="B91:BE92">
    <cfRule type="cellIs" dxfId="1990" priority="921" operator="equal">
      <formula>"XXX"</formula>
    </cfRule>
  </conditionalFormatting>
  <conditionalFormatting sqref="F22">
    <cfRule type="cellIs" dxfId="1989" priority="830" operator="equal">
      <formula>"XXX"</formula>
    </cfRule>
  </conditionalFormatting>
  <conditionalFormatting sqref="F24:G24">
    <cfRule type="cellIs" dxfId="1988" priority="832" operator="equal">
      <formula>"XXX"</formula>
    </cfRule>
  </conditionalFormatting>
  <conditionalFormatting sqref="F28:AG28 AI28:BE28 AK22:AM24 AR22:AT24 AY22:BA24">
    <cfRule type="cellIs" dxfId="1987" priority="1900" operator="equal">
      <formula>"XXX"</formula>
    </cfRule>
  </conditionalFormatting>
  <conditionalFormatting sqref="G22:G23">
    <cfRule type="cellIs" dxfId="1986" priority="828" operator="notEqual">
      <formula>0</formula>
    </cfRule>
    <cfRule type="cellIs" dxfId="1985" priority="829" operator="equal">
      <formula>"XXX"</formula>
    </cfRule>
  </conditionalFormatting>
  <conditionalFormatting sqref="G24">
    <cfRule type="cellIs" dxfId="1984" priority="831" operator="equal">
      <formula>$A$1</formula>
    </cfRule>
  </conditionalFormatting>
  <conditionalFormatting sqref="G25:G26">
    <cfRule type="cellIs" dxfId="1983" priority="824" operator="notEqual">
      <formula>0</formula>
    </cfRule>
    <cfRule type="cellIs" dxfId="1982" priority="825" operator="equal">
      <formula>"XXX"</formula>
    </cfRule>
  </conditionalFormatting>
  <conditionalFormatting sqref="G26">
    <cfRule type="expression" dxfId="1981" priority="823">
      <formula>$G$25=0</formula>
    </cfRule>
  </conditionalFormatting>
  <conditionalFormatting sqref="I24">
    <cfRule type="cellIs" dxfId="1980" priority="1503" operator="equal">
      <formula>"XXX"</formula>
    </cfRule>
  </conditionalFormatting>
  <conditionalFormatting sqref="I24:I26">
    <cfRule type="cellIs" dxfId="1979" priority="820" operator="equal">
      <formula>$A$1</formula>
    </cfRule>
  </conditionalFormatting>
  <conditionalFormatting sqref="I26">
    <cfRule type="cellIs" dxfId="1978" priority="822" operator="equal">
      <formula>"XXX"</formula>
    </cfRule>
  </conditionalFormatting>
  <conditionalFormatting sqref="I23:J23">
    <cfRule type="cellIs" dxfId="1977" priority="1499" operator="equal">
      <formula>$A$1</formula>
    </cfRule>
  </conditionalFormatting>
  <conditionalFormatting sqref="K38 N38 T38 W38 Z38">
    <cfRule type="cellIs" dxfId="1976" priority="878" operator="equal">
      <formula>"XXX"</formula>
    </cfRule>
    <cfRule type="cellIs" dxfId="1975" priority="879" stopIfTrue="1" operator="greaterThan">
      <formula>$Q38*1.1</formula>
    </cfRule>
    <cfRule type="cellIs" dxfId="1974" priority="880" operator="greaterThan">
      <formula>$Q38</formula>
    </cfRule>
    <cfRule type="cellIs" dxfId="1973" priority="881" operator="lessThan">
      <formula>$Q38</formula>
    </cfRule>
  </conditionalFormatting>
  <conditionalFormatting sqref="K39 N39 T39 W39 Z39">
    <cfRule type="cellIs" dxfId="1972" priority="1927" operator="greaterThanOrEqual">
      <formula>$Q39</formula>
    </cfRule>
  </conditionalFormatting>
  <conditionalFormatting sqref="K39:K40 N39:N40 T39:T40 W39:W40 Z39:Z40">
    <cfRule type="cellIs" dxfId="1971" priority="1913" stopIfTrue="1" operator="lessThan">
      <formula>$Q39*0.9</formula>
    </cfRule>
    <cfRule type="cellIs" dxfId="1970" priority="1914" operator="lessThan">
      <formula>$Q39</formula>
    </cfRule>
  </conditionalFormatting>
  <conditionalFormatting sqref="K40 N40 T40 W40 Z40">
    <cfRule type="cellIs" dxfId="1969" priority="1915" operator="greaterThan">
      <formula>$Q40</formula>
    </cfRule>
  </conditionalFormatting>
  <conditionalFormatting sqref="K35:AB37">
    <cfRule type="cellIs" dxfId="1968" priority="522" operator="equal">
      <formula>"XXX"</formula>
    </cfRule>
  </conditionalFormatting>
  <conditionalFormatting sqref="K39:AB40">
    <cfRule type="cellIs" dxfId="1967" priority="60" operator="equal">
      <formula>"XXX"</formula>
    </cfRule>
  </conditionalFormatting>
  <conditionalFormatting sqref="X24:AB24">
    <cfRule type="cellIs" dxfId="1966" priority="547" operator="equal">
      <formula>"XXX"</formula>
    </cfRule>
  </conditionalFormatting>
  <conditionalFormatting sqref="Y16:Y23">
    <cfRule type="cellIs" dxfId="1965" priority="543" operator="equal">
      <formula>"XXX"</formula>
    </cfRule>
  </conditionalFormatting>
  <conditionalFormatting sqref="Z16:Z21">
    <cfRule type="cellIs" dxfId="1964" priority="546" operator="equal">
      <formula>"XXX"</formula>
    </cfRule>
  </conditionalFormatting>
  <conditionalFormatting sqref="AC8:AD11">
    <cfRule type="cellIs" dxfId="1963" priority="121" operator="equal">
      <formula>"XXX"</formula>
    </cfRule>
  </conditionalFormatting>
  <conditionalFormatting sqref="AC29:AD32">
    <cfRule type="cellIs" dxfId="1962" priority="118" operator="equal">
      <formula>"XXX"</formula>
    </cfRule>
  </conditionalFormatting>
  <conditionalFormatting sqref="AD62:AD65">
    <cfRule type="cellIs" dxfId="1961" priority="166" operator="equal">
      <formula>"XXX"</formula>
    </cfRule>
  </conditionalFormatting>
  <conditionalFormatting sqref="AD61:AG61 AI61:BE61">
    <cfRule type="cellIs" dxfId="1960" priority="1887" operator="equal">
      <formula>"XXX"</formula>
    </cfRule>
  </conditionalFormatting>
  <conditionalFormatting sqref="AE84:AE85">
    <cfRule type="cellIs" dxfId="1959" priority="1612" operator="equal">
      <formula>"XXX"</formula>
    </cfRule>
  </conditionalFormatting>
  <conditionalFormatting sqref="AE84:BE89">
    <cfRule type="cellIs" dxfId="1958" priority="1742" operator="equal">
      <formula>"XXX"</formula>
    </cfRule>
  </conditionalFormatting>
  <conditionalFormatting sqref="AI22:AJ22">
    <cfRule type="cellIs" dxfId="1957" priority="1892" operator="equal">
      <formula>"XXX"</formula>
    </cfRule>
  </conditionalFormatting>
  <conditionalFormatting sqref="AU17:AX18 AU22:AX23">
    <cfRule type="cellIs" dxfId="1956" priority="1746" operator="lessThan">
      <formula>0</formula>
    </cfRule>
  </conditionalFormatting>
  <conditionalFormatting sqref="BB23 BB17:BE18 BB22:BE22">
    <cfRule type="cellIs" dxfId="1955" priority="1891" operator="lessThan">
      <formula>0</formula>
    </cfRule>
  </conditionalFormatting>
  <conditionalFormatting sqref="BH35:BH37">
    <cfRule type="cellIs" dxfId="1954" priority="1590" operator="equal">
      <formula>"XXX"</formula>
    </cfRule>
  </conditionalFormatting>
  <conditionalFormatting sqref="BH38:BH40">
    <cfRule type="cellIs" dxfId="1953" priority="819" operator="equal">
      <formula>"XXX"</formula>
    </cfRule>
  </conditionalFormatting>
  <conditionalFormatting sqref="BH41">
    <cfRule type="cellIs" dxfId="1952" priority="1598" operator="equal">
      <formula>"XXX"</formula>
    </cfRule>
  </conditionalFormatting>
  <conditionalFormatting sqref="BJ16:BV16">
    <cfRule type="expression" dxfId="1951" priority="133">
      <formula>(AND(BJ$5=$BX$5,LEN(BJ$16)=0))</formula>
    </cfRule>
  </conditionalFormatting>
  <conditionalFormatting sqref="BQ26:BQ37 BQ45:BQ56 BQ64:BQ75">
    <cfRule type="expression" dxfId="1950" priority="227">
      <formula>(AND($BJ26=$BX$5,LEN($BQ26)=0))</formula>
    </cfRule>
  </conditionalFormatting>
  <conditionalFormatting sqref="BR26:BR37 BR45:BR56 BR64:BR75">
    <cfRule type="expression" dxfId="1949" priority="898">
      <formula>(AND($BJ26=$BX$5,LEN($BR26)=0))</formula>
    </cfRule>
  </conditionalFormatting>
  <conditionalFormatting sqref="B62">
    <cfRule type="cellIs" dxfId="1948" priority="33" operator="equal">
      <formula>"XXX"</formula>
    </cfRule>
  </conditionalFormatting>
  <conditionalFormatting sqref="AE62">
    <cfRule type="cellIs" dxfId="1947" priority="32" operator="equal">
      <formula>"XXX"</formula>
    </cfRule>
  </conditionalFormatting>
  <conditionalFormatting sqref="B85">
    <cfRule type="cellIs" dxfId="1946" priority="31" operator="equal">
      <formula>"XXX"</formula>
    </cfRule>
  </conditionalFormatting>
  <conditionalFormatting sqref="AC40:BE40">
    <cfRule type="cellIs" dxfId="1945" priority="7" operator="equal">
      <formula>"XXX"</formula>
    </cfRule>
  </conditionalFormatting>
  <conditionalFormatting sqref="AC38">
    <cfRule type="cellIs" dxfId="1944" priority="6" operator="equal">
      <formula>"XXX"</formula>
    </cfRule>
  </conditionalFormatting>
  <conditionalFormatting sqref="AC39:BE39">
    <cfRule type="cellIs" dxfId="1943" priority="5" operator="equal">
      <formula>"XXX"</formula>
    </cfRule>
  </conditionalFormatting>
  <conditionalFormatting sqref="B8">
    <cfRule type="cellIs" dxfId="1942" priority="4" operator="equal">
      <formula>"XXX"</formula>
    </cfRule>
  </conditionalFormatting>
  <conditionalFormatting sqref="AE8">
    <cfRule type="cellIs" dxfId="1941" priority="3" operator="equal">
      <formula>"XXX"</formula>
    </cfRule>
  </conditionalFormatting>
  <conditionalFormatting sqref="B29">
    <cfRule type="cellIs" dxfId="1940" priority="2" operator="equal">
      <formula>"XXX"</formula>
    </cfRule>
  </conditionalFormatting>
  <conditionalFormatting sqref="AE29">
    <cfRule type="cellIs" dxfId="1939" priority="1" operator="equal">
      <formula>"XXX"</formula>
    </cfRule>
  </conditionalFormatting>
  <dataValidations count="2">
    <dataValidation type="whole" operator="greaterThanOrEqual" allowBlank="1" showInputMessage="1" showErrorMessage="1" errorTitle="Positive Value" error="This value must be entered as a positive number." sqref="BJ6:BV6 BJ8:BV8 BJ12:BV14 BJ10:BV10" xr:uid="{00000000-0002-0000-1300-000003000000}">
      <formula1>0</formula1>
    </dataValidation>
    <dataValidation type="whole" operator="lessThan" allowBlank="1" showInputMessage="1" showErrorMessage="1" errorTitle="Negative Value" error="This value must be entered as a negative number." sqref="BJ7:BV7 BJ9:BV9 BJ11:BV11" xr:uid="{00000000-0002-0000-1300-000004000000}">
      <formula1>0</formula1>
    </dataValidation>
  </dataValidations>
  <printOptions horizontalCentered="1"/>
  <pageMargins left="0.25" right="0.25" top="0.25" bottom="0.5" header="0.3" footer="0.3"/>
  <pageSetup scale="66" fitToHeight="0" orientation="landscape" r:id="rId1"/>
  <headerFooter>
    <oddFooter>&amp;R&amp;F | &amp;A
Printed &amp;D @ &amp;T
&amp;P</oddFooter>
  </headerFooter>
  <rowBreaks count="3" manualBreakCount="3">
    <brk id="44" max="57" man="1"/>
    <brk id="93" max="57" man="1"/>
    <brk id="104"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1893" operator="equal" id="{AC78916A-DA24-4D79-BDDC-276969DC0B7E}">
            <xm:f>AR!$A$1</xm:f>
            <x14:dxf>
              <font>
                <color theme="0"/>
              </font>
            </x14:dxf>
          </x14:cfRule>
          <xm:sqref>J24:J26</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0C243-39B0-411C-BAAC-E998F699AC3E}">
  <sheetPr codeName="Sheet15">
    <tabColor theme="4"/>
  </sheetPr>
  <dimension ref="B2:M39"/>
  <sheetViews>
    <sheetView showGridLines="0" zoomScale="140" zoomScaleNormal="140" workbookViewId="0"/>
  </sheetViews>
  <sheetFormatPr defaultColWidth="12.7109375" defaultRowHeight="15"/>
  <cols>
    <col min="1" max="1" width="3.28515625" customWidth="1"/>
  </cols>
  <sheetData>
    <row r="2" spans="2:13">
      <c r="B2" s="1068" t="s">
        <v>180</v>
      </c>
      <c r="C2" s="1068"/>
      <c r="D2" s="1068"/>
      <c r="E2" s="1068"/>
      <c r="F2" s="1068"/>
      <c r="G2" s="1068"/>
      <c r="H2" s="1068"/>
      <c r="I2" s="1068"/>
      <c r="J2" s="1068"/>
      <c r="K2" s="1068"/>
      <c r="L2" s="1068"/>
      <c r="M2" s="1068"/>
    </row>
    <row r="3" spans="2:13">
      <c r="B3" s="1068"/>
      <c r="C3" s="1068"/>
      <c r="D3" s="1068"/>
      <c r="E3" s="1068"/>
      <c r="F3" s="1068"/>
      <c r="G3" s="1068"/>
      <c r="H3" s="1068"/>
      <c r="I3" s="1068"/>
      <c r="J3" s="1068"/>
      <c r="K3" s="1068"/>
      <c r="L3" s="1068"/>
      <c r="M3" s="1068"/>
    </row>
    <row r="4" spans="2:13">
      <c r="B4" s="1068"/>
      <c r="C4" s="1068"/>
      <c r="D4" s="1068"/>
      <c r="E4" s="1068"/>
      <c r="F4" s="1068"/>
      <c r="G4" s="1068"/>
      <c r="H4" s="1068"/>
      <c r="I4" s="1068"/>
      <c r="J4" s="1068"/>
      <c r="K4" s="1068"/>
      <c r="L4" s="1068"/>
      <c r="M4" s="1068"/>
    </row>
    <row r="5" spans="2:13">
      <c r="B5" s="1068"/>
      <c r="C5" s="1068"/>
      <c r="D5" s="1068"/>
      <c r="E5" s="1068"/>
      <c r="F5" s="1068"/>
      <c r="G5" s="1068"/>
      <c r="H5" s="1068"/>
      <c r="I5" s="1068"/>
      <c r="J5" s="1068"/>
      <c r="K5" s="1068"/>
      <c r="L5" s="1068"/>
      <c r="M5" s="1068"/>
    </row>
    <row r="6" spans="2:13">
      <c r="B6" s="446"/>
      <c r="C6" s="446"/>
      <c r="D6" s="446"/>
      <c r="E6" s="446"/>
      <c r="F6" s="446"/>
      <c r="G6" s="446"/>
      <c r="H6" s="446"/>
      <c r="I6" s="446"/>
      <c r="J6" s="446"/>
      <c r="K6" s="446"/>
      <c r="L6" s="446"/>
      <c r="M6" s="446"/>
    </row>
    <row r="7" spans="2:13" ht="14.65" customHeight="1">
      <c r="B7" s="1096"/>
      <c r="C7" s="1096"/>
      <c r="D7" s="1096"/>
      <c r="E7" s="1096"/>
      <c r="F7" s="1096"/>
      <c r="G7" s="1096"/>
      <c r="H7" s="1096"/>
      <c r="I7" s="1096"/>
      <c r="J7" s="1096"/>
      <c r="K7" s="1096"/>
      <c r="L7" s="1096"/>
      <c r="M7" s="1096"/>
    </row>
    <row r="8" spans="2:13" ht="14.65" customHeight="1">
      <c r="B8" s="1096"/>
      <c r="C8" s="1096"/>
      <c r="D8" s="1096"/>
      <c r="E8" s="1096"/>
      <c r="F8" s="1096"/>
      <c r="G8" s="1096"/>
      <c r="H8" s="1096"/>
      <c r="I8" s="1096"/>
      <c r="J8" s="1096"/>
      <c r="K8" s="1096"/>
      <c r="L8" s="1096"/>
      <c r="M8" s="1096"/>
    </row>
    <row r="9" spans="2:13" ht="14.65" customHeight="1">
      <c r="B9" s="1096"/>
      <c r="C9" s="1096"/>
      <c r="D9" s="1096"/>
      <c r="E9" s="1096"/>
      <c r="F9" s="1096"/>
      <c r="G9" s="1096"/>
      <c r="H9" s="1096"/>
      <c r="I9" s="1096"/>
      <c r="J9" s="1096"/>
      <c r="K9" s="1096"/>
      <c r="L9" s="1096"/>
      <c r="M9" s="1096"/>
    </row>
    <row r="10" spans="2:13" ht="14.65" customHeight="1">
      <c r="B10" s="1096"/>
      <c r="C10" s="1096"/>
      <c r="D10" s="1096"/>
      <c r="E10" s="1096"/>
      <c r="F10" s="1096"/>
      <c r="G10" s="1096"/>
      <c r="H10" s="1096"/>
      <c r="I10" s="1096"/>
      <c r="J10" s="1096"/>
      <c r="K10" s="1096"/>
      <c r="L10" s="1096"/>
      <c r="M10" s="1096"/>
    </row>
    <row r="11" spans="2:13" ht="14.65" customHeight="1">
      <c r="B11" s="1096"/>
      <c r="C11" s="1096"/>
      <c r="D11" s="1096"/>
      <c r="E11" s="1096"/>
      <c r="F11" s="1096"/>
      <c r="G11" s="1096"/>
      <c r="H11" s="1096"/>
      <c r="I11" s="1096"/>
      <c r="J11" s="1096"/>
      <c r="K11" s="1096"/>
      <c r="L11" s="1096"/>
      <c r="M11" s="1096"/>
    </row>
    <row r="12" spans="2:13" ht="14.65" customHeight="1">
      <c r="B12" s="1096" t="s">
        <v>243</v>
      </c>
      <c r="C12" s="1096"/>
      <c r="D12" s="1096"/>
      <c r="E12" s="1096"/>
      <c r="F12" s="1096"/>
      <c r="G12" s="1096"/>
      <c r="H12" s="1096"/>
      <c r="I12" s="1096"/>
      <c r="J12" s="1096"/>
      <c r="K12" s="1096"/>
      <c r="L12" s="1096"/>
      <c r="M12" s="1096"/>
    </row>
    <row r="13" spans="2:13" ht="14.65" customHeight="1">
      <c r="B13" s="1096"/>
      <c r="C13" s="1096"/>
      <c r="D13" s="1096"/>
      <c r="E13" s="1096"/>
      <c r="F13" s="1096"/>
      <c r="G13" s="1096"/>
      <c r="H13" s="1096"/>
      <c r="I13" s="1096"/>
      <c r="J13" s="1096"/>
      <c r="K13" s="1096"/>
      <c r="L13" s="1096"/>
      <c r="M13" s="1096"/>
    </row>
    <row r="14" spans="2:13" ht="14.65" customHeight="1">
      <c r="B14" s="1096"/>
      <c r="C14" s="1096"/>
      <c r="D14" s="1096"/>
      <c r="E14" s="1096"/>
      <c r="F14" s="1096"/>
      <c r="G14" s="1096"/>
      <c r="H14" s="1096"/>
      <c r="I14" s="1096"/>
      <c r="J14" s="1096"/>
      <c r="K14" s="1096"/>
      <c r="L14" s="1096"/>
      <c r="M14" s="1096"/>
    </row>
    <row r="15" spans="2:13" ht="14.65" customHeight="1">
      <c r="B15" s="1096"/>
      <c r="C15" s="1096"/>
      <c r="D15" s="1096"/>
      <c r="E15" s="1096"/>
      <c r="F15" s="1096"/>
      <c r="G15" s="1096"/>
      <c r="H15" s="1096"/>
      <c r="I15" s="1096"/>
      <c r="J15" s="1096"/>
      <c r="K15" s="1096"/>
      <c r="L15" s="1096"/>
      <c r="M15" s="1096"/>
    </row>
    <row r="16" spans="2:13" ht="14.65" customHeight="1">
      <c r="B16" s="1096"/>
      <c r="C16" s="1096"/>
      <c r="D16" s="1096"/>
      <c r="E16" s="1096"/>
      <c r="F16" s="1096"/>
      <c r="G16" s="1096"/>
      <c r="H16" s="1096"/>
      <c r="I16" s="1096"/>
      <c r="J16" s="1096"/>
      <c r="K16" s="1096"/>
      <c r="L16" s="1096"/>
      <c r="M16" s="1096"/>
    </row>
    <row r="17" spans="2:13" ht="14.65" customHeight="1">
      <c r="B17" s="1097" t="s">
        <v>189</v>
      </c>
      <c r="C17" s="1097"/>
      <c r="D17" s="1097"/>
      <c r="E17" s="1097"/>
      <c r="F17" s="1097"/>
      <c r="G17" s="1097"/>
      <c r="H17" s="1097"/>
      <c r="I17" s="1097"/>
      <c r="J17" s="1097"/>
      <c r="K17" s="1097"/>
      <c r="L17" s="1097"/>
      <c r="M17" s="1097"/>
    </row>
    <row r="18" spans="2:13" ht="14.65" customHeight="1">
      <c r="B18" s="1097"/>
      <c r="C18" s="1097"/>
      <c r="D18" s="1097"/>
      <c r="E18" s="1097"/>
      <c r="F18" s="1097"/>
      <c r="G18" s="1097"/>
      <c r="H18" s="1097"/>
      <c r="I18" s="1097"/>
      <c r="J18" s="1097"/>
      <c r="K18" s="1097"/>
      <c r="L18" s="1097"/>
      <c r="M18" s="1097"/>
    </row>
    <row r="19" spans="2:13" ht="14.65" customHeight="1">
      <c r="B19" s="1097"/>
      <c r="C19" s="1097"/>
      <c r="D19" s="1097"/>
      <c r="E19" s="1097"/>
      <c r="F19" s="1097"/>
      <c r="G19" s="1097"/>
      <c r="H19" s="1097"/>
      <c r="I19" s="1097"/>
      <c r="J19" s="1097"/>
      <c r="K19" s="1097"/>
      <c r="L19" s="1097"/>
      <c r="M19" s="1097"/>
    </row>
    <row r="20" spans="2:13" ht="14.65" customHeight="1">
      <c r="B20" s="1097"/>
      <c r="C20" s="1097"/>
      <c r="D20" s="1097"/>
      <c r="E20" s="1097"/>
      <c r="F20" s="1097"/>
      <c r="G20" s="1097"/>
      <c r="H20" s="1097"/>
      <c r="I20" s="1097"/>
      <c r="J20" s="1097"/>
      <c r="K20" s="1097"/>
      <c r="L20" s="1097"/>
      <c r="M20" s="1097"/>
    </row>
    <row r="21" spans="2:13" ht="14.65" customHeight="1">
      <c r="B21" s="1097"/>
      <c r="C21" s="1097"/>
      <c r="D21" s="1097"/>
      <c r="E21" s="1097"/>
      <c r="F21" s="1097"/>
      <c r="G21" s="1097"/>
      <c r="H21" s="1097"/>
      <c r="I21" s="1097"/>
      <c r="J21" s="1097"/>
      <c r="K21" s="1097"/>
      <c r="L21" s="1097"/>
      <c r="M21" s="1097"/>
    </row>
    <row r="22" spans="2:13">
      <c r="B22" s="1097" t="str">
        <f>Cover!C11</f>
        <v>Period 1 FY 2024</v>
      </c>
      <c r="C22" s="1097"/>
      <c r="D22" s="1097"/>
      <c r="E22" s="1097"/>
      <c r="F22" s="1097"/>
      <c r="G22" s="1097"/>
      <c r="H22" s="1097"/>
      <c r="I22" s="1097"/>
      <c r="J22" s="1097"/>
      <c r="K22" s="1097"/>
      <c r="L22" s="1097"/>
      <c r="M22" s="1097"/>
    </row>
    <row r="23" spans="2:13">
      <c r="B23" s="1097"/>
      <c r="C23" s="1097"/>
      <c r="D23" s="1097"/>
      <c r="E23" s="1097"/>
      <c r="F23" s="1097"/>
      <c r="G23" s="1097"/>
      <c r="H23" s="1097"/>
      <c r="I23" s="1097"/>
      <c r="J23" s="1097"/>
      <c r="K23" s="1097"/>
      <c r="L23" s="1097"/>
      <c r="M23" s="1097"/>
    </row>
    <row r="24" spans="2:13">
      <c r="B24" s="1097"/>
      <c r="C24" s="1097"/>
      <c r="D24" s="1097"/>
      <c r="E24" s="1097"/>
      <c r="F24" s="1097"/>
      <c r="G24" s="1097"/>
      <c r="H24" s="1097"/>
      <c r="I24" s="1097"/>
      <c r="J24" s="1097"/>
      <c r="K24" s="1097"/>
      <c r="L24" s="1097"/>
      <c r="M24" s="1097"/>
    </row>
    <row r="25" spans="2:13">
      <c r="B25" s="1097"/>
      <c r="C25" s="1097"/>
      <c r="D25" s="1097"/>
      <c r="E25" s="1097"/>
      <c r="F25" s="1097"/>
      <c r="G25" s="1097"/>
      <c r="H25" s="1097"/>
      <c r="I25" s="1097"/>
      <c r="J25" s="1097"/>
      <c r="K25" s="1097"/>
      <c r="L25" s="1097"/>
      <c r="M25" s="1097"/>
    </row>
    <row r="26" spans="2:13">
      <c r="B26" s="1097"/>
      <c r="C26" s="1097"/>
      <c r="D26" s="1097"/>
      <c r="E26" s="1097"/>
      <c r="F26" s="1097"/>
      <c r="G26" s="1097"/>
      <c r="H26" s="1097"/>
      <c r="I26" s="1097"/>
      <c r="J26" s="1097"/>
      <c r="K26" s="1097"/>
      <c r="L26" s="1097"/>
      <c r="M26" s="1097"/>
    </row>
    <row r="38" spans="2:13">
      <c r="B38" s="446"/>
      <c r="C38" s="446"/>
      <c r="D38" s="446"/>
      <c r="E38" s="446"/>
      <c r="F38" s="446"/>
      <c r="G38" s="446"/>
      <c r="H38" s="446"/>
      <c r="I38" s="446"/>
      <c r="J38" s="446"/>
      <c r="K38" s="446"/>
      <c r="L38" s="446"/>
      <c r="M38" s="446"/>
    </row>
    <row r="39" spans="2:13">
      <c r="B39" s="446"/>
      <c r="C39" s="446"/>
      <c r="D39" s="446"/>
      <c r="E39" s="446"/>
      <c r="F39" s="446"/>
      <c r="G39" s="446"/>
      <c r="H39" s="446"/>
      <c r="I39" s="446"/>
      <c r="J39" s="446"/>
      <c r="K39" s="446"/>
      <c r="L39" s="446"/>
      <c r="M39" s="446"/>
    </row>
  </sheetData>
  <mergeCells count="5">
    <mergeCell ref="B2:M5"/>
    <mergeCell ref="B7:M11"/>
    <mergeCell ref="B12:M16"/>
    <mergeCell ref="B17:M21"/>
    <mergeCell ref="B22:M26"/>
  </mergeCells>
  <printOptions horizontalCentered="1"/>
  <pageMargins left="0.7" right="0.7" top="0.25" bottom="0.75" header="0.3" footer="0.3"/>
  <pageSetup scale="77" orientation="landscape" r:id="rId1"/>
  <headerFooter>
    <oddFooter>&amp;R&amp;F | &amp;A
Printed &amp;D @ &amp;T
&amp;P</oddFooter>
  </headerFooter>
  <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1">
    <tabColor theme="4"/>
    <pageSetUpPr fitToPage="1"/>
  </sheetPr>
  <dimension ref="B1:BW42"/>
  <sheetViews>
    <sheetView showGridLines="0" zoomScale="85" zoomScaleNormal="85" zoomScaleSheetLayoutView="90" workbookViewId="0">
      <selection activeCell="BK29" sqref="BK29"/>
    </sheetView>
  </sheetViews>
  <sheetFormatPr defaultColWidth="3.28515625" defaultRowHeight="14.65" customHeight="1"/>
  <cols>
    <col min="1" max="1" width="3.28515625" style="6"/>
    <col min="2" max="57" width="3.28515625" style="37"/>
    <col min="58" max="60" width="3.28515625" style="6"/>
    <col min="61" max="61" width="17.85546875" style="6" customWidth="1"/>
    <col min="62" max="62" width="9.42578125" style="6" bestFit="1" customWidth="1"/>
    <col min="63" max="63" width="9.85546875" style="6" bestFit="1" customWidth="1"/>
    <col min="64" max="64" width="10.42578125" style="6" bestFit="1" customWidth="1"/>
    <col min="65" max="66" width="9.7109375" style="6" bestFit="1" customWidth="1"/>
    <col min="67" max="67" width="9.42578125" style="6" bestFit="1" customWidth="1"/>
    <col min="68" max="68" width="10.5703125" style="6" bestFit="1" customWidth="1"/>
    <col min="69" max="69" width="9.85546875" style="6" bestFit="1" customWidth="1"/>
    <col min="70" max="70" width="10.5703125" style="6" bestFit="1" customWidth="1"/>
    <col min="71" max="71" width="9.85546875" style="6" bestFit="1" customWidth="1"/>
    <col min="72" max="72" width="9.28515625" style="6" bestFit="1" customWidth="1"/>
    <col min="73" max="73" width="10.42578125" style="6" bestFit="1" customWidth="1"/>
    <col min="74" max="74" width="9.42578125" style="6" bestFit="1" customWidth="1"/>
    <col min="75" max="16384" width="3.28515625" style="6"/>
  </cols>
  <sheetData>
    <row r="1" spans="2:75" ht="14.65" customHeight="1">
      <c r="BI1" s="1232" t="s">
        <v>49</v>
      </c>
      <c r="BJ1" s="1232"/>
      <c r="BK1" s="1232"/>
      <c r="BL1" s="1232"/>
      <c r="BM1" s="1232"/>
      <c r="BN1" s="1232"/>
      <c r="BO1" s="1232"/>
      <c r="BP1" s="1232"/>
      <c r="BQ1" s="1232"/>
      <c r="BR1" s="1232"/>
      <c r="BS1" s="1232"/>
      <c r="BT1" s="1232"/>
    </row>
    <row r="2" spans="2:75" ht="14.65" customHeight="1">
      <c r="B2" s="1146" t="s">
        <v>180</v>
      </c>
      <c r="C2" s="1146"/>
      <c r="D2" s="1146"/>
      <c r="E2" s="1146"/>
      <c r="F2" s="1146"/>
      <c r="G2" s="1146"/>
      <c r="H2" s="1146"/>
      <c r="I2" s="1146"/>
      <c r="J2" s="1146"/>
      <c r="K2" s="1146"/>
      <c r="L2" s="1146"/>
      <c r="M2" s="1146"/>
      <c r="N2" s="1146"/>
      <c r="O2" s="1146"/>
      <c r="P2" s="1146"/>
      <c r="Q2" s="1146"/>
      <c r="R2" s="1146"/>
      <c r="S2" s="1146"/>
      <c r="T2" s="1146"/>
      <c r="U2" s="1146"/>
      <c r="V2" s="1146"/>
      <c r="W2" s="1146"/>
      <c r="X2" s="1146"/>
      <c r="Y2" s="1146"/>
      <c r="Z2" s="1146"/>
      <c r="AA2" s="1146"/>
      <c r="AB2" s="1146"/>
      <c r="AC2" s="1146"/>
      <c r="AD2" s="1146"/>
      <c r="AE2" s="1146"/>
      <c r="AF2" s="1146"/>
      <c r="AG2" s="1146"/>
      <c r="AH2" s="1146"/>
      <c r="AI2" s="1146"/>
      <c r="AJ2" s="1146"/>
      <c r="AK2" s="1146"/>
      <c r="AL2" s="1146"/>
      <c r="AM2" s="1146"/>
      <c r="AN2" s="1146"/>
      <c r="AO2" s="1146"/>
      <c r="AP2" s="1146"/>
      <c r="AQ2" s="1146"/>
      <c r="AR2" s="1146"/>
      <c r="AS2" s="1146"/>
      <c r="AT2" s="1146"/>
      <c r="AU2" s="1146"/>
      <c r="AV2" s="1146"/>
      <c r="AW2" s="1146"/>
      <c r="AX2" s="1146"/>
      <c r="AY2" s="1146"/>
      <c r="AZ2" s="1146"/>
      <c r="BA2" s="1146"/>
      <c r="BB2" s="1146"/>
      <c r="BC2" s="1146"/>
      <c r="BD2" s="1146"/>
      <c r="BE2" s="1146"/>
      <c r="BI2" s="271" t="s">
        <v>49</v>
      </c>
      <c r="BJ2" s="270"/>
      <c r="BK2" s="270"/>
      <c r="BL2" s="270"/>
      <c r="BM2" s="270"/>
      <c r="BN2" s="270"/>
      <c r="BO2" s="270"/>
      <c r="BP2" s="270"/>
      <c r="BQ2" s="270"/>
      <c r="BR2" s="270"/>
      <c r="BS2" s="270"/>
      <c r="BT2" s="270"/>
    </row>
    <row r="3" spans="2:75" ht="14.65" customHeight="1">
      <c r="B3" s="1146"/>
      <c r="C3" s="1146"/>
      <c r="D3" s="1146"/>
      <c r="E3" s="1146"/>
      <c r="F3" s="1146"/>
      <c r="G3" s="1146"/>
      <c r="H3" s="1146"/>
      <c r="I3" s="1146"/>
      <c r="J3" s="1146"/>
      <c r="K3" s="1146"/>
      <c r="L3" s="1146"/>
      <c r="M3" s="1146"/>
      <c r="N3" s="1146"/>
      <c r="O3" s="1146"/>
      <c r="P3" s="1146"/>
      <c r="Q3" s="1146"/>
      <c r="R3" s="1146"/>
      <c r="S3" s="1146"/>
      <c r="T3" s="1146"/>
      <c r="U3" s="1146"/>
      <c r="V3" s="1146"/>
      <c r="W3" s="1146"/>
      <c r="X3" s="1146"/>
      <c r="Y3" s="1146"/>
      <c r="Z3" s="1146"/>
      <c r="AA3" s="1146"/>
      <c r="AB3" s="1146"/>
      <c r="AC3" s="1146"/>
      <c r="AD3" s="1146"/>
      <c r="AE3" s="1146"/>
      <c r="AF3" s="1146"/>
      <c r="AG3" s="1146"/>
      <c r="AH3" s="1146"/>
      <c r="AI3" s="1146"/>
      <c r="AJ3" s="1146"/>
      <c r="AK3" s="1146"/>
      <c r="AL3" s="1146"/>
      <c r="AM3" s="1146"/>
      <c r="AN3" s="1146"/>
      <c r="AO3" s="1146"/>
      <c r="AP3" s="1146"/>
      <c r="AQ3" s="1146"/>
      <c r="AR3" s="1146"/>
      <c r="AS3" s="1146"/>
      <c r="AT3" s="1146"/>
      <c r="AU3" s="1146"/>
      <c r="AV3" s="1146"/>
      <c r="AW3" s="1146"/>
      <c r="AX3" s="1146"/>
      <c r="AY3" s="1146"/>
      <c r="AZ3" s="1146"/>
      <c r="BA3" s="1146"/>
      <c r="BB3" s="1146"/>
      <c r="BC3" s="1146"/>
      <c r="BD3" s="1146"/>
      <c r="BE3" s="1146"/>
      <c r="BI3" s="272" t="s">
        <v>261</v>
      </c>
      <c r="BJ3" s="270"/>
      <c r="BK3" s="270"/>
      <c r="BL3" s="270"/>
      <c r="BM3" s="270"/>
      <c r="BN3" s="270"/>
      <c r="BO3" s="270"/>
      <c r="BP3" s="270"/>
      <c r="BQ3" s="270"/>
      <c r="BR3" s="270"/>
      <c r="BS3" s="270"/>
      <c r="BT3" s="270"/>
    </row>
    <row r="4" spans="2:75" ht="14.65" customHeight="1">
      <c r="B4" s="1147"/>
      <c r="C4" s="1147"/>
      <c r="D4" s="1147"/>
      <c r="E4" s="1147"/>
      <c r="F4" s="1147"/>
      <c r="G4" s="1147"/>
      <c r="H4" s="1147"/>
      <c r="I4" s="1147"/>
      <c r="J4" s="1147"/>
      <c r="K4" s="1147"/>
      <c r="L4" s="1147"/>
      <c r="M4" s="1147"/>
      <c r="N4" s="1147"/>
      <c r="O4" s="1147"/>
      <c r="P4" s="1147"/>
      <c r="Q4" s="1147"/>
      <c r="R4" s="1147"/>
      <c r="S4" s="1147"/>
      <c r="T4" s="1147"/>
      <c r="U4" s="1147"/>
      <c r="V4" s="1147"/>
      <c r="W4" s="1147"/>
      <c r="X4" s="1147"/>
      <c r="Y4" s="1147"/>
      <c r="Z4" s="1147"/>
      <c r="AA4" s="1147"/>
      <c r="AB4" s="1147"/>
      <c r="AC4" s="1147"/>
      <c r="AD4" s="1147"/>
      <c r="AE4" s="1147"/>
      <c r="AF4" s="1147"/>
      <c r="AG4" s="1147"/>
      <c r="AH4" s="1147"/>
      <c r="AI4" s="1147"/>
      <c r="AJ4" s="1147"/>
      <c r="AK4" s="1147"/>
      <c r="AL4" s="1147"/>
      <c r="AM4" s="1147"/>
      <c r="AN4" s="1147"/>
      <c r="AO4" s="1147"/>
      <c r="AP4" s="1147"/>
      <c r="AQ4" s="1147"/>
      <c r="AR4" s="1147"/>
      <c r="AS4" s="1147"/>
      <c r="AT4" s="1147"/>
      <c r="AU4" s="1147"/>
      <c r="AV4" s="1147"/>
      <c r="AW4" s="1147"/>
      <c r="AX4" s="1147"/>
      <c r="AY4" s="1147"/>
      <c r="AZ4" s="1147"/>
      <c r="BA4" s="1147"/>
      <c r="BB4" s="1147"/>
      <c r="BC4" s="1147"/>
      <c r="BD4" s="1147"/>
      <c r="BE4" s="1147"/>
      <c r="BI4" s="273" t="s">
        <v>23</v>
      </c>
      <c r="BJ4" s="273" t="s">
        <v>36</v>
      </c>
      <c r="BK4" s="273" t="s">
        <v>698</v>
      </c>
      <c r="BL4" s="273" t="s">
        <v>699</v>
      </c>
      <c r="BM4" s="273" t="s">
        <v>700</v>
      </c>
      <c r="BN4" s="273" t="s">
        <v>701</v>
      </c>
      <c r="BO4" s="273" t="s">
        <v>702</v>
      </c>
      <c r="BP4" s="273" t="s">
        <v>703</v>
      </c>
      <c r="BQ4" s="273" t="s">
        <v>704</v>
      </c>
      <c r="BR4" s="273" t="s">
        <v>705</v>
      </c>
      <c r="BS4" s="273" t="s">
        <v>706</v>
      </c>
      <c r="BT4" s="273" t="s">
        <v>707</v>
      </c>
      <c r="BU4" s="273" t="s">
        <v>708</v>
      </c>
      <c r="BV4" s="273" t="s">
        <v>709</v>
      </c>
      <c r="BW4" s="68"/>
    </row>
    <row r="5" spans="2:75" ht="14.65" customHeight="1">
      <c r="B5" s="1234" t="str">
        <f>BI1</f>
        <v>Project Management Office</v>
      </c>
      <c r="C5" s="1235"/>
      <c r="D5" s="1235"/>
      <c r="E5" s="1235"/>
      <c r="F5" s="1235"/>
      <c r="G5" s="1235"/>
      <c r="H5" s="1235"/>
      <c r="I5" s="1235"/>
      <c r="J5" s="1235"/>
      <c r="K5" s="1235"/>
      <c r="L5" s="1235"/>
      <c r="M5" s="1235"/>
      <c r="N5" s="1235"/>
      <c r="O5" s="1235"/>
      <c r="P5" s="1235"/>
      <c r="Q5" s="1235"/>
      <c r="R5" s="1235"/>
      <c r="S5" s="1235"/>
      <c r="T5" s="1235"/>
      <c r="U5" s="1235"/>
      <c r="V5" s="1235"/>
      <c r="W5" s="1235"/>
      <c r="X5" s="1235"/>
      <c r="Y5" s="1235"/>
      <c r="Z5" s="1235"/>
      <c r="AA5" s="1235"/>
      <c r="AB5" s="1235"/>
      <c r="AC5" s="1235"/>
      <c r="AD5" s="1235"/>
      <c r="AE5" s="1235"/>
      <c r="AF5" s="1235"/>
      <c r="AG5" s="1235"/>
      <c r="AH5" s="1235"/>
      <c r="AI5" s="1235"/>
      <c r="AJ5" s="1235"/>
      <c r="AK5" s="1235"/>
      <c r="AL5" s="1235"/>
      <c r="AM5" s="1235"/>
      <c r="AN5" s="1235"/>
      <c r="AO5" s="1235"/>
      <c r="AP5" s="1235"/>
      <c r="AQ5" s="1235"/>
      <c r="AR5" s="1235"/>
      <c r="AS5" s="630"/>
      <c r="AT5" s="630"/>
      <c r="AU5" s="630"/>
      <c r="AV5" s="630"/>
      <c r="AW5" s="630"/>
      <c r="AX5" s="630"/>
      <c r="AY5" s="630"/>
      <c r="AZ5" s="630"/>
      <c r="BA5" s="630"/>
      <c r="BB5" s="630"/>
      <c r="BC5" s="630"/>
      <c r="BD5" s="630"/>
      <c r="BE5" s="631" t="str">
        <f>Cover!M34</f>
        <v>OCT FY-24</v>
      </c>
      <c r="BI5" s="273" t="s">
        <v>37</v>
      </c>
      <c r="BJ5" s="273">
        <v>-1</v>
      </c>
      <c r="BK5" s="273">
        <v>1</v>
      </c>
      <c r="BL5" s="273">
        <v>2</v>
      </c>
      <c r="BM5" s="273">
        <v>3</v>
      </c>
      <c r="BN5" s="273">
        <v>4</v>
      </c>
      <c r="BO5" s="273">
        <v>5</v>
      </c>
      <c r="BP5" s="273">
        <v>6</v>
      </c>
      <c r="BQ5" s="273">
        <v>7</v>
      </c>
      <c r="BR5" s="273">
        <v>8</v>
      </c>
      <c r="BS5" s="273">
        <v>9</v>
      </c>
      <c r="BT5" s="273">
        <v>10</v>
      </c>
      <c r="BU5" s="273">
        <v>11</v>
      </c>
      <c r="BV5" s="273">
        <v>12</v>
      </c>
      <c r="BW5" s="68"/>
    </row>
    <row r="6" spans="2:75" ht="14.65" customHeight="1">
      <c r="BI6" s="271" t="s">
        <v>263</v>
      </c>
      <c r="BJ6" s="632">
        <v>7</v>
      </c>
      <c r="BK6" s="633">
        <f>BJ14-BJ13</f>
        <v>7</v>
      </c>
      <c r="BL6" s="633">
        <f t="shared" ref="BL6:BV6" si="0">BK14-BK13</f>
        <v>7</v>
      </c>
      <c r="BM6" s="633">
        <f t="shared" si="0"/>
        <v>7</v>
      </c>
      <c r="BN6" s="633">
        <f>BM14-BM13</f>
        <v>7</v>
      </c>
      <c r="BO6" s="633">
        <f t="shared" si="0"/>
        <v>7</v>
      </c>
      <c r="BP6" s="633">
        <f t="shared" si="0"/>
        <v>7</v>
      </c>
      <c r="BQ6" s="633">
        <f t="shared" si="0"/>
        <v>7</v>
      </c>
      <c r="BR6" s="633">
        <f t="shared" si="0"/>
        <v>7</v>
      </c>
      <c r="BS6" s="633">
        <f t="shared" si="0"/>
        <v>7</v>
      </c>
      <c r="BT6" s="633">
        <f t="shared" si="0"/>
        <v>7</v>
      </c>
      <c r="BU6" s="633">
        <f t="shared" si="0"/>
        <v>7</v>
      </c>
      <c r="BV6" s="633">
        <f t="shared" si="0"/>
        <v>7</v>
      </c>
      <c r="BW6" s="68"/>
    </row>
    <row r="7" spans="2:75" ht="14.65" customHeight="1">
      <c r="B7" s="531" t="s">
        <v>427</v>
      </c>
      <c r="C7" s="532"/>
      <c r="D7" s="532"/>
      <c r="E7" s="532"/>
      <c r="F7" s="532"/>
      <c r="G7" s="532"/>
      <c r="H7" s="532"/>
      <c r="I7" s="532"/>
      <c r="J7" s="532"/>
      <c r="K7" s="532"/>
      <c r="L7" s="532"/>
      <c r="M7" s="532"/>
      <c r="N7" s="532"/>
      <c r="O7" s="532"/>
      <c r="P7" s="532"/>
      <c r="Q7" s="532"/>
      <c r="R7" s="532"/>
      <c r="S7" s="532"/>
      <c r="T7" s="532"/>
      <c r="U7" s="532"/>
      <c r="V7" s="532"/>
      <c r="W7" s="532"/>
      <c r="X7" s="532"/>
      <c r="Y7" s="532"/>
      <c r="Z7" s="532"/>
      <c r="AA7" s="532"/>
      <c r="AB7" s="532"/>
      <c r="AE7" s="531" t="s">
        <v>265</v>
      </c>
      <c r="AF7" s="532"/>
      <c r="AG7" s="532"/>
      <c r="AH7" s="532"/>
      <c r="AI7" s="532"/>
      <c r="AJ7" s="532"/>
      <c r="AK7" s="532"/>
      <c r="AL7" s="532"/>
      <c r="AM7" s="532"/>
      <c r="AN7" s="532"/>
      <c r="AO7" s="532"/>
      <c r="AP7" s="532"/>
      <c r="AQ7" s="532"/>
      <c r="AR7" s="532"/>
      <c r="AS7" s="532"/>
      <c r="AT7" s="532"/>
      <c r="AU7" s="532"/>
      <c r="AV7" s="532"/>
      <c r="AW7" s="532"/>
      <c r="AX7" s="532"/>
      <c r="AY7" s="532"/>
      <c r="AZ7" s="532"/>
      <c r="BA7" s="532"/>
      <c r="BB7" s="532"/>
      <c r="BC7" s="532"/>
      <c r="BD7" s="532"/>
      <c r="BE7" s="532"/>
      <c r="BI7" s="271" t="s">
        <v>266</v>
      </c>
      <c r="BJ7" s="632"/>
      <c r="BK7" s="632"/>
      <c r="BL7" s="632"/>
      <c r="BM7" s="632"/>
      <c r="BN7" s="632"/>
      <c r="BO7" s="632"/>
      <c r="BP7" s="632"/>
      <c r="BQ7" s="632"/>
      <c r="BR7" s="632"/>
      <c r="BS7" s="632"/>
      <c r="BT7" s="632"/>
      <c r="BU7" s="632"/>
      <c r="BV7" s="632"/>
      <c r="BW7" s="68"/>
    </row>
    <row r="8" spans="2:75" ht="14.65" customHeight="1">
      <c r="B8" s="1359" t="s">
        <v>428</v>
      </c>
      <c r="C8" s="1360"/>
      <c r="D8" s="1360"/>
      <c r="E8" s="1360"/>
      <c r="F8" s="1360"/>
      <c r="G8" s="1360"/>
      <c r="H8" s="1360"/>
      <c r="I8" s="1360"/>
      <c r="J8" s="1360"/>
      <c r="K8" s="1360"/>
      <c r="L8" s="1360"/>
      <c r="M8" s="1360"/>
      <c r="N8" s="1360"/>
      <c r="O8" s="1360"/>
      <c r="P8" s="1360"/>
      <c r="Q8" s="1360"/>
      <c r="R8" s="1360"/>
      <c r="S8" s="1360"/>
      <c r="T8" s="1360"/>
      <c r="U8" s="1360"/>
      <c r="V8" s="1360"/>
      <c r="W8" s="1360"/>
      <c r="X8" s="1360"/>
      <c r="Y8" s="1360"/>
      <c r="Z8" s="1360"/>
      <c r="AA8" s="1360"/>
      <c r="AB8" s="1361"/>
      <c r="AE8" s="1137" t="s">
        <v>429</v>
      </c>
      <c r="AF8" s="1138"/>
      <c r="AG8" s="1138"/>
      <c r="AH8" s="1138"/>
      <c r="AI8" s="1138"/>
      <c r="AJ8" s="1138"/>
      <c r="AK8" s="1138"/>
      <c r="AL8" s="1138"/>
      <c r="AM8" s="1138"/>
      <c r="AN8" s="1138"/>
      <c r="AO8" s="1138"/>
      <c r="AP8" s="1138"/>
      <c r="AQ8" s="1138"/>
      <c r="AR8" s="1138"/>
      <c r="AS8" s="1138"/>
      <c r="AT8" s="1138"/>
      <c r="AU8" s="1138"/>
      <c r="AV8" s="1138"/>
      <c r="AW8" s="1138"/>
      <c r="AX8" s="1138"/>
      <c r="AY8" s="1138"/>
      <c r="AZ8" s="1138"/>
      <c r="BA8" s="1138"/>
      <c r="BB8" s="1138"/>
      <c r="BC8" s="1138"/>
      <c r="BD8" s="1138"/>
      <c r="BE8" s="1139"/>
      <c r="BI8" s="271" t="s">
        <v>269</v>
      </c>
      <c r="BJ8" s="632"/>
      <c r="BK8" s="632"/>
      <c r="BL8" s="632"/>
      <c r="BM8" s="632"/>
      <c r="BN8" s="632"/>
      <c r="BO8" s="632"/>
      <c r="BP8" s="632"/>
      <c r="BQ8" s="632"/>
      <c r="BR8" s="632"/>
      <c r="BS8" s="632"/>
      <c r="BT8" s="632"/>
      <c r="BU8" s="632"/>
      <c r="BV8" s="632"/>
      <c r="BW8" s="68"/>
    </row>
    <row r="9" spans="2:75" ht="14.65" customHeight="1">
      <c r="B9" s="1362"/>
      <c r="C9" s="1363"/>
      <c r="D9" s="1363"/>
      <c r="E9" s="1363"/>
      <c r="F9" s="1363"/>
      <c r="G9" s="1363"/>
      <c r="H9" s="1363"/>
      <c r="I9" s="1363"/>
      <c r="J9" s="1363"/>
      <c r="K9" s="1363"/>
      <c r="L9" s="1363"/>
      <c r="M9" s="1363"/>
      <c r="N9" s="1363"/>
      <c r="O9" s="1363"/>
      <c r="P9" s="1363"/>
      <c r="Q9" s="1363"/>
      <c r="R9" s="1363"/>
      <c r="S9" s="1363"/>
      <c r="T9" s="1363"/>
      <c r="U9" s="1363"/>
      <c r="V9" s="1363"/>
      <c r="W9" s="1363"/>
      <c r="X9" s="1363"/>
      <c r="Y9" s="1363"/>
      <c r="Z9" s="1363"/>
      <c r="AA9" s="1363"/>
      <c r="AB9" s="1364"/>
      <c r="AE9" s="1140"/>
      <c r="AF9" s="1141"/>
      <c r="AG9" s="1141"/>
      <c r="AH9" s="1141"/>
      <c r="AI9" s="1141"/>
      <c r="AJ9" s="1141"/>
      <c r="AK9" s="1141"/>
      <c r="AL9" s="1141"/>
      <c r="AM9" s="1141"/>
      <c r="AN9" s="1141"/>
      <c r="AO9" s="1141"/>
      <c r="AP9" s="1141"/>
      <c r="AQ9" s="1141"/>
      <c r="AR9" s="1141"/>
      <c r="AS9" s="1141"/>
      <c r="AT9" s="1141"/>
      <c r="AU9" s="1141"/>
      <c r="AV9" s="1141"/>
      <c r="AW9" s="1141"/>
      <c r="AX9" s="1141"/>
      <c r="AY9" s="1141"/>
      <c r="AZ9" s="1141"/>
      <c r="BA9" s="1141"/>
      <c r="BB9" s="1141"/>
      <c r="BC9" s="1141"/>
      <c r="BD9" s="1141"/>
      <c r="BE9" s="1142"/>
      <c r="BI9" s="271" t="s">
        <v>270</v>
      </c>
      <c r="BJ9" s="632"/>
      <c r="BK9" s="632"/>
      <c r="BL9" s="632"/>
      <c r="BM9" s="632"/>
      <c r="BN9" s="632"/>
      <c r="BO9" s="632"/>
      <c r="BP9" s="632"/>
      <c r="BQ9" s="632"/>
      <c r="BR9" s="632"/>
      <c r="BS9" s="632"/>
      <c r="BT9" s="632"/>
      <c r="BU9" s="632"/>
      <c r="BV9" s="632"/>
      <c r="BW9" s="68"/>
    </row>
    <row r="10" spans="2:75" ht="14.65" customHeight="1">
      <c r="B10" s="1362"/>
      <c r="C10" s="1363"/>
      <c r="D10" s="1363"/>
      <c r="E10" s="1363"/>
      <c r="F10" s="1363"/>
      <c r="G10" s="1363"/>
      <c r="H10" s="1363"/>
      <c r="I10" s="1363"/>
      <c r="J10" s="1363"/>
      <c r="K10" s="1363"/>
      <c r="L10" s="1363"/>
      <c r="M10" s="1363"/>
      <c r="N10" s="1363"/>
      <c r="O10" s="1363"/>
      <c r="P10" s="1363"/>
      <c r="Q10" s="1363"/>
      <c r="R10" s="1363"/>
      <c r="S10" s="1363"/>
      <c r="T10" s="1363"/>
      <c r="U10" s="1363"/>
      <c r="V10" s="1363"/>
      <c r="W10" s="1363"/>
      <c r="X10" s="1363"/>
      <c r="Y10" s="1363"/>
      <c r="Z10" s="1363"/>
      <c r="AA10" s="1363"/>
      <c r="AB10" s="1364"/>
      <c r="AE10" s="1140"/>
      <c r="AF10" s="1141"/>
      <c r="AG10" s="1141"/>
      <c r="AH10" s="1141"/>
      <c r="AI10" s="1141"/>
      <c r="AJ10" s="1141"/>
      <c r="AK10" s="1141"/>
      <c r="AL10" s="1141"/>
      <c r="AM10" s="1141"/>
      <c r="AN10" s="1141"/>
      <c r="AO10" s="1141"/>
      <c r="AP10" s="1141"/>
      <c r="AQ10" s="1141"/>
      <c r="AR10" s="1141"/>
      <c r="AS10" s="1141"/>
      <c r="AT10" s="1141"/>
      <c r="AU10" s="1141"/>
      <c r="AV10" s="1141"/>
      <c r="AW10" s="1141"/>
      <c r="AX10" s="1141"/>
      <c r="AY10" s="1141"/>
      <c r="AZ10" s="1141"/>
      <c r="BA10" s="1141"/>
      <c r="BB10" s="1141"/>
      <c r="BC10" s="1141"/>
      <c r="BD10" s="1141"/>
      <c r="BE10" s="1142"/>
      <c r="BI10" s="271" t="s">
        <v>271</v>
      </c>
      <c r="BJ10" s="632"/>
      <c r="BK10" s="632"/>
      <c r="BL10" s="632"/>
      <c r="BM10" s="632"/>
      <c r="BN10" s="632"/>
      <c r="BO10" s="632"/>
      <c r="BP10" s="632"/>
      <c r="BQ10" s="632"/>
      <c r="BR10" s="632"/>
      <c r="BS10" s="632"/>
      <c r="BT10" s="632"/>
      <c r="BU10" s="632"/>
      <c r="BV10" s="632"/>
      <c r="BW10" s="68"/>
    </row>
    <row r="11" spans="2:75" ht="17.25" customHeight="1">
      <c r="B11" s="1365"/>
      <c r="C11" s="1366"/>
      <c r="D11" s="1366"/>
      <c r="E11" s="1366"/>
      <c r="F11" s="1366"/>
      <c r="G11" s="1366"/>
      <c r="H11" s="1366"/>
      <c r="I11" s="1366"/>
      <c r="J11" s="1366"/>
      <c r="K11" s="1366"/>
      <c r="L11" s="1366"/>
      <c r="M11" s="1366"/>
      <c r="N11" s="1366"/>
      <c r="O11" s="1366"/>
      <c r="P11" s="1366"/>
      <c r="Q11" s="1366"/>
      <c r="R11" s="1366"/>
      <c r="S11" s="1366"/>
      <c r="T11" s="1366"/>
      <c r="U11" s="1366"/>
      <c r="V11" s="1366"/>
      <c r="W11" s="1366"/>
      <c r="X11" s="1366"/>
      <c r="Y11" s="1366"/>
      <c r="Z11" s="1366"/>
      <c r="AA11" s="1366"/>
      <c r="AB11" s="1367"/>
      <c r="AE11" s="1143"/>
      <c r="AF11" s="1144"/>
      <c r="AG11" s="1144"/>
      <c r="AH11" s="1144"/>
      <c r="AI11" s="1144"/>
      <c r="AJ11" s="1144"/>
      <c r="AK11" s="1144"/>
      <c r="AL11" s="1144"/>
      <c r="AM11" s="1144"/>
      <c r="AN11" s="1144"/>
      <c r="AO11" s="1144"/>
      <c r="AP11" s="1144"/>
      <c r="AQ11" s="1144"/>
      <c r="AR11" s="1144"/>
      <c r="AS11" s="1144"/>
      <c r="AT11" s="1144"/>
      <c r="AU11" s="1144"/>
      <c r="AV11" s="1144"/>
      <c r="AW11" s="1144"/>
      <c r="AX11" s="1144"/>
      <c r="AY11" s="1144"/>
      <c r="AZ11" s="1144"/>
      <c r="BA11" s="1144"/>
      <c r="BB11" s="1144"/>
      <c r="BC11" s="1144"/>
      <c r="BD11" s="1144"/>
      <c r="BE11" s="1145"/>
      <c r="BI11" s="271" t="s">
        <v>272</v>
      </c>
      <c r="BJ11" s="632"/>
      <c r="BK11" s="632"/>
      <c r="BL11" s="632"/>
      <c r="BM11" s="632"/>
      <c r="BN11" s="632"/>
      <c r="BO11" s="632"/>
      <c r="BP11" s="632"/>
      <c r="BQ11" s="632"/>
      <c r="BR11" s="632"/>
      <c r="BS11" s="632"/>
      <c r="BT11" s="632"/>
      <c r="BU11" s="632"/>
      <c r="BV11" s="632"/>
      <c r="BW11" s="68"/>
    </row>
    <row r="12" spans="2:75" ht="14.65" customHeight="1">
      <c r="BI12" s="271" t="s">
        <v>273</v>
      </c>
      <c r="BJ12" s="632"/>
      <c r="BK12" s="632"/>
      <c r="BL12" s="632"/>
      <c r="BM12" s="632"/>
      <c r="BN12" s="632"/>
      <c r="BO12" s="632"/>
      <c r="BP12" s="632"/>
      <c r="BQ12" s="632"/>
      <c r="BR12" s="632"/>
      <c r="BS12" s="632"/>
      <c r="BT12" s="632"/>
      <c r="BU12" s="632"/>
      <c r="BV12" s="632"/>
      <c r="BW12" s="68"/>
    </row>
    <row r="13" spans="2:75" ht="14.65" customHeight="1">
      <c r="B13" s="531" t="s">
        <v>14</v>
      </c>
      <c r="C13" s="533"/>
      <c r="D13" s="533"/>
      <c r="E13" s="533"/>
      <c r="F13" s="532"/>
      <c r="G13" s="532"/>
      <c r="H13" s="532"/>
      <c r="I13" s="532"/>
      <c r="J13" s="532"/>
      <c r="K13" s="532"/>
      <c r="L13" s="532"/>
      <c r="M13" s="532"/>
      <c r="N13" s="532"/>
      <c r="O13" s="532"/>
      <c r="P13" s="532"/>
      <c r="Q13" s="532"/>
      <c r="R13" s="532"/>
      <c r="S13" s="532"/>
      <c r="T13" s="532"/>
      <c r="U13" s="532"/>
      <c r="V13" s="532"/>
      <c r="W13" s="532"/>
      <c r="X13" s="532"/>
      <c r="Y13" s="532"/>
      <c r="Z13" s="532"/>
      <c r="AA13" s="532"/>
      <c r="AB13" s="532"/>
      <c r="AE13" s="534" t="s">
        <v>59</v>
      </c>
      <c r="AF13" s="535"/>
      <c r="AG13" s="536"/>
      <c r="AH13" s="537"/>
      <c r="AI13" s="538"/>
      <c r="AJ13" s="538"/>
      <c r="AK13" s="538"/>
      <c r="AL13" s="538"/>
      <c r="AM13" s="538"/>
      <c r="AN13" s="538"/>
      <c r="AO13" s="538"/>
      <c r="AP13" s="538"/>
      <c r="AQ13" s="538"/>
      <c r="AR13" s="538"/>
      <c r="AS13" s="538"/>
      <c r="AT13" s="538"/>
      <c r="AU13" s="538"/>
      <c r="AV13" s="538"/>
      <c r="AW13" s="538"/>
      <c r="AX13" s="538"/>
      <c r="AY13" s="538"/>
      <c r="AZ13" s="538"/>
      <c r="BA13" s="538"/>
      <c r="BB13" s="538"/>
      <c r="BC13" s="538"/>
      <c r="BD13" s="538"/>
      <c r="BE13" s="538"/>
      <c r="BI13" s="271" t="s">
        <v>274</v>
      </c>
      <c r="BJ13" s="632"/>
      <c r="BK13" s="632"/>
      <c r="BL13" s="632"/>
      <c r="BM13" s="632"/>
      <c r="BN13" s="632"/>
      <c r="BO13" s="632"/>
      <c r="BP13" s="632"/>
      <c r="BQ13" s="632"/>
      <c r="BR13" s="632"/>
      <c r="BS13" s="632"/>
      <c r="BT13" s="632"/>
      <c r="BU13" s="632"/>
      <c r="BV13" s="632"/>
      <c r="BW13" s="68"/>
    </row>
    <row r="14" spans="2:75" ht="14.65" customHeight="1">
      <c r="B14" s="302"/>
      <c r="C14" s="302"/>
      <c r="D14" s="302"/>
      <c r="E14" s="302"/>
      <c r="F14" s="302"/>
      <c r="G14" s="302"/>
      <c r="H14" s="302"/>
      <c r="I14" s="303"/>
      <c r="J14" s="303"/>
      <c r="K14" s="304"/>
      <c r="L14" s="302"/>
      <c r="M14" s="302"/>
      <c r="N14" s="305"/>
      <c r="O14" s="302"/>
      <c r="P14" s="302"/>
      <c r="Q14" s="302"/>
      <c r="R14" s="302"/>
      <c r="S14" s="302"/>
      <c r="T14" s="302"/>
      <c r="U14" s="302"/>
      <c r="V14" s="1132"/>
      <c r="W14" s="1132"/>
      <c r="X14" s="302"/>
      <c r="Y14" s="302"/>
      <c r="Z14" s="302"/>
      <c r="AA14" s="302"/>
      <c r="AB14" s="302"/>
      <c r="AE14" s="306"/>
      <c r="AF14" s="302"/>
      <c r="AG14" s="302"/>
      <c r="AH14" s="302"/>
      <c r="AI14" s="302"/>
      <c r="AJ14" s="302"/>
      <c r="AK14" s="307"/>
      <c r="AL14" s="307"/>
      <c r="AM14" s="307"/>
      <c r="AN14" s="307"/>
      <c r="AO14" s="308"/>
      <c r="AP14" s="309"/>
      <c r="AQ14" s="309"/>
      <c r="AR14" s="309"/>
      <c r="AS14" s="307"/>
      <c r="AT14" s="308"/>
      <c r="AU14" s="307"/>
      <c r="AV14" s="307"/>
      <c r="AW14" s="307"/>
      <c r="AX14" s="302"/>
      <c r="AY14" s="302"/>
      <c r="AZ14" s="302"/>
      <c r="BA14" s="302"/>
      <c r="BB14" s="302"/>
      <c r="BC14" s="302"/>
      <c r="BD14" s="302"/>
      <c r="BE14" s="302"/>
      <c r="BI14" s="271" t="s">
        <v>41</v>
      </c>
      <c r="BJ14" s="275">
        <v>7</v>
      </c>
      <c r="BK14" s="275">
        <f t="shared" ref="BK14:BV14" si="1">SUM(BK6:BK13)</f>
        <v>7</v>
      </c>
      <c r="BL14" s="275">
        <f t="shared" si="1"/>
        <v>7</v>
      </c>
      <c r="BM14" s="275">
        <f t="shared" si="1"/>
        <v>7</v>
      </c>
      <c r="BN14" s="275">
        <f t="shared" si="1"/>
        <v>7</v>
      </c>
      <c r="BO14" s="275">
        <f t="shared" si="1"/>
        <v>7</v>
      </c>
      <c r="BP14" s="275">
        <f t="shared" si="1"/>
        <v>7</v>
      </c>
      <c r="BQ14" s="275">
        <f t="shared" si="1"/>
        <v>7</v>
      </c>
      <c r="BR14" s="275">
        <f t="shared" si="1"/>
        <v>7</v>
      </c>
      <c r="BS14" s="275">
        <f>SUM(BS6:BS13)</f>
        <v>7</v>
      </c>
      <c r="BT14" s="275">
        <f t="shared" si="1"/>
        <v>7</v>
      </c>
      <c r="BU14" s="275">
        <f t="shared" si="1"/>
        <v>7</v>
      </c>
      <c r="BV14" s="275">
        <f t="shared" si="1"/>
        <v>7</v>
      </c>
      <c r="BW14" s="68"/>
    </row>
    <row r="15" spans="2:75" ht="14.65" customHeight="1">
      <c r="B15" s="1128" t="s">
        <v>185</v>
      </c>
      <c r="C15" s="1128"/>
      <c r="D15" s="1128"/>
      <c r="E15" s="1128"/>
      <c r="F15" s="1128"/>
      <c r="G15" s="1128"/>
      <c r="I15" s="1128" t="s">
        <v>275</v>
      </c>
      <c r="J15" s="1134"/>
      <c r="K15" s="1134"/>
      <c r="L15" s="1134"/>
      <c r="M15" s="1134"/>
      <c r="N15" s="1134"/>
      <c r="O15" s="1134"/>
      <c r="P15" s="1134"/>
      <c r="Q15" s="1134"/>
      <c r="R15" s="1134"/>
      <c r="S15" s="1134"/>
      <c r="T15" s="1134"/>
      <c r="U15" s="1134"/>
      <c r="V15" s="1134"/>
      <c r="W15" s="310"/>
      <c r="X15" s="1135" t="s">
        <v>360</v>
      </c>
      <c r="Y15" s="1136"/>
      <c r="Z15" s="1136"/>
      <c r="AA15" s="1136"/>
      <c r="AB15" s="1136"/>
      <c r="AE15" s="1128" t="s">
        <v>277</v>
      </c>
      <c r="AF15" s="1128"/>
      <c r="AG15" s="1128"/>
      <c r="AH15" s="1128"/>
      <c r="AI15" s="1128"/>
      <c r="AJ15" s="1128"/>
      <c r="AK15" s="311"/>
      <c r="AL15" s="1129" t="s">
        <v>62</v>
      </c>
      <c r="AM15" s="1129"/>
      <c r="AN15" s="1129"/>
      <c r="AO15" s="1129"/>
      <c r="AP15" s="1128" t="str">
        <f>CONCATENATE(Cover!M36,"+",12-Cover!M36)</f>
        <v>1+11</v>
      </c>
      <c r="AQ15" s="1128"/>
      <c r="AR15" s="311"/>
      <c r="AS15" s="1128" t="s">
        <v>278</v>
      </c>
      <c r="AT15" s="1128"/>
      <c r="AU15" s="1128"/>
      <c r="AV15" s="1128"/>
      <c r="AW15" s="1128"/>
      <c r="AX15" s="1128"/>
      <c r="AY15" s="311"/>
      <c r="AZ15" s="1128" t="s">
        <v>279</v>
      </c>
      <c r="BA15" s="1128"/>
      <c r="BB15" s="1128"/>
      <c r="BC15" s="1128"/>
      <c r="BD15" s="1128"/>
      <c r="BE15" s="1128"/>
    </row>
    <row r="16" spans="2:75" ht="14.65" customHeight="1">
      <c r="E16" s="312" t="s">
        <v>263</v>
      </c>
      <c r="G16" s="313">
        <f>SUMIF(BJ4:BV4,BE5,BJ6:BV6)</f>
        <v>7</v>
      </c>
      <c r="I16" s="1112" t="s">
        <v>280</v>
      </c>
      <c r="J16" s="1113"/>
      <c r="K16" s="1113"/>
      <c r="L16" s="1114"/>
      <c r="N16" s="1112" t="s">
        <v>281</v>
      </c>
      <c r="O16" s="1113"/>
      <c r="P16" s="1113"/>
      <c r="Q16" s="1114"/>
      <c r="S16" s="1112" t="s">
        <v>282</v>
      </c>
      <c r="T16" s="1113"/>
      <c r="U16" s="1113"/>
      <c r="V16" s="1114"/>
      <c r="X16" s="314" t="s">
        <v>361</v>
      </c>
      <c r="Y16" s="315"/>
      <c r="Z16" s="316"/>
      <c r="AA16" s="314"/>
      <c r="AB16" s="314"/>
      <c r="AE16" s="311"/>
      <c r="AF16" s="311"/>
      <c r="AG16" s="311"/>
      <c r="AI16" s="311"/>
      <c r="AJ16" s="103" t="s">
        <v>61</v>
      </c>
      <c r="AK16" s="311"/>
      <c r="AL16" s="311"/>
      <c r="AM16" s="311"/>
      <c r="AN16" s="311"/>
      <c r="AO16" s="311"/>
      <c r="AP16" s="311"/>
      <c r="AQ16" s="311"/>
      <c r="AR16" s="311"/>
      <c r="AS16" s="311"/>
      <c r="AT16" s="311"/>
      <c r="AU16" s="311"/>
      <c r="AV16" s="311"/>
      <c r="AW16" s="311"/>
      <c r="AX16" s="311"/>
      <c r="AY16" s="311"/>
      <c r="AZ16" s="311"/>
      <c r="BA16" s="311"/>
      <c r="BB16" s="311"/>
      <c r="BC16" s="311"/>
      <c r="BD16" s="311"/>
      <c r="BE16" s="311"/>
      <c r="BI16" s="271" t="s">
        <v>284</v>
      </c>
      <c r="BJ16" s="635">
        <v>0</v>
      </c>
      <c r="BK16" s="635"/>
      <c r="BL16" s="635"/>
      <c r="BM16" s="635"/>
      <c r="BN16" s="635"/>
      <c r="BO16" s="635"/>
      <c r="BP16" s="635"/>
      <c r="BQ16" s="635"/>
      <c r="BR16" s="635"/>
      <c r="BS16" s="635"/>
      <c r="BT16" s="635"/>
      <c r="BU16" s="635"/>
      <c r="BV16" s="635"/>
    </row>
    <row r="17" spans="2:57" ht="14.65" customHeight="1">
      <c r="E17" s="312" t="s">
        <v>285</v>
      </c>
      <c r="G17" s="313">
        <f>V20</f>
        <v>0</v>
      </c>
      <c r="I17" s="317"/>
      <c r="J17" s="312" t="s">
        <v>266</v>
      </c>
      <c r="K17" s="313">
        <f>SUMIF(BJ4:BV4,BE5,BJ7:BV7)</f>
        <v>0</v>
      </c>
      <c r="L17" s="318"/>
      <c r="N17" s="317"/>
      <c r="O17" s="312" t="s">
        <v>286</v>
      </c>
      <c r="P17" s="313">
        <f>SUMIF(BJ4:BV4,BE5,BJ9:BV9)</f>
        <v>0</v>
      </c>
      <c r="Q17" s="318"/>
      <c r="S17" s="317"/>
      <c r="T17" s="312" t="s">
        <v>286</v>
      </c>
      <c r="U17" s="313">
        <f>SUMIF(BJ4:BV4,BE5,BJ11:BV11)</f>
        <v>0</v>
      </c>
      <c r="V17" s="319"/>
      <c r="X17" s="314" t="s">
        <v>287</v>
      </c>
      <c r="Y17" s="315"/>
      <c r="Z17" s="316"/>
      <c r="AA17" s="314">
        <f>SUMIF(Admin4!$B$5:$B$298,"7850",Admin4!$C$5:$C$298)</f>
        <v>0</v>
      </c>
      <c r="AB17" s="314"/>
      <c r="AE17" s="311"/>
      <c r="AF17" s="311"/>
      <c r="AG17" s="311"/>
      <c r="AI17" s="311"/>
      <c r="AJ17" s="320" t="s">
        <v>63</v>
      </c>
      <c r="AK17" s="311"/>
      <c r="AL17" s="311"/>
      <c r="AM17" s="311"/>
      <c r="AN17" s="1127">
        <f>SUMIF(Admin3!C8:O8,AR!BE5,Admin3!C260:O260)</f>
        <v>0</v>
      </c>
      <c r="AO17" s="1127"/>
      <c r="AP17" s="1127"/>
      <c r="AQ17" s="1127"/>
      <c r="AR17" s="311"/>
      <c r="AS17" s="311"/>
      <c r="AT17" s="311"/>
      <c r="AU17" s="1127">
        <f>SUMIF(Admin3!C8:O8,AR!BE5,Admin3!C264:O264)-SUMIF(Admin3!C8:O8,AR!BE5,Admin3!C260:O260)</f>
        <v>0</v>
      </c>
      <c r="AV17" s="1127"/>
      <c r="AW17" s="1127"/>
      <c r="AX17" s="1127"/>
      <c r="AY17" s="311"/>
      <c r="AZ17" s="311"/>
      <c r="BA17" s="311"/>
      <c r="BB17" s="1127">
        <f>SUMIF(Admin3!C8:O8,AR!BE5,Admin3!C268:O268)-SUMIF(Admin3!C8:O8,AR!BE5,Admin3!C260:O260)</f>
        <v>0</v>
      </c>
      <c r="BC17" s="1127"/>
      <c r="BD17" s="1127"/>
      <c r="BE17" s="1127"/>
    </row>
    <row r="18" spans="2:57" ht="14.65" customHeight="1">
      <c r="E18" s="312" t="s">
        <v>240</v>
      </c>
      <c r="G18" s="313">
        <f>SUMIF(BJ4:BV4,BE5,BJ13:BV13)</f>
        <v>0</v>
      </c>
      <c r="I18" s="321"/>
      <c r="J18" s="322" t="s">
        <v>288</v>
      </c>
      <c r="K18" s="323">
        <f>SUMIF(BJ4:BV4,BE5,BJ8:BV8)</f>
        <v>0</v>
      </c>
      <c r="L18" s="324"/>
      <c r="N18" s="321"/>
      <c r="O18" s="322" t="s">
        <v>289</v>
      </c>
      <c r="P18" s="323">
        <f>SUMIF(BJ4:BV4,BE5,BJ10:BV10)</f>
        <v>0</v>
      </c>
      <c r="Q18" s="324"/>
      <c r="S18" s="321"/>
      <c r="T18" s="322" t="s">
        <v>289</v>
      </c>
      <c r="U18" s="323">
        <f>SUMIF(BJ4:BV4,BE5,BJ12:BV12)</f>
        <v>0</v>
      </c>
      <c r="V18" s="325"/>
      <c r="X18" s="314"/>
      <c r="Y18" s="315"/>
      <c r="Z18" s="316"/>
      <c r="AA18" s="314"/>
      <c r="AB18" s="314"/>
      <c r="AE18" s="311"/>
      <c r="AF18" s="311"/>
      <c r="AG18" s="311"/>
      <c r="AH18" s="311"/>
      <c r="AI18" s="326"/>
      <c r="AJ18" s="320" t="s">
        <v>64</v>
      </c>
      <c r="AK18" s="311"/>
      <c r="AL18" s="311"/>
      <c r="AM18" s="311"/>
      <c r="AN18" s="1127">
        <f>SUMIF(Admin3!C8:O8,AR!BE5,Admin3!C261:O261)</f>
        <v>0</v>
      </c>
      <c r="AO18" s="1127"/>
      <c r="AP18" s="1127"/>
      <c r="AQ18" s="1127"/>
      <c r="AR18" s="311"/>
      <c r="AS18" s="311"/>
      <c r="AT18" s="311"/>
      <c r="AU18" s="1127">
        <f>SUMIF(Admin3!C8:O8,AR!BE5,Admin3!C265:O265)-SUMIF(Admin3!C8:O8,AR!BE5,Admin3!C261:O261)</f>
        <v>0</v>
      </c>
      <c r="AV18" s="1127"/>
      <c r="AW18" s="1127"/>
      <c r="AX18" s="1127"/>
      <c r="AY18" s="311"/>
      <c r="AZ18" s="311"/>
      <c r="BA18" s="311"/>
      <c r="BB18" s="1127">
        <f>SUMIF(Admin3!C8:O8,AR!BE5,Admin3!C269:O269)-SUMIF(Admin3!C8:O8,AR!BE5,Admin3!C261:O261)</f>
        <v>0</v>
      </c>
      <c r="BC18" s="1127"/>
      <c r="BD18" s="1127"/>
      <c r="BE18" s="1127"/>
    </row>
    <row r="19" spans="2:57" ht="14.65" customHeight="1" thickBot="1">
      <c r="E19" s="312" t="s">
        <v>41</v>
      </c>
      <c r="G19" s="327">
        <f>SUM(G16:G18)</f>
        <v>7</v>
      </c>
      <c r="I19" s="326"/>
      <c r="J19" s="326"/>
      <c r="K19" s="326"/>
      <c r="L19" s="326"/>
      <c r="M19" s="326"/>
      <c r="N19" s="326"/>
      <c r="O19" s="326"/>
      <c r="P19" s="326"/>
      <c r="Q19" s="326"/>
      <c r="R19" s="326"/>
      <c r="S19" s="326"/>
      <c r="T19" s="326"/>
      <c r="U19" s="326"/>
      <c r="V19" s="326"/>
      <c r="W19" s="326"/>
      <c r="X19" s="314" t="s">
        <v>290</v>
      </c>
      <c r="Y19" s="315"/>
      <c r="Z19" s="316"/>
      <c r="AA19" s="328"/>
      <c r="AB19" s="328"/>
      <c r="AE19" s="311"/>
      <c r="AF19" s="311"/>
      <c r="AG19" s="311"/>
      <c r="AH19" s="311"/>
      <c r="AJ19" s="320" t="s">
        <v>65</v>
      </c>
      <c r="AN19" s="1152">
        <f>SUM(AN17:AQ18)</f>
        <v>0</v>
      </c>
      <c r="AO19" s="1152"/>
      <c r="AP19" s="1152"/>
      <c r="AQ19" s="1152"/>
      <c r="AU19" s="1152">
        <f>SUM(AU17:AX18)</f>
        <v>0</v>
      </c>
      <c r="AV19" s="1152"/>
      <c r="AW19" s="1152"/>
      <c r="AX19" s="1152"/>
      <c r="BB19" s="1152">
        <f>SUM(BB17:BE18)</f>
        <v>0</v>
      </c>
      <c r="BC19" s="1152"/>
      <c r="BD19" s="1152"/>
      <c r="BE19" s="1152"/>
    </row>
    <row r="20" spans="2:57" ht="14.65" customHeight="1" thickTop="1" thickBot="1">
      <c r="B20" s="267"/>
      <c r="C20" s="267"/>
      <c r="D20" s="267"/>
      <c r="E20" s="312" t="s">
        <v>39</v>
      </c>
      <c r="G20" s="313">
        <f t="array" ref="G20">SUM(IF((Admin2!$C$6:$O$6=BE5)*(Admin2!$Q$9:$Q$83=BI2)*(Admin2!$B$9:$B$83="Annual Plan"),Admin2!$C$9:$O$83,0))</f>
        <v>7</v>
      </c>
      <c r="H20" s="326"/>
      <c r="I20" s="37" t="s">
        <v>284</v>
      </c>
      <c r="K20" s="326"/>
      <c r="L20" s="326"/>
      <c r="M20" s="329">
        <f>SUMIF(BJ4:BV4,BE5,BJ16:BV16)</f>
        <v>0</v>
      </c>
      <c r="T20" s="330" t="s">
        <v>291</v>
      </c>
      <c r="U20" s="326"/>
      <c r="V20" s="329">
        <f>SUM(K17:K18,P17:P18,U17:U18)</f>
        <v>0</v>
      </c>
      <c r="X20" s="314" t="s">
        <v>287</v>
      </c>
      <c r="Y20" s="315"/>
      <c r="Z20" s="316"/>
      <c r="AA20" s="314">
        <f>SUMIF(Admin4!$B$5:$B$298,"7850",Admin4!$D$5:$D$298)</f>
        <v>0</v>
      </c>
      <c r="AB20" s="314"/>
      <c r="AC20" s="326"/>
      <c r="AD20" s="326"/>
      <c r="AE20" s="305"/>
      <c r="AF20" s="305"/>
      <c r="AG20" s="305"/>
      <c r="AH20" s="305"/>
    </row>
    <row r="21" spans="2:57" ht="14.65" customHeight="1" thickTop="1" thickBot="1">
      <c r="B21" s="267"/>
      <c r="C21" s="267"/>
      <c r="D21" s="267"/>
      <c r="E21" s="312" t="s">
        <v>40</v>
      </c>
      <c r="F21" s="326"/>
      <c r="G21" s="327">
        <f t="array" ref="G21">SUM(IF((Admin2!$C$6:$O$6=BE5)*(Admin2!$Q$9:$Q$83=BI2)*(Admin2!$B$9:$B$83="Forecast"),Admin2!$C$9:$O$83,0))</f>
        <v>7</v>
      </c>
      <c r="H21" s="326"/>
      <c r="X21" s="314"/>
      <c r="Y21" s="315"/>
      <c r="Z21" s="316"/>
      <c r="AA21" s="314"/>
      <c r="AB21" s="314"/>
      <c r="AE21" s="302"/>
      <c r="AF21" s="302"/>
      <c r="AG21" s="302"/>
      <c r="AH21" s="302"/>
      <c r="AI21" s="311"/>
      <c r="AJ21" s="103" t="s">
        <v>23</v>
      </c>
      <c r="AK21" s="311"/>
      <c r="AL21" s="311"/>
      <c r="AM21" s="311"/>
      <c r="AN21" s="311"/>
      <c r="AO21" s="311"/>
      <c r="AP21" s="311"/>
      <c r="AQ21" s="311"/>
      <c r="AR21" s="311"/>
      <c r="AS21" s="311"/>
      <c r="AT21" s="311"/>
      <c r="AU21" s="311"/>
      <c r="AV21" s="311"/>
      <c r="AW21" s="311"/>
      <c r="AX21" s="311"/>
      <c r="AY21" s="311"/>
      <c r="AZ21" s="311"/>
      <c r="BA21" s="311"/>
      <c r="BB21" s="311"/>
      <c r="BC21" s="311"/>
      <c r="BD21" s="311"/>
      <c r="BE21" s="311"/>
    </row>
    <row r="22" spans="2:57" ht="14.65" customHeight="1" thickTop="1" thickBot="1">
      <c r="B22" s="267"/>
      <c r="C22" s="267"/>
      <c r="D22" s="267"/>
      <c r="E22" s="312" t="s">
        <v>294</v>
      </c>
      <c r="F22" s="326"/>
      <c r="G22" s="327">
        <f>$G$20-$G$19</f>
        <v>0</v>
      </c>
      <c r="H22" s="326"/>
      <c r="I22" s="1368"/>
      <c r="J22" s="1368"/>
      <c r="K22" s="1368"/>
      <c r="L22" s="1368"/>
      <c r="M22" s="1368"/>
      <c r="N22" s="1368"/>
      <c r="O22" s="1368"/>
      <c r="P22" s="1368"/>
      <c r="Q22" s="1368"/>
      <c r="R22" s="1368"/>
      <c r="S22" s="1368"/>
      <c r="T22" s="1368"/>
      <c r="U22" s="1368"/>
      <c r="V22" s="1368"/>
      <c r="W22" s="326"/>
      <c r="X22" s="314" t="s">
        <v>295</v>
      </c>
      <c r="Y22" s="315"/>
      <c r="Z22" s="316"/>
      <c r="AA22" s="328"/>
      <c r="AB22" s="331"/>
      <c r="AE22" s="302"/>
      <c r="AF22" s="302"/>
      <c r="AG22" s="302"/>
      <c r="AH22" s="302"/>
      <c r="AI22" s="311"/>
      <c r="AJ22" s="320" t="s">
        <v>63</v>
      </c>
      <c r="AK22" s="311"/>
      <c r="AL22" s="311"/>
      <c r="AM22" s="311"/>
      <c r="AN22" s="1127">
        <f>SUMIF(Admin3!C8:O8,AR!BE5,Admin3!C273:O273)</f>
        <v>0</v>
      </c>
      <c r="AO22" s="1127"/>
      <c r="AP22" s="1127"/>
      <c r="AQ22" s="1127"/>
      <c r="AR22" s="311"/>
      <c r="AS22" s="311"/>
      <c r="AT22" s="311"/>
      <c r="AU22" s="1127">
        <f>SUMIF(Admin3!C8:O8,AR!BE5,Admin3!C277:O277)-SUMIF(Admin3!C8:O8,AR!BE5,Admin3!C273:O273)</f>
        <v>0</v>
      </c>
      <c r="AV22" s="1127"/>
      <c r="AW22" s="1127"/>
      <c r="AX22" s="1127"/>
      <c r="AY22" s="311"/>
      <c r="AZ22" s="311"/>
      <c r="BA22" s="311"/>
      <c r="BB22" s="1127">
        <f>SUMIF(Admin3!C8:O8,AR!BE5,Admin3!C281:O281)-SUMIF(Admin3!C8:O8,AR!BE5,Admin3!C273:O273)</f>
        <v>0</v>
      </c>
      <c r="BC22" s="1127"/>
      <c r="BD22" s="1127"/>
      <c r="BE22" s="1127"/>
    </row>
    <row r="23" spans="2:57" ht="14.65" customHeight="1" thickTop="1" thickBot="1">
      <c r="B23" s="267"/>
      <c r="C23" s="267"/>
      <c r="D23" s="267"/>
      <c r="E23" s="312" t="s">
        <v>298</v>
      </c>
      <c r="F23" s="326"/>
      <c r="G23" s="327">
        <f>$G$21-$G$19</f>
        <v>0</v>
      </c>
      <c r="H23" s="326"/>
      <c r="I23" s="1368"/>
      <c r="J23" s="1368"/>
      <c r="K23" s="1368"/>
      <c r="L23" s="1368"/>
      <c r="M23" s="1368"/>
      <c r="N23" s="1368"/>
      <c r="O23" s="1368"/>
      <c r="P23" s="1368"/>
      <c r="Q23" s="1368"/>
      <c r="R23" s="1368"/>
      <c r="S23" s="1368"/>
      <c r="T23" s="1368"/>
      <c r="U23" s="1368"/>
      <c r="V23" s="1368"/>
      <c r="W23" s="326"/>
      <c r="X23" s="314" t="s">
        <v>299</v>
      </c>
      <c r="Y23" s="315"/>
      <c r="Z23" s="316"/>
      <c r="AA23" s="314">
        <f>SUMIF(Admin4!$L$5:$L$298,"7850",Admin4!$N$5:$N$298)</f>
        <v>0</v>
      </c>
      <c r="AB23" s="331"/>
      <c r="AE23" s="302"/>
      <c r="AF23" s="302"/>
      <c r="AG23" s="302"/>
      <c r="AH23" s="302"/>
      <c r="AI23" s="302"/>
      <c r="AJ23" s="320" t="s">
        <v>64</v>
      </c>
      <c r="AK23" s="311"/>
      <c r="AL23" s="311"/>
      <c r="AM23" s="311"/>
      <c r="AN23" s="1127">
        <f>SUMIF(Admin3!C8:O8,AR!BE5,Admin3!C274:O274)</f>
        <v>0</v>
      </c>
      <c r="AO23" s="1127"/>
      <c r="AP23" s="1127"/>
      <c r="AQ23" s="1127"/>
      <c r="AR23" s="311"/>
      <c r="AS23" s="311"/>
      <c r="AT23" s="311"/>
      <c r="AU23" s="1127">
        <f>SUMIF(Admin3!C8:O8,AR!BE5,Admin3!C278:O278)-SUMIF(Admin3!C8:O8,AR!BE5,Admin3!C274:O274)</f>
        <v>0</v>
      </c>
      <c r="AV23" s="1127"/>
      <c r="AW23" s="1127"/>
      <c r="AX23" s="1127"/>
      <c r="AY23" s="311"/>
      <c r="AZ23" s="311"/>
      <c r="BA23" s="311"/>
      <c r="BB23" s="1127">
        <f>SUMIF(Admin3!C8:O8,AR!BE5,Admin3!C282:O282)-SUMIF(Admin3!C8:O8,AR!BE5,Admin3!C274:O274)</f>
        <v>0</v>
      </c>
      <c r="BC23" s="1127"/>
      <c r="BD23" s="1127"/>
      <c r="BE23" s="1127"/>
    </row>
    <row r="24" spans="2:57" ht="14.65" customHeight="1" thickTop="1" thickBot="1">
      <c r="B24" s="267"/>
      <c r="C24" s="267"/>
      <c r="D24" s="267"/>
      <c r="E24" s="312"/>
      <c r="F24" s="326"/>
      <c r="H24" s="326"/>
      <c r="I24" s="96"/>
      <c r="J24" s="96"/>
      <c r="K24" s="326"/>
      <c r="L24" s="326"/>
      <c r="U24" s="326"/>
      <c r="V24" s="326"/>
      <c r="W24" s="326"/>
      <c r="X24" s="239"/>
      <c r="Y24" s="239"/>
      <c r="Z24" s="240"/>
      <c r="AA24" s="239"/>
      <c r="AB24" s="241"/>
      <c r="AE24" s="302"/>
      <c r="AF24" s="302"/>
      <c r="AG24" s="302"/>
      <c r="AH24" s="302"/>
      <c r="AI24" s="302"/>
      <c r="AJ24" s="320" t="s">
        <v>65</v>
      </c>
      <c r="AK24" s="311"/>
      <c r="AL24" s="311"/>
      <c r="AM24" s="311"/>
      <c r="AN24" s="1152">
        <f>SUM(AN22:AQ23)</f>
        <v>0</v>
      </c>
      <c r="AO24" s="1152"/>
      <c r="AP24" s="1152"/>
      <c r="AQ24" s="1152"/>
      <c r="AR24" s="311"/>
      <c r="AS24" s="311"/>
      <c r="AT24" s="311"/>
      <c r="AU24" s="1152">
        <f>SUM(AU22:AX23)</f>
        <v>0</v>
      </c>
      <c r="AV24" s="1152"/>
      <c r="AW24" s="1152"/>
      <c r="AX24" s="1152"/>
      <c r="AY24" s="311"/>
      <c r="AZ24" s="311"/>
      <c r="BA24" s="311"/>
      <c r="BB24" s="1152">
        <f>SUM(BB22:BE23)</f>
        <v>0</v>
      </c>
      <c r="BC24" s="1152"/>
      <c r="BD24" s="1152"/>
      <c r="BE24" s="1152"/>
    </row>
    <row r="25" spans="2:57" ht="14.65" customHeight="1" thickTop="1">
      <c r="B25" s="267"/>
      <c r="C25" s="267"/>
      <c r="D25" s="267"/>
      <c r="E25" s="312"/>
      <c r="F25" s="326"/>
      <c r="G25" s="95">
        <f>G26-SUM($G$16:$G$17)</f>
        <v>0</v>
      </c>
      <c r="H25" s="326"/>
      <c r="I25" s="96" t="str">
        <f>IF(G25&lt;&gt;0,"There is a variance in reported ending EEs.","")</f>
        <v/>
      </c>
      <c r="J25" s="96"/>
      <c r="K25" s="326"/>
      <c r="L25" s="326"/>
      <c r="U25" s="326"/>
      <c r="V25" s="326"/>
      <c r="W25" s="326"/>
      <c r="X25" s="326"/>
      <c r="Y25" s="326"/>
      <c r="Z25" s="320"/>
      <c r="AA25" s="326"/>
      <c r="AB25" s="332"/>
      <c r="AE25" s="302"/>
      <c r="AF25" s="302"/>
      <c r="AG25" s="302"/>
      <c r="AH25" s="302"/>
      <c r="AI25" s="302"/>
      <c r="AJ25" s="320"/>
      <c r="AK25" s="311"/>
      <c r="AL25" s="311"/>
      <c r="AM25" s="311"/>
      <c r="AN25" s="333"/>
      <c r="AO25" s="333"/>
      <c r="AP25" s="333"/>
      <c r="AQ25" s="333"/>
      <c r="AR25" s="311"/>
      <c r="AS25" s="311"/>
      <c r="AT25" s="311"/>
      <c r="AU25" s="333"/>
      <c r="AV25" s="333"/>
      <c r="AW25" s="333"/>
      <c r="AX25" s="333"/>
      <c r="AY25" s="311"/>
      <c r="AZ25" s="311"/>
      <c r="BA25" s="311"/>
      <c r="BB25" s="333"/>
      <c r="BC25" s="333"/>
      <c r="BD25" s="333"/>
      <c r="BE25" s="333"/>
    </row>
    <row r="26" spans="2:57" ht="14.65" customHeight="1">
      <c r="B26" s="267"/>
      <c r="C26" s="267"/>
      <c r="D26" s="267"/>
      <c r="E26" s="312"/>
      <c r="F26" s="326"/>
      <c r="G26" s="95">
        <f t="array" ref="G26">SUM(IF((Admin2!$C$6:$O$6=$BE$5)*(Admin2!$Q$9:$Q$83=$BI$2)*(Admin2!$B$9:$B$83="Ending EEs"),Admin2!$C$9:$O$83,0))</f>
        <v>7</v>
      </c>
      <c r="H26" s="326"/>
      <c r="I26" s="96" t="str">
        <f>IF(G26&lt;&gt;0,"Ending headcount per Kronos/HCMS.","")</f>
        <v>Ending headcount per Kronos/HCMS.</v>
      </c>
      <c r="J26" s="96"/>
      <c r="K26" s="326"/>
      <c r="L26" s="326"/>
      <c r="U26" s="326"/>
      <c r="V26" s="326"/>
      <c r="W26" s="326"/>
      <c r="X26" s="326"/>
      <c r="Y26" s="326"/>
      <c r="Z26" s="320"/>
      <c r="AA26" s="326"/>
      <c r="AB26" s="332"/>
      <c r="AE26" s="302"/>
      <c r="AF26" s="302"/>
      <c r="AG26" s="302"/>
      <c r="AH26" s="302"/>
      <c r="AI26" s="302"/>
      <c r="AJ26" s="320"/>
      <c r="AK26" s="311"/>
      <c r="AL26" s="311"/>
      <c r="AM26" s="311"/>
      <c r="AN26" s="333"/>
      <c r="AO26" s="333"/>
      <c r="AP26" s="333"/>
      <c r="AQ26" s="333"/>
      <c r="AR26" s="311"/>
      <c r="AS26" s="311"/>
      <c r="AT26" s="311"/>
      <c r="AU26" s="333"/>
      <c r="AV26" s="333"/>
      <c r="AW26" s="333"/>
      <c r="AX26" s="333"/>
      <c r="AY26" s="311"/>
      <c r="AZ26" s="311"/>
      <c r="BA26" s="311"/>
      <c r="BB26" s="333"/>
      <c r="BC26" s="333"/>
      <c r="BD26" s="333"/>
      <c r="BE26" s="333"/>
    </row>
    <row r="27" spans="2:57" ht="14.65" customHeight="1">
      <c r="B27" s="267"/>
      <c r="C27" s="267"/>
      <c r="D27" s="267"/>
      <c r="E27" s="312"/>
      <c r="F27" s="326"/>
      <c r="G27" s="312"/>
      <c r="H27" s="312"/>
      <c r="I27" s="312"/>
      <c r="J27" s="312"/>
      <c r="K27" s="326"/>
      <c r="L27" s="326"/>
      <c r="U27" s="326"/>
      <c r="V27" s="326"/>
      <c r="W27" s="326"/>
      <c r="X27" s="326"/>
      <c r="Y27" s="326"/>
      <c r="Z27" s="320"/>
      <c r="AA27" s="326"/>
      <c r="AB27" s="332"/>
      <c r="AE27" s="302"/>
      <c r="AF27" s="302"/>
      <c r="AG27" s="302"/>
      <c r="AH27" s="302"/>
      <c r="AI27" s="302"/>
      <c r="AJ27" s="320"/>
      <c r="AK27" s="311"/>
      <c r="AL27" s="311"/>
      <c r="AM27" s="311"/>
      <c r="AN27" s="333"/>
      <c r="AO27" s="333"/>
      <c r="AP27" s="333"/>
      <c r="AQ27" s="333"/>
      <c r="AR27" s="311"/>
      <c r="AS27" s="311"/>
      <c r="AT27" s="311"/>
      <c r="AU27" s="333"/>
      <c r="AV27" s="333"/>
      <c r="AW27" s="333"/>
      <c r="AX27" s="333"/>
      <c r="AY27" s="311"/>
      <c r="AZ27" s="311"/>
      <c r="BA27" s="311"/>
      <c r="BB27" s="333"/>
      <c r="BC27" s="333"/>
      <c r="BD27" s="333"/>
      <c r="BE27" s="333"/>
    </row>
    <row r="28" spans="2:57" ht="14.65" customHeight="1">
      <c r="B28" s="267" t="s">
        <v>242</v>
      </c>
      <c r="C28" s="267"/>
      <c r="D28" s="267"/>
      <c r="E28" s="334"/>
      <c r="F28" s="326"/>
      <c r="G28" s="326"/>
      <c r="H28" s="326"/>
      <c r="I28" s="326"/>
      <c r="J28" s="326"/>
      <c r="K28" s="326"/>
      <c r="L28" s="326"/>
      <c r="M28" s="326"/>
      <c r="N28" s="326"/>
      <c r="O28" s="326"/>
      <c r="P28" s="326"/>
      <c r="Q28" s="326"/>
      <c r="R28" s="326"/>
      <c r="S28" s="326"/>
      <c r="T28" s="326"/>
      <c r="U28" s="326"/>
      <c r="V28" s="326"/>
      <c r="W28" s="326"/>
      <c r="X28" s="326"/>
      <c r="Y28" s="326"/>
      <c r="Z28" s="326"/>
      <c r="AA28" s="326"/>
      <c r="AB28" s="326"/>
      <c r="AE28" s="267" t="s">
        <v>242</v>
      </c>
      <c r="AF28" s="267"/>
      <c r="AG28" s="267"/>
      <c r="AH28" s="334"/>
      <c r="AI28" s="326"/>
      <c r="AJ28" s="326"/>
      <c r="AK28" s="326"/>
      <c r="AL28" s="326"/>
      <c r="AM28" s="326"/>
      <c r="AN28" s="326"/>
      <c r="AO28" s="326"/>
      <c r="AP28" s="326"/>
      <c r="AQ28" s="326"/>
      <c r="AR28" s="326"/>
      <c r="AS28" s="326"/>
      <c r="AT28" s="326"/>
      <c r="AU28" s="326"/>
      <c r="AV28" s="326"/>
      <c r="AW28" s="326"/>
      <c r="AX28" s="326"/>
      <c r="AY28" s="326"/>
      <c r="AZ28" s="326"/>
      <c r="BA28" s="326"/>
      <c r="BB28" s="326"/>
      <c r="BC28" s="326"/>
      <c r="BD28" s="326"/>
      <c r="BE28" s="326"/>
    </row>
    <row r="29" spans="2:57" ht="14.65" customHeight="1">
      <c r="B29" s="1137"/>
      <c r="C29" s="1138"/>
      <c r="D29" s="1138"/>
      <c r="E29" s="1138"/>
      <c r="F29" s="1138"/>
      <c r="G29" s="1138"/>
      <c r="H29" s="1138"/>
      <c r="I29" s="1138"/>
      <c r="J29" s="1138"/>
      <c r="K29" s="1138"/>
      <c r="L29" s="1138"/>
      <c r="M29" s="1138"/>
      <c r="N29" s="1138"/>
      <c r="O29" s="1138"/>
      <c r="P29" s="1138"/>
      <c r="Q29" s="1138"/>
      <c r="R29" s="1138"/>
      <c r="S29" s="1138"/>
      <c r="T29" s="1138"/>
      <c r="U29" s="1138"/>
      <c r="V29" s="1138"/>
      <c r="W29" s="1138"/>
      <c r="X29" s="1138"/>
      <c r="Y29" s="1138"/>
      <c r="Z29" s="1138"/>
      <c r="AA29" s="1138"/>
      <c r="AB29" s="1139"/>
      <c r="AE29" s="1191"/>
      <c r="AF29" s="1138"/>
      <c r="AG29" s="1138"/>
      <c r="AH29" s="1138"/>
      <c r="AI29" s="1138"/>
      <c r="AJ29" s="1138"/>
      <c r="AK29" s="1138"/>
      <c r="AL29" s="1138"/>
      <c r="AM29" s="1138"/>
      <c r="AN29" s="1138"/>
      <c r="AO29" s="1138"/>
      <c r="AP29" s="1138"/>
      <c r="AQ29" s="1138"/>
      <c r="AR29" s="1138"/>
      <c r="AS29" s="1138"/>
      <c r="AT29" s="1138"/>
      <c r="AU29" s="1138"/>
      <c r="AV29" s="1138"/>
      <c r="AW29" s="1138"/>
      <c r="AX29" s="1138"/>
      <c r="AY29" s="1138"/>
      <c r="AZ29" s="1138"/>
      <c r="BA29" s="1138"/>
      <c r="BB29" s="1138"/>
      <c r="BC29" s="1138"/>
      <c r="BD29" s="1138"/>
      <c r="BE29" s="1139"/>
    </row>
    <row r="30" spans="2:57" ht="14.25" customHeight="1">
      <c r="B30" s="1140"/>
      <c r="C30" s="1141"/>
      <c r="D30" s="1141"/>
      <c r="E30" s="1141"/>
      <c r="F30" s="1141"/>
      <c r="G30" s="1141"/>
      <c r="H30" s="1141"/>
      <c r="I30" s="1141"/>
      <c r="J30" s="1141"/>
      <c r="K30" s="1141"/>
      <c r="L30" s="1141"/>
      <c r="M30" s="1141"/>
      <c r="N30" s="1141"/>
      <c r="O30" s="1141"/>
      <c r="P30" s="1141"/>
      <c r="Q30" s="1141"/>
      <c r="R30" s="1141"/>
      <c r="S30" s="1141"/>
      <c r="T30" s="1141"/>
      <c r="U30" s="1141"/>
      <c r="V30" s="1141"/>
      <c r="W30" s="1141"/>
      <c r="X30" s="1141"/>
      <c r="Y30" s="1141"/>
      <c r="Z30" s="1141"/>
      <c r="AA30" s="1141"/>
      <c r="AB30" s="1142"/>
      <c r="AE30" s="1140"/>
      <c r="AF30" s="1141"/>
      <c r="AG30" s="1141"/>
      <c r="AH30" s="1141"/>
      <c r="AI30" s="1141"/>
      <c r="AJ30" s="1141"/>
      <c r="AK30" s="1141"/>
      <c r="AL30" s="1141"/>
      <c r="AM30" s="1141"/>
      <c r="AN30" s="1141"/>
      <c r="AO30" s="1141"/>
      <c r="AP30" s="1141"/>
      <c r="AQ30" s="1141"/>
      <c r="AR30" s="1141"/>
      <c r="AS30" s="1141"/>
      <c r="AT30" s="1141"/>
      <c r="AU30" s="1141"/>
      <c r="AV30" s="1141"/>
      <c r="AW30" s="1141"/>
      <c r="AX30" s="1141"/>
      <c r="AY30" s="1141"/>
      <c r="AZ30" s="1141"/>
      <c r="BA30" s="1141"/>
      <c r="BB30" s="1141"/>
      <c r="BC30" s="1141"/>
      <c r="BD30" s="1141"/>
      <c r="BE30" s="1142"/>
    </row>
    <row r="31" spans="2:57" ht="12.75" customHeight="1">
      <c r="B31" s="1140"/>
      <c r="C31" s="1141"/>
      <c r="D31" s="1141"/>
      <c r="E31" s="1141"/>
      <c r="F31" s="1141"/>
      <c r="G31" s="1141"/>
      <c r="H31" s="1141"/>
      <c r="I31" s="1141"/>
      <c r="J31" s="1141"/>
      <c r="K31" s="1141"/>
      <c r="L31" s="1141"/>
      <c r="M31" s="1141"/>
      <c r="N31" s="1141"/>
      <c r="O31" s="1141"/>
      <c r="P31" s="1141"/>
      <c r="Q31" s="1141"/>
      <c r="R31" s="1141"/>
      <c r="S31" s="1141"/>
      <c r="T31" s="1141"/>
      <c r="U31" s="1141"/>
      <c r="V31" s="1141"/>
      <c r="W31" s="1141"/>
      <c r="X31" s="1141"/>
      <c r="Y31" s="1141"/>
      <c r="Z31" s="1141"/>
      <c r="AA31" s="1141"/>
      <c r="AB31" s="1142"/>
      <c r="AE31" s="1140"/>
      <c r="AF31" s="1141"/>
      <c r="AG31" s="1141"/>
      <c r="AH31" s="1141"/>
      <c r="AI31" s="1141"/>
      <c r="AJ31" s="1141"/>
      <c r="AK31" s="1141"/>
      <c r="AL31" s="1141"/>
      <c r="AM31" s="1141"/>
      <c r="AN31" s="1141"/>
      <c r="AO31" s="1141"/>
      <c r="AP31" s="1141"/>
      <c r="AQ31" s="1141"/>
      <c r="AR31" s="1141"/>
      <c r="AS31" s="1141"/>
      <c r="AT31" s="1141"/>
      <c r="AU31" s="1141"/>
      <c r="AV31" s="1141"/>
      <c r="AW31" s="1141"/>
      <c r="AX31" s="1141"/>
      <c r="AY31" s="1141"/>
      <c r="AZ31" s="1141"/>
      <c r="BA31" s="1141"/>
      <c r="BB31" s="1141"/>
      <c r="BC31" s="1141"/>
      <c r="BD31" s="1141"/>
      <c r="BE31" s="1142"/>
    </row>
    <row r="32" spans="2:57" ht="14.65" customHeight="1">
      <c r="B32" s="1143"/>
      <c r="C32" s="1144"/>
      <c r="D32" s="1144"/>
      <c r="E32" s="1144"/>
      <c r="F32" s="1144"/>
      <c r="G32" s="1144"/>
      <c r="H32" s="1144"/>
      <c r="I32" s="1144"/>
      <c r="J32" s="1144"/>
      <c r="K32" s="1144"/>
      <c r="L32" s="1144"/>
      <c r="M32" s="1144"/>
      <c r="N32" s="1144"/>
      <c r="O32" s="1144"/>
      <c r="P32" s="1144"/>
      <c r="Q32" s="1144"/>
      <c r="R32" s="1144"/>
      <c r="S32" s="1144"/>
      <c r="T32" s="1144"/>
      <c r="U32" s="1144"/>
      <c r="V32" s="1144"/>
      <c r="W32" s="1144"/>
      <c r="X32" s="1144"/>
      <c r="Y32" s="1144"/>
      <c r="Z32" s="1144"/>
      <c r="AA32" s="1144"/>
      <c r="AB32" s="1145"/>
      <c r="AE32" s="1143"/>
      <c r="AF32" s="1144"/>
      <c r="AG32" s="1144"/>
      <c r="AH32" s="1144"/>
      <c r="AI32" s="1144"/>
      <c r="AJ32" s="1144"/>
      <c r="AK32" s="1144"/>
      <c r="AL32" s="1144"/>
      <c r="AM32" s="1144"/>
      <c r="AN32" s="1144"/>
      <c r="AO32" s="1144"/>
      <c r="AP32" s="1144"/>
      <c r="AQ32" s="1144"/>
      <c r="AR32" s="1144"/>
      <c r="AS32" s="1144"/>
      <c r="AT32" s="1144"/>
      <c r="AU32" s="1144"/>
      <c r="AV32" s="1144"/>
      <c r="AW32" s="1144"/>
      <c r="AX32" s="1144"/>
      <c r="AY32" s="1144"/>
      <c r="AZ32" s="1144"/>
      <c r="BA32" s="1144"/>
      <c r="BB32" s="1144"/>
      <c r="BC32" s="1144"/>
      <c r="BD32" s="1144"/>
      <c r="BE32" s="1145"/>
    </row>
    <row r="33" spans="2:57" ht="17.25" customHeight="1"/>
    <row r="34" spans="2:57" ht="17.25" hidden="1" customHeight="1">
      <c r="B34" s="1372" t="s">
        <v>430</v>
      </c>
      <c r="C34" s="1372"/>
      <c r="D34" s="1372"/>
      <c r="E34" s="1372"/>
      <c r="F34" s="1372"/>
      <c r="G34" s="1372"/>
      <c r="H34" s="1372"/>
      <c r="I34" s="1372"/>
      <c r="J34" s="1372"/>
      <c r="K34" s="1372"/>
      <c r="L34" s="1372"/>
      <c r="M34" s="1372"/>
      <c r="N34" s="1372"/>
      <c r="O34" s="1372"/>
      <c r="P34" s="1372"/>
      <c r="Q34" s="1372"/>
      <c r="R34" s="1372"/>
      <c r="S34" s="1372"/>
      <c r="T34" s="1372"/>
      <c r="U34" s="1372"/>
      <c r="V34" s="1372"/>
      <c r="W34" s="1372"/>
      <c r="X34" s="1372"/>
      <c r="Y34" s="1372"/>
      <c r="Z34" s="1372"/>
      <c r="AA34" s="1372"/>
      <c r="AB34" s="1372"/>
      <c r="AC34" s="1372"/>
      <c r="AD34" s="1372"/>
      <c r="AE34" s="1372"/>
      <c r="AF34" s="1372"/>
      <c r="AG34" s="1372"/>
      <c r="AH34" s="1372"/>
      <c r="AI34" s="1372"/>
      <c r="AJ34" s="1372"/>
      <c r="AK34" s="1372"/>
      <c r="AL34" s="1372"/>
      <c r="AM34" s="1372"/>
      <c r="AN34" s="1372"/>
      <c r="AO34" s="1372"/>
      <c r="AP34" s="1372"/>
      <c r="AQ34" s="1372"/>
      <c r="AR34" s="1372"/>
      <c r="AS34" s="1372"/>
      <c r="AT34" s="1372"/>
      <c r="AU34" s="1372"/>
      <c r="AV34" s="1372"/>
      <c r="AW34" s="1372"/>
      <c r="AX34" s="1372"/>
      <c r="AY34" s="1372"/>
      <c r="AZ34" s="1372"/>
      <c r="BA34" s="1372"/>
      <c r="BB34" s="1372"/>
      <c r="BC34" s="1372"/>
      <c r="BD34" s="1372"/>
      <c r="BE34" s="1372"/>
    </row>
    <row r="35" spans="2:57" ht="37.5" hidden="1" customHeight="1">
      <c r="B35" s="1355" t="s">
        <v>431</v>
      </c>
      <c r="C35" s="1355"/>
      <c r="D35" s="1355"/>
      <c r="E35" s="1355"/>
      <c r="F35" s="1355"/>
      <c r="G35" s="1355"/>
      <c r="H35" s="1355"/>
      <c r="I35" s="1355"/>
      <c r="J35" s="1355"/>
      <c r="K35" s="1355"/>
      <c r="L35" s="1355"/>
      <c r="M35" s="1354" t="s">
        <v>432</v>
      </c>
      <c r="N35" s="1354"/>
      <c r="O35" s="1354"/>
      <c r="P35" s="1354"/>
      <c r="Q35" s="1354"/>
      <c r="R35" s="1354"/>
      <c r="S35" s="1354"/>
      <c r="T35" s="1354"/>
      <c r="U35" s="1354"/>
      <c r="V35" s="1354"/>
      <c r="W35" s="1354" t="s">
        <v>433</v>
      </c>
      <c r="X35" s="1354"/>
      <c r="Y35" s="1354"/>
      <c r="Z35" s="1354"/>
      <c r="AA35" s="1354"/>
      <c r="AB35" s="1354"/>
      <c r="AC35" s="1354"/>
      <c r="AD35" s="1354"/>
      <c r="AE35" s="1354"/>
      <c r="AF35" s="1354"/>
      <c r="AG35" s="1354" t="s">
        <v>434</v>
      </c>
      <c r="AH35" s="1354"/>
      <c r="AI35" s="1354"/>
      <c r="AJ35" s="1354"/>
      <c r="AK35" s="1354"/>
      <c r="AL35" s="1354"/>
      <c r="AM35" s="1354"/>
      <c r="AN35" s="1354"/>
      <c r="AO35" s="1354"/>
      <c r="AP35" s="1354"/>
      <c r="AQ35" s="1355" t="s">
        <v>435</v>
      </c>
      <c r="AR35" s="1355"/>
      <c r="AS35" s="1355"/>
      <c r="AT35" s="1355"/>
      <c r="AU35" s="1355"/>
      <c r="AV35" s="1356" t="s">
        <v>436</v>
      </c>
      <c r="AW35" s="1357"/>
      <c r="AX35" s="1357"/>
      <c r="AY35" s="1357"/>
      <c r="AZ35" s="1358"/>
      <c r="BA35" s="1356" t="s">
        <v>437</v>
      </c>
      <c r="BB35" s="1357"/>
      <c r="BC35" s="1357"/>
      <c r="BD35" s="1357"/>
      <c r="BE35" s="1358"/>
    </row>
    <row r="36" spans="2:57" ht="36" hidden="1" customHeight="1">
      <c r="B36" s="1369"/>
      <c r="C36" s="1370"/>
      <c r="D36" s="1370"/>
      <c r="E36" s="1370"/>
      <c r="F36" s="1370"/>
      <c r="G36" s="1370"/>
      <c r="H36" s="1370"/>
      <c r="I36" s="1370"/>
      <c r="J36" s="1370"/>
      <c r="K36" s="1370"/>
      <c r="L36" s="1371"/>
      <c r="M36" s="1291"/>
      <c r="N36" s="1292"/>
      <c r="O36" s="1292"/>
      <c r="P36" s="1292"/>
      <c r="Q36" s="1292"/>
      <c r="R36" s="1292"/>
      <c r="S36" s="1292"/>
      <c r="T36" s="1292"/>
      <c r="U36" s="1292"/>
      <c r="V36" s="1293"/>
      <c r="W36" s="1291"/>
      <c r="X36" s="1292"/>
      <c r="Y36" s="1292"/>
      <c r="Z36" s="1292"/>
      <c r="AA36" s="1292"/>
      <c r="AB36" s="1292"/>
      <c r="AC36" s="1292"/>
      <c r="AD36" s="1292"/>
      <c r="AE36" s="1292"/>
      <c r="AF36" s="1293"/>
      <c r="AG36" s="1348"/>
      <c r="AH36" s="1349"/>
      <c r="AI36" s="1349"/>
      <c r="AJ36" s="1349"/>
      <c r="AK36" s="1349"/>
      <c r="AL36" s="1349"/>
      <c r="AM36" s="1349"/>
      <c r="AN36" s="1349"/>
      <c r="AO36" s="1349"/>
      <c r="AP36" s="1350"/>
      <c r="AQ36" s="1391"/>
      <c r="AR36" s="1392"/>
      <c r="AS36" s="1392"/>
      <c r="AT36" s="1392"/>
      <c r="AU36" s="1393"/>
      <c r="AV36" s="1394"/>
      <c r="AW36" s="1395"/>
      <c r="AX36" s="1395"/>
      <c r="AY36" s="1395"/>
      <c r="AZ36" s="1396"/>
      <c r="BA36" s="1397"/>
      <c r="BB36" s="1398"/>
      <c r="BC36" s="1398"/>
      <c r="BD36" s="1398"/>
      <c r="BE36" s="1398"/>
    </row>
    <row r="37" spans="2:57" ht="17.25" hidden="1" customHeight="1"/>
    <row r="38" spans="2:57" ht="46.9" hidden="1" customHeight="1">
      <c r="B38" s="301" t="s">
        <v>438</v>
      </c>
      <c r="C38" s="335"/>
      <c r="D38" s="38"/>
      <c r="E38" s="38"/>
      <c r="F38" s="38"/>
      <c r="G38" s="38"/>
      <c r="H38" s="38"/>
      <c r="I38" s="38"/>
      <c r="J38" s="38"/>
      <c r="K38" s="38"/>
      <c r="L38" s="38"/>
      <c r="M38" s="38"/>
      <c r="N38" s="38"/>
      <c r="O38" s="38"/>
      <c r="P38" s="38"/>
      <c r="Q38" s="38"/>
      <c r="R38" s="38"/>
      <c r="S38" s="38"/>
      <c r="T38" s="38"/>
      <c r="U38" s="38"/>
      <c r="V38" s="335"/>
      <c r="W38" s="335"/>
      <c r="X38" s="335"/>
      <c r="Y38" s="38"/>
      <c r="Z38" s="38"/>
      <c r="AA38" s="38"/>
      <c r="AB38" s="38"/>
      <c r="AC38" s="38"/>
      <c r="AD38" s="389"/>
      <c r="AE38" s="335"/>
      <c r="AF38" s="335"/>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row>
    <row r="39" spans="2:57" ht="14.65" hidden="1" customHeight="1">
      <c r="B39" s="1351" t="s">
        <v>439</v>
      </c>
      <c r="C39" s="1352"/>
      <c r="D39" s="1352"/>
      <c r="E39" s="1352"/>
      <c r="F39" s="1352"/>
      <c r="G39" s="1352"/>
      <c r="H39" s="1352"/>
      <c r="I39" s="1352"/>
      <c r="J39" s="1352"/>
      <c r="K39" s="1352"/>
      <c r="L39" s="1353"/>
      <c r="M39" s="1351" t="s">
        <v>440</v>
      </c>
      <c r="N39" s="1352"/>
      <c r="O39" s="1352"/>
      <c r="P39" s="1352"/>
      <c r="Q39" s="1352"/>
      <c r="R39" s="1352"/>
      <c r="S39" s="1352"/>
      <c r="T39" s="1352"/>
      <c r="U39" s="1352"/>
      <c r="V39" s="1352"/>
      <c r="W39" s="1351" t="s">
        <v>441</v>
      </c>
      <c r="X39" s="1352"/>
      <c r="Y39" s="1352"/>
      <c r="Z39" s="1352"/>
      <c r="AA39" s="1353"/>
      <c r="AB39" s="1351" t="s">
        <v>442</v>
      </c>
      <c r="AC39" s="1352"/>
      <c r="AD39" s="1352"/>
      <c r="AE39" s="1352"/>
      <c r="AF39" s="1353"/>
      <c r="AG39" s="1351" t="s">
        <v>201</v>
      </c>
      <c r="AH39" s="1352"/>
      <c r="AI39" s="1352"/>
      <c r="AJ39" s="1352"/>
      <c r="AK39" s="1352"/>
      <c r="AL39" s="1352"/>
      <c r="AM39" s="1352"/>
      <c r="AN39" s="1352"/>
      <c r="AO39" s="1352"/>
      <c r="AP39" s="1352"/>
      <c r="AQ39" s="1352"/>
      <c r="AR39" s="1352"/>
      <c r="AS39" s="1352"/>
      <c r="AT39" s="1352"/>
      <c r="AU39" s="1352"/>
      <c r="AV39" s="1352"/>
      <c r="AW39" s="1352"/>
      <c r="AX39" s="1352"/>
      <c r="AY39" s="1352"/>
      <c r="AZ39" s="1352"/>
      <c r="BA39" s="1352"/>
      <c r="BB39" s="1352"/>
      <c r="BC39" s="1352"/>
      <c r="BD39" s="1352"/>
      <c r="BE39" s="1353"/>
    </row>
    <row r="40" spans="2:57" ht="34.5" hidden="1" customHeight="1">
      <c r="B40" s="1211" t="s">
        <v>443</v>
      </c>
      <c r="C40" s="1212"/>
      <c r="D40" s="1212"/>
      <c r="E40" s="1212"/>
      <c r="F40" s="1212"/>
      <c r="G40" s="1212"/>
      <c r="H40" s="1212"/>
      <c r="I40" s="1212"/>
      <c r="J40" s="1212"/>
      <c r="K40" s="1212"/>
      <c r="L40" s="1213"/>
      <c r="M40" s="1379" t="s">
        <v>444</v>
      </c>
      <c r="N40" s="1380"/>
      <c r="O40" s="1380"/>
      <c r="P40" s="1380"/>
      <c r="Q40" s="1380"/>
      <c r="R40" s="1380"/>
      <c r="S40" s="1380"/>
      <c r="T40" s="1380"/>
      <c r="U40" s="1380"/>
      <c r="V40" s="1381"/>
      <c r="W40" s="1382">
        <v>43861</v>
      </c>
      <c r="X40" s="1383"/>
      <c r="Y40" s="1383"/>
      <c r="Z40" s="1383"/>
      <c r="AA40" s="1384"/>
      <c r="AB40" s="1385" t="s">
        <v>445</v>
      </c>
      <c r="AC40" s="1386"/>
      <c r="AD40" s="1386"/>
      <c r="AE40" s="1386"/>
      <c r="AF40" s="1387"/>
      <c r="AG40" s="1291"/>
      <c r="AH40" s="1292"/>
      <c r="AI40" s="1292"/>
      <c r="AJ40" s="1292"/>
      <c r="AK40" s="1292"/>
      <c r="AL40" s="1292"/>
      <c r="AM40" s="1292"/>
      <c r="AN40" s="1292"/>
      <c r="AO40" s="1292"/>
      <c r="AP40" s="1292"/>
      <c r="AQ40" s="1292"/>
      <c r="AR40" s="1292"/>
      <c r="AS40" s="1292"/>
      <c r="AT40" s="1292"/>
      <c r="AU40" s="1292"/>
      <c r="AV40" s="1292"/>
      <c r="AW40" s="1292"/>
      <c r="AX40" s="1292"/>
      <c r="AY40" s="1292"/>
      <c r="AZ40" s="1292"/>
      <c r="BA40" s="1292"/>
      <c r="BB40" s="1292"/>
      <c r="BC40" s="1292"/>
      <c r="BD40" s="1292"/>
      <c r="BE40" s="1293"/>
    </row>
    <row r="41" spans="2:57" ht="34.5" hidden="1" customHeight="1">
      <c r="B41" s="1259" t="s">
        <v>438</v>
      </c>
      <c r="C41" s="1260"/>
      <c r="D41" s="1260"/>
      <c r="E41" s="1260"/>
      <c r="F41" s="1260"/>
      <c r="G41" s="1260"/>
      <c r="H41" s="1260"/>
      <c r="I41" s="1260"/>
      <c r="J41" s="1260"/>
      <c r="K41" s="1260"/>
      <c r="L41" s="1261"/>
      <c r="M41" s="1282" t="s">
        <v>446</v>
      </c>
      <c r="N41" s="1283"/>
      <c r="O41" s="1283"/>
      <c r="P41" s="1283"/>
      <c r="Q41" s="1283"/>
      <c r="R41" s="1283"/>
      <c r="S41" s="1283"/>
      <c r="T41" s="1283"/>
      <c r="U41" s="1283"/>
      <c r="V41" s="1284"/>
      <c r="W41" s="1376">
        <v>43830</v>
      </c>
      <c r="X41" s="1377"/>
      <c r="Y41" s="1377"/>
      <c r="Z41" s="1377"/>
      <c r="AA41" s="1378"/>
      <c r="AB41" s="1373" t="s">
        <v>445</v>
      </c>
      <c r="AC41" s="1374"/>
      <c r="AD41" s="1374"/>
      <c r="AE41" s="1374"/>
      <c r="AF41" s="1375"/>
      <c r="AG41" s="1182"/>
      <c r="AH41" s="1283"/>
      <c r="AI41" s="1283"/>
      <c r="AJ41" s="1283"/>
      <c r="AK41" s="1283"/>
      <c r="AL41" s="1283"/>
      <c r="AM41" s="1283"/>
      <c r="AN41" s="1283"/>
      <c r="AO41" s="1283"/>
      <c r="AP41" s="1283"/>
      <c r="AQ41" s="1283"/>
      <c r="AR41" s="1283"/>
      <c r="AS41" s="1283"/>
      <c r="AT41" s="1283"/>
      <c r="AU41" s="1283"/>
      <c r="AV41" s="1283"/>
      <c r="AW41" s="1283"/>
      <c r="AX41" s="1283"/>
      <c r="AY41" s="1283"/>
      <c r="AZ41" s="1283"/>
      <c r="BA41" s="1283"/>
      <c r="BB41" s="1283"/>
      <c r="BC41" s="1283"/>
      <c r="BD41" s="1283"/>
      <c r="BE41" s="1284"/>
    </row>
    <row r="42" spans="2:57" ht="46.9" hidden="1" customHeight="1">
      <c r="B42" s="1268" t="s">
        <v>447</v>
      </c>
      <c r="C42" s="1269"/>
      <c r="D42" s="1269"/>
      <c r="E42" s="1269"/>
      <c r="F42" s="1269"/>
      <c r="G42" s="1269"/>
      <c r="H42" s="1269"/>
      <c r="I42" s="1269"/>
      <c r="J42" s="1269"/>
      <c r="K42" s="1269"/>
      <c r="L42" s="1270"/>
      <c r="M42" s="1271" t="s">
        <v>448</v>
      </c>
      <c r="N42" s="1272"/>
      <c r="O42" s="1272"/>
      <c r="P42" s="1272"/>
      <c r="Q42" s="1272"/>
      <c r="R42" s="1272"/>
      <c r="S42" s="1272"/>
      <c r="T42" s="1272"/>
      <c r="U42" s="1272"/>
      <c r="V42" s="1273"/>
      <c r="W42" s="1388">
        <v>43921</v>
      </c>
      <c r="X42" s="1389"/>
      <c r="Y42" s="1389"/>
      <c r="Z42" s="1389"/>
      <c r="AA42" s="1390"/>
      <c r="AB42" s="1385" t="s">
        <v>445</v>
      </c>
      <c r="AC42" s="1386"/>
      <c r="AD42" s="1386"/>
      <c r="AE42" s="1386"/>
      <c r="AF42" s="1387"/>
      <c r="AG42" s="1271"/>
      <c r="AH42" s="1272"/>
      <c r="AI42" s="1272"/>
      <c r="AJ42" s="1272"/>
      <c r="AK42" s="1272"/>
      <c r="AL42" s="1272"/>
      <c r="AM42" s="1272"/>
      <c r="AN42" s="1272"/>
      <c r="AO42" s="1272"/>
      <c r="AP42" s="1272"/>
      <c r="AQ42" s="1272"/>
      <c r="AR42" s="1272"/>
      <c r="AS42" s="1272"/>
      <c r="AT42" s="1272"/>
      <c r="AU42" s="1272"/>
      <c r="AV42" s="1272"/>
      <c r="AW42" s="1272"/>
      <c r="AX42" s="1272"/>
      <c r="AY42" s="1272"/>
      <c r="AZ42" s="1272"/>
      <c r="BA42" s="1272"/>
      <c r="BB42" s="1272"/>
      <c r="BC42" s="1272"/>
      <c r="BD42" s="1272"/>
      <c r="BE42" s="1273"/>
    </row>
  </sheetData>
  <mergeCells count="73">
    <mergeCell ref="B29:AB32"/>
    <mergeCell ref="AE29:BE32"/>
    <mergeCell ref="AQ36:AU36"/>
    <mergeCell ref="AV36:AZ36"/>
    <mergeCell ref="BA36:BE36"/>
    <mergeCell ref="W35:AF35"/>
    <mergeCell ref="W36:AF36"/>
    <mergeCell ref="B42:L42"/>
    <mergeCell ref="AG42:BE42"/>
    <mergeCell ref="M42:V42"/>
    <mergeCell ref="W42:AA42"/>
    <mergeCell ref="AB42:AF42"/>
    <mergeCell ref="B41:L41"/>
    <mergeCell ref="B40:L40"/>
    <mergeCell ref="AG41:BE41"/>
    <mergeCell ref="AB41:AF41"/>
    <mergeCell ref="W41:AA41"/>
    <mergeCell ref="M41:V41"/>
    <mergeCell ref="M40:V40"/>
    <mergeCell ref="W40:AA40"/>
    <mergeCell ref="AG40:BE40"/>
    <mergeCell ref="AB40:AF40"/>
    <mergeCell ref="I16:L16"/>
    <mergeCell ref="N16:Q16"/>
    <mergeCell ref="S16:V16"/>
    <mergeCell ref="B39:L39"/>
    <mergeCell ref="M39:V39"/>
    <mergeCell ref="I22:V23"/>
    <mergeCell ref="B35:L35"/>
    <mergeCell ref="M35:V35"/>
    <mergeCell ref="B36:L36"/>
    <mergeCell ref="M36:V36"/>
    <mergeCell ref="B34:BE34"/>
    <mergeCell ref="AN17:AQ17"/>
    <mergeCell ref="AU17:AX17"/>
    <mergeCell ref="BB17:BE17"/>
    <mergeCell ref="W39:AA39"/>
    <mergeCell ref="AB39:AF39"/>
    <mergeCell ref="B5:AR5"/>
    <mergeCell ref="AL15:AO15"/>
    <mergeCell ref="AP15:AQ15"/>
    <mergeCell ref="BI1:BT1"/>
    <mergeCell ref="V14:W14"/>
    <mergeCell ref="AS15:AX15"/>
    <mergeCell ref="AZ15:BE15"/>
    <mergeCell ref="I15:V15"/>
    <mergeCell ref="X15:AB15"/>
    <mergeCell ref="AE8:BE11"/>
    <mergeCell ref="B15:G15"/>
    <mergeCell ref="AE15:AJ15"/>
    <mergeCell ref="B2:BE4"/>
    <mergeCell ref="B8:AB11"/>
    <mergeCell ref="AG39:BE39"/>
    <mergeCell ref="AN23:AQ23"/>
    <mergeCell ref="AU23:AX23"/>
    <mergeCell ref="BB23:BE23"/>
    <mergeCell ref="BB24:BE24"/>
    <mergeCell ref="AN24:AQ24"/>
    <mergeCell ref="AU24:AX24"/>
    <mergeCell ref="AG35:AP35"/>
    <mergeCell ref="AQ35:AU35"/>
    <mergeCell ref="AV35:AZ35"/>
    <mergeCell ref="BA35:BE35"/>
    <mergeCell ref="AN18:AQ18"/>
    <mergeCell ref="AU18:AX18"/>
    <mergeCell ref="BB18:BE18"/>
    <mergeCell ref="AN19:AQ19"/>
    <mergeCell ref="AG36:AP36"/>
    <mergeCell ref="AU19:AX19"/>
    <mergeCell ref="AN22:AQ22"/>
    <mergeCell ref="AU22:AX22"/>
    <mergeCell ref="BB22:BE22"/>
    <mergeCell ref="BB19:BE19"/>
  </mergeCells>
  <conditionalFormatting sqref="A1:BH1 BU1:BW3 BX1:XFD15 BF15:BW15 AI16:BH16 B43:BE1048576 B33:BE33 A20:D24 A25 B25:D28 U26:AB27 AY25:BA27 AR25:AT27 AK25:AM27 F25:F27 H25:H26 J25:L26 BF17:BH17 BW16:XFD17 K27:L27 B34 U25:W25 B37:BE39 A30:A1048576 BF18:XFD1048576 BI17:BV18 A5:BH6 A2:A4 BF2:BH4">
    <cfRule type="cellIs" dxfId="1937" priority="334" operator="equal">
      <formula>"XXX"</formula>
    </cfRule>
  </conditionalFormatting>
  <conditionalFormatting sqref="A7:BH7 A15:A19 AC15:AD15 A26:A29 F28:AD28 AC17:AD19 U24:W24 A8:A11 BF8:BH11 A12:BH14 AC16:AG16 AJ17 AI22 F24 H20:H24 J24:L24 AC20:AH20">
    <cfRule type="cellIs" dxfId="1936" priority="333" operator="equal">
      <formula>"XXX"</formula>
    </cfRule>
  </conditionalFormatting>
  <conditionalFormatting sqref="AE28:AG28 AI28:BE28 AY22:BA24 AR22:AT24 AK22:AM24">
    <cfRule type="cellIs" dxfId="1935" priority="332" operator="equal">
      <formula>"XXX"</formula>
    </cfRule>
  </conditionalFormatting>
  <conditionalFormatting sqref="AJ22">
    <cfRule type="cellIs" dxfId="1934" priority="324" operator="equal">
      <formula>"XXX"</formula>
    </cfRule>
  </conditionalFormatting>
  <conditionalFormatting sqref="BB17:BE18 BB22:BE22 BB23">
    <cfRule type="cellIs" dxfId="1933" priority="323" operator="lessThan">
      <formula>0</formula>
    </cfRule>
  </conditionalFormatting>
  <conditionalFormatting sqref="AU17:AX18 AU22:AX23">
    <cfRule type="cellIs" dxfId="1932" priority="310" operator="lessThan">
      <formula>0</formula>
    </cfRule>
  </conditionalFormatting>
  <conditionalFormatting sqref="I24">
    <cfRule type="cellIs" dxfId="1931" priority="290" operator="equal">
      <formula>"XXX"</formula>
    </cfRule>
  </conditionalFormatting>
  <conditionalFormatting sqref="I24">
    <cfRule type="cellIs" dxfId="1930" priority="289" operator="equal">
      <formula>$A$1</formula>
    </cfRule>
  </conditionalFormatting>
  <conditionalFormatting sqref="BJ16">
    <cfRule type="expression" dxfId="1929" priority="232">
      <formula>(AND(BJ$5=$BX$5,LEN(BJ$16)=0))</formula>
    </cfRule>
  </conditionalFormatting>
  <conditionalFormatting sqref="BJ16:BV16">
    <cfRule type="expression" dxfId="1928" priority="231">
      <formula>(AND(BJ$5=$BX$5,LEN(BJ$16)=0))</formula>
    </cfRule>
  </conditionalFormatting>
  <conditionalFormatting sqref="F22">
    <cfRule type="cellIs" dxfId="1927" priority="215" operator="equal">
      <formula>"XXX"</formula>
    </cfRule>
  </conditionalFormatting>
  <conditionalFormatting sqref="G22:G23">
    <cfRule type="cellIs" dxfId="1926" priority="214" operator="equal">
      <formula>"XXX"</formula>
    </cfRule>
  </conditionalFormatting>
  <conditionalFormatting sqref="G22:G23">
    <cfRule type="cellIs" dxfId="1925" priority="213" operator="notEqual">
      <formula>0</formula>
    </cfRule>
  </conditionalFormatting>
  <conditionalFormatting sqref="G25">
    <cfRule type="cellIs" dxfId="1924" priority="212" operator="equal">
      <formula>"XXX"</formula>
    </cfRule>
  </conditionalFormatting>
  <conditionalFormatting sqref="G25">
    <cfRule type="cellIs" dxfId="1923" priority="211" operator="notEqual">
      <formula>0</formula>
    </cfRule>
  </conditionalFormatting>
  <conditionalFormatting sqref="I26">
    <cfRule type="cellIs" dxfId="1922" priority="207" operator="equal">
      <formula>"XXX"</formula>
    </cfRule>
  </conditionalFormatting>
  <conditionalFormatting sqref="I26">
    <cfRule type="cellIs" dxfId="1921" priority="206" operator="equal">
      <formula>$A$1</formula>
    </cfRule>
  </conditionalFormatting>
  <conditionalFormatting sqref="I25">
    <cfRule type="cellIs" dxfId="1920" priority="205" operator="equal">
      <formula>$A$1</formula>
    </cfRule>
  </conditionalFormatting>
  <conditionalFormatting sqref="G26">
    <cfRule type="cellIs" dxfId="1919" priority="204" operator="equal">
      <formula>"XXX"</formula>
    </cfRule>
  </conditionalFormatting>
  <conditionalFormatting sqref="G26">
    <cfRule type="expression" dxfId="1918" priority="202">
      <formula>$G$25=0</formula>
    </cfRule>
    <cfRule type="cellIs" dxfId="1917" priority="203" operator="notEqual">
      <formula>0</formula>
    </cfRule>
  </conditionalFormatting>
  <conditionalFormatting sqref="AG40:BE40 AG42:BE42">
    <cfRule type="cellIs" dxfId="1916" priority="188" operator="equal">
      <formula>"XXX"</formula>
    </cfRule>
  </conditionalFormatting>
  <conditionalFormatting sqref="AG41:BE41">
    <cfRule type="cellIs" dxfId="1915" priority="187" operator="equal">
      <formula>"XXX"</formula>
    </cfRule>
  </conditionalFormatting>
  <conditionalFormatting sqref="B35:AU35">
    <cfRule type="cellIs" dxfId="1914" priority="186" operator="equal">
      <formula>"XXX"</formula>
    </cfRule>
  </conditionalFormatting>
  <conditionalFormatting sqref="B36:L36">
    <cfRule type="cellIs" dxfId="1913" priority="180" operator="equal">
      <formula>"XXX"</formula>
    </cfRule>
  </conditionalFormatting>
  <conditionalFormatting sqref="BA35:BE35">
    <cfRule type="cellIs" dxfId="1912" priority="56" operator="equal">
      <formula>"XXX"</formula>
    </cfRule>
  </conditionalFormatting>
  <conditionalFormatting sqref="AV36">
    <cfRule type="cellIs" dxfId="1911" priority="55" operator="equal">
      <formula>"XXX"</formula>
    </cfRule>
  </conditionalFormatting>
  <conditionalFormatting sqref="AV36">
    <cfRule type="cellIs" dxfId="1910" priority="54" operator="equal">
      <formula>"XXX"</formula>
    </cfRule>
  </conditionalFormatting>
  <conditionalFormatting sqref="BA36">
    <cfRule type="cellIs" dxfId="1909" priority="51" operator="equal">
      <formula>"Paused"</formula>
    </cfRule>
    <cfRule type="cellIs" dxfId="1908" priority="52" operator="equal">
      <formula>"Caution"</formula>
    </cfRule>
    <cfRule type="cellIs" dxfId="1907" priority="53" operator="equal">
      <formula>"On Track"</formula>
    </cfRule>
  </conditionalFormatting>
  <conditionalFormatting sqref="BA36:BE36">
    <cfRule type="cellIs" dxfId="1906" priority="48" operator="equal">
      <formula>"""Cancelled"""</formula>
    </cfRule>
  </conditionalFormatting>
  <conditionalFormatting sqref="AV35">
    <cfRule type="cellIs" dxfId="1905" priority="42" operator="equal">
      <formula>"XXX"</formula>
    </cfRule>
  </conditionalFormatting>
  <conditionalFormatting sqref="AV35">
    <cfRule type="cellIs" dxfId="1904" priority="43" operator="equal">
      <formula>"XXX"</formula>
    </cfRule>
  </conditionalFormatting>
  <conditionalFormatting sqref="AG36:AU36">
    <cfRule type="cellIs" dxfId="1903" priority="41" operator="equal">
      <formula>"XXX"</formula>
    </cfRule>
  </conditionalFormatting>
  <conditionalFormatting sqref="M36">
    <cfRule type="cellIs" dxfId="1902" priority="40" operator="equal">
      <formula>"XXX"</formula>
    </cfRule>
  </conditionalFormatting>
  <conditionalFormatting sqref="W36">
    <cfRule type="cellIs" dxfId="1901" priority="39" operator="equal">
      <formula>"XXX"</formula>
    </cfRule>
  </conditionalFormatting>
  <conditionalFormatting sqref="W36">
    <cfRule type="cellIs" dxfId="1900" priority="38" operator="equal">
      <formula>"XXX"</formula>
    </cfRule>
  </conditionalFormatting>
  <conditionalFormatting sqref="X24:AB24">
    <cfRule type="cellIs" dxfId="1899" priority="37" operator="equal">
      <formula>"XXX"</formula>
    </cfRule>
  </conditionalFormatting>
  <conditionalFormatting sqref="Z16:Z21">
    <cfRule type="cellIs" dxfId="1898" priority="36" operator="equal">
      <formula>"XXX"</formula>
    </cfRule>
  </conditionalFormatting>
  <conditionalFormatting sqref="Y16:Y18 Y21">
    <cfRule type="cellIs" dxfId="1897" priority="35" operator="equal">
      <formula>"XXX"</formula>
    </cfRule>
  </conditionalFormatting>
  <conditionalFormatting sqref="Y19:Y20">
    <cfRule type="cellIs" dxfId="1896" priority="34" operator="equal">
      <formula>"XXX"</formula>
    </cfRule>
  </conditionalFormatting>
  <conditionalFormatting sqref="Y22:Y23">
    <cfRule type="cellIs" dxfId="1895" priority="33" operator="equal">
      <formula>"XXX"</formula>
    </cfRule>
  </conditionalFormatting>
  <conditionalFormatting sqref="B40:L42">
    <cfRule type="cellIs" dxfId="1894" priority="30" operator="equal">
      <formula>"XXX"</formula>
    </cfRule>
  </conditionalFormatting>
  <conditionalFormatting sqref="M40:AF42">
    <cfRule type="cellIs" dxfId="1893" priority="29" operator="equal">
      <formula>"XXX"</formula>
    </cfRule>
  </conditionalFormatting>
  <conditionalFormatting sqref="B2">
    <cfRule type="cellIs" dxfId="1892" priority="25" operator="equal">
      <formula>"XXX"</formula>
    </cfRule>
  </conditionalFormatting>
  <conditionalFormatting sqref="AE8">
    <cfRule type="cellIs" dxfId="1891" priority="5" operator="equal">
      <formula>"XXX"</formula>
    </cfRule>
  </conditionalFormatting>
  <conditionalFormatting sqref="AC8:AD11">
    <cfRule type="cellIs" dxfId="1890" priority="6" operator="equal">
      <formula>"XXX"</formula>
    </cfRule>
  </conditionalFormatting>
  <conditionalFormatting sqref="B8">
    <cfRule type="cellIs" dxfId="1889" priority="4" operator="equal">
      <formula>"XXX"</formula>
    </cfRule>
  </conditionalFormatting>
  <conditionalFormatting sqref="AC29:AD32">
    <cfRule type="cellIs" dxfId="1888" priority="3" operator="equal">
      <formula>"XXX"</formula>
    </cfRule>
  </conditionalFormatting>
  <conditionalFormatting sqref="B29">
    <cfRule type="cellIs" dxfId="1887" priority="2" operator="equal">
      <formula>"XXX"</formula>
    </cfRule>
  </conditionalFormatting>
  <conditionalFormatting sqref="AE29">
    <cfRule type="cellIs" dxfId="1886" priority="1" operator="equal">
      <formula>"XXX"</formula>
    </cfRule>
  </conditionalFormatting>
  <dataValidations count="4">
    <dataValidation type="whole" operator="greaterThanOrEqual" allowBlank="1" showInputMessage="1" showErrorMessage="1" errorTitle="Positive Value" error="This value must be entered as a positive number." sqref="BM16 BJ6:BV6 BJ10:BV10 BJ12:BV14 BJ8:BV8" xr:uid="{00000000-0002-0000-1900-000000000000}">
      <formula1>0</formula1>
    </dataValidation>
    <dataValidation type="whole" operator="lessThan" allowBlank="1" showInputMessage="1" showErrorMessage="1" errorTitle="Negative Value" error="This value must be entered as a negative number." sqref="BJ11:BV11 BJ9:BV9 BJ7:BV7" xr:uid="{00000000-0002-0000-1900-000001000000}">
      <formula1>0</formula1>
    </dataValidation>
    <dataValidation type="list" allowBlank="1" showInputMessage="1" showErrorMessage="1" sqref="BA36:BE36" xr:uid="{F33B0A7F-F774-4E7F-BFC7-7E75C82E5DB5}">
      <formula1>"Not Started, On Track, Caution, Paused, Cancelled"</formula1>
    </dataValidation>
    <dataValidation type="list" allowBlank="1" showInputMessage="1" showErrorMessage="1" sqref="AV36:AZ36" xr:uid="{30F159F9-8F12-49C8-8CFF-D795D0A7DB0E}">
      <formula1>"Project, Process Improvement, RPA, Dashboarding"</formula1>
    </dataValidation>
  </dataValidations>
  <printOptions horizontalCentered="1"/>
  <pageMargins left="0.25" right="0.25" top="0.25" bottom="0.5" header="0.3" footer="0.3"/>
  <pageSetup scale="70" fitToHeight="0" orientation="landscape" r:id="rId1"/>
  <headerFooter>
    <oddFooter>&amp;R&amp;F | &amp;A
Printed &amp;D @ &amp;T
&amp;P</oddFooter>
  </headerFooter>
  <drawing r:id="rId2"/>
  <legacyDrawing r:id="rId3"/>
  <extLst>
    <ext xmlns:x14="http://schemas.microsoft.com/office/spreadsheetml/2009/9/main" uri="{78C0D931-6437-407d-A8EE-F0AAD7539E65}">
      <x14:conditionalFormattings>
        <x14:conditionalFormatting xmlns:xm="http://schemas.microsoft.com/office/excel/2006/main">
          <x14:cfRule type="cellIs" priority="325" operator="equal" id="{EC93873B-94EE-4E4A-AA86-8AEB138D1343}">
            <xm:f>AR!$A$1</xm:f>
            <x14:dxf>
              <font>
                <color theme="0"/>
              </font>
            </x14:dxf>
          </x14:cfRule>
          <xm:sqref>J24:J26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0">
    <tabColor theme="4"/>
  </sheetPr>
  <dimension ref="B1:CS789"/>
  <sheetViews>
    <sheetView showGridLines="0" topLeftCell="A80" zoomScaleNormal="100" zoomScaleSheetLayoutView="90" workbookViewId="0">
      <selection activeCell="B110" sqref="B110:AB113"/>
    </sheetView>
  </sheetViews>
  <sheetFormatPr defaultColWidth="3.28515625" defaultRowHeight="15" customHeight="1"/>
  <cols>
    <col min="1" max="1" width="3.28515625" style="6"/>
    <col min="2" max="3" width="3.28515625" style="37"/>
    <col min="4" max="5" width="3.42578125" style="37" bestFit="1" customWidth="1"/>
    <col min="6" max="6" width="3.28515625" style="37"/>
    <col min="7" max="7" width="4" style="37" bestFit="1" customWidth="1"/>
    <col min="8" max="12" width="3.28515625" style="37"/>
    <col min="13" max="13" width="4" style="37" customWidth="1"/>
    <col min="14" max="57" width="3.28515625" style="37"/>
    <col min="58" max="59" width="3.28515625" style="6"/>
    <col min="60" max="60" width="4.85546875" style="6" bestFit="1" customWidth="1"/>
    <col min="61" max="61" width="16.42578125" style="270" customWidth="1"/>
    <col min="62" max="62" width="17.7109375" style="270" customWidth="1"/>
    <col min="63" max="65" width="12.28515625" style="270" bestFit="1" customWidth="1"/>
    <col min="66" max="66" width="11.7109375" style="270" bestFit="1" customWidth="1"/>
    <col min="67" max="67" width="16.7109375" style="270" bestFit="1" customWidth="1"/>
    <col min="68" max="68" width="12.28515625" style="270" bestFit="1" customWidth="1"/>
    <col min="69" max="69" width="12" style="270" bestFit="1" customWidth="1"/>
    <col min="70" max="70" width="12.28515625" style="270" bestFit="1" customWidth="1"/>
    <col min="71" max="71" width="11.7109375" style="270" bestFit="1" customWidth="1"/>
    <col min="72" max="72" width="16.7109375" style="270" bestFit="1" customWidth="1"/>
    <col min="73" max="73" width="12.28515625" style="270" bestFit="1" customWidth="1"/>
    <col min="74" max="74" width="12" style="270" bestFit="1" customWidth="1"/>
    <col min="75" max="75" width="17.7109375" style="6" bestFit="1" customWidth="1"/>
    <col min="76" max="76" width="15.7109375" style="6" bestFit="1" customWidth="1"/>
    <col min="77" max="77" width="9.7109375" style="6" bestFit="1" customWidth="1"/>
    <col min="78" max="78" width="8.28515625" style="6" bestFit="1" customWidth="1"/>
    <col min="79" max="79" width="11.85546875" style="6" bestFit="1" customWidth="1"/>
    <col min="80" max="80" width="10.28515625" style="6" bestFit="1" customWidth="1"/>
    <col min="81" max="81" width="10.42578125" style="6" bestFit="1" customWidth="1"/>
    <col min="82" max="82" width="16.7109375" style="6" bestFit="1" customWidth="1"/>
    <col min="83" max="83" width="11.28515625" style="6" bestFit="1" customWidth="1"/>
    <col min="84" max="84" width="10.7109375" style="6" customWidth="1"/>
    <col min="85" max="85" width="13.5703125" style="6" bestFit="1" customWidth="1"/>
    <col min="86" max="86" width="7.42578125" style="6" bestFit="1" customWidth="1"/>
    <col min="87" max="87" width="6.42578125" style="6" bestFit="1" customWidth="1"/>
    <col min="88" max="88" width="12.28515625" style="6" bestFit="1" customWidth="1"/>
    <col min="89" max="89" width="10.140625" style="6" bestFit="1" customWidth="1"/>
    <col min="90" max="90" width="7.42578125" style="6" bestFit="1" customWidth="1"/>
    <col min="91" max="91" width="8.28515625" style="6" bestFit="1" customWidth="1"/>
    <col min="92" max="92" width="11.85546875" style="6" bestFit="1" customWidth="1"/>
    <col min="93" max="93" width="10.28515625" style="6" bestFit="1" customWidth="1"/>
    <col min="94" max="94" width="7.42578125" style="6" bestFit="1" customWidth="1"/>
    <col min="95" max="95" width="4.140625" style="6" bestFit="1" customWidth="1"/>
    <col min="96" max="97" width="4.7109375" style="6" bestFit="1" customWidth="1"/>
    <col min="98" max="16384" width="3.28515625" style="6"/>
  </cols>
  <sheetData>
    <row r="1" spans="2:76" ht="15" customHeight="1">
      <c r="BI1" s="1232" t="s">
        <v>449</v>
      </c>
      <c r="BJ1" s="1232"/>
      <c r="BK1" s="1232"/>
      <c r="BL1" s="1232"/>
      <c r="BM1" s="1232"/>
      <c r="BN1" s="1232"/>
      <c r="BO1" s="1232"/>
      <c r="BP1" s="1232"/>
      <c r="BQ1" s="1232"/>
      <c r="BR1" s="1232"/>
      <c r="BS1" s="1232"/>
      <c r="BT1" s="1232"/>
      <c r="BU1" s="1232"/>
    </row>
    <row r="2" spans="2:76" ht="15" customHeight="1">
      <c r="B2" s="1146" t="s">
        <v>180</v>
      </c>
      <c r="C2" s="1146"/>
      <c r="D2" s="1146"/>
      <c r="E2" s="1146"/>
      <c r="F2" s="1146"/>
      <c r="G2" s="1146"/>
      <c r="H2" s="1146"/>
      <c r="I2" s="1146"/>
      <c r="J2" s="1146"/>
      <c r="K2" s="1146"/>
      <c r="L2" s="1146"/>
      <c r="M2" s="1146"/>
      <c r="N2" s="1146"/>
      <c r="O2" s="1146"/>
      <c r="P2" s="1146"/>
      <c r="Q2" s="1146"/>
      <c r="R2" s="1146"/>
      <c r="S2" s="1146"/>
      <c r="T2" s="1146"/>
      <c r="U2" s="1146"/>
      <c r="V2" s="1146"/>
      <c r="W2" s="1146"/>
      <c r="X2" s="1146"/>
      <c r="Y2" s="1146"/>
      <c r="Z2" s="1146"/>
      <c r="AA2" s="1146"/>
      <c r="AB2" s="1146"/>
      <c r="AC2" s="1146"/>
      <c r="AD2" s="1146"/>
      <c r="AE2" s="1146"/>
      <c r="AF2" s="1146"/>
      <c r="AG2" s="1146"/>
      <c r="AH2" s="1146"/>
      <c r="AI2" s="1146"/>
      <c r="AJ2" s="1146"/>
      <c r="AK2" s="1146"/>
      <c r="AL2" s="1146"/>
      <c r="AM2" s="1146"/>
      <c r="AN2" s="1146"/>
      <c r="AO2" s="1146"/>
      <c r="AP2" s="1146"/>
      <c r="AQ2" s="1146"/>
      <c r="AR2" s="1146"/>
      <c r="AS2" s="1146"/>
      <c r="AT2" s="1146"/>
      <c r="AU2" s="1146"/>
      <c r="AV2" s="1146"/>
      <c r="AW2" s="1146"/>
      <c r="AX2" s="1146"/>
      <c r="AY2" s="1146"/>
      <c r="AZ2" s="1146"/>
      <c r="BA2" s="1146"/>
      <c r="BB2" s="1146"/>
      <c r="BC2" s="1146"/>
      <c r="BD2" s="1146"/>
      <c r="BE2" s="1146"/>
      <c r="BI2" s="271" t="s">
        <v>48</v>
      </c>
    </row>
    <row r="3" spans="2:76" ht="15" customHeight="1">
      <c r="B3" s="1146"/>
      <c r="C3" s="1146"/>
      <c r="D3" s="1146"/>
      <c r="E3" s="1146"/>
      <c r="F3" s="1146"/>
      <c r="G3" s="1146"/>
      <c r="H3" s="1146"/>
      <c r="I3" s="1146"/>
      <c r="J3" s="1146"/>
      <c r="K3" s="1146"/>
      <c r="L3" s="1146"/>
      <c r="M3" s="1146"/>
      <c r="N3" s="1146"/>
      <c r="O3" s="1146"/>
      <c r="P3" s="1146"/>
      <c r="Q3" s="1146"/>
      <c r="R3" s="1146"/>
      <c r="S3" s="1146"/>
      <c r="T3" s="1146"/>
      <c r="U3" s="1146"/>
      <c r="V3" s="1146"/>
      <c r="W3" s="1146"/>
      <c r="X3" s="1146"/>
      <c r="Y3" s="1146"/>
      <c r="Z3" s="1146"/>
      <c r="AA3" s="1146"/>
      <c r="AB3" s="1146"/>
      <c r="AC3" s="1146"/>
      <c r="AD3" s="1146"/>
      <c r="AE3" s="1146"/>
      <c r="AF3" s="1146"/>
      <c r="AG3" s="1146"/>
      <c r="AH3" s="1146"/>
      <c r="AI3" s="1146"/>
      <c r="AJ3" s="1146"/>
      <c r="AK3" s="1146"/>
      <c r="AL3" s="1146"/>
      <c r="AM3" s="1146"/>
      <c r="AN3" s="1146"/>
      <c r="AO3" s="1146"/>
      <c r="AP3" s="1146"/>
      <c r="AQ3" s="1146"/>
      <c r="AR3" s="1146"/>
      <c r="AS3" s="1146"/>
      <c r="AT3" s="1146"/>
      <c r="AU3" s="1146"/>
      <c r="AV3" s="1146"/>
      <c r="AW3" s="1146"/>
      <c r="AX3" s="1146"/>
      <c r="AY3" s="1146"/>
      <c r="AZ3" s="1146"/>
      <c r="BA3" s="1146"/>
      <c r="BB3" s="1146"/>
      <c r="BC3" s="1146"/>
      <c r="BD3" s="1146"/>
      <c r="BE3" s="1146"/>
      <c r="BI3" s="272" t="s">
        <v>261</v>
      </c>
    </row>
    <row r="4" spans="2:76" ht="15" customHeight="1">
      <c r="B4" s="1147"/>
      <c r="C4" s="1147"/>
      <c r="D4" s="1147"/>
      <c r="E4" s="1147"/>
      <c r="F4" s="1147"/>
      <c r="G4" s="1147"/>
      <c r="H4" s="1147"/>
      <c r="I4" s="1147"/>
      <c r="J4" s="1147"/>
      <c r="K4" s="1147"/>
      <c r="L4" s="1147"/>
      <c r="M4" s="1147"/>
      <c r="N4" s="1147"/>
      <c r="O4" s="1147"/>
      <c r="P4" s="1147"/>
      <c r="Q4" s="1147"/>
      <c r="R4" s="1147"/>
      <c r="S4" s="1147"/>
      <c r="T4" s="1147"/>
      <c r="U4" s="1147"/>
      <c r="V4" s="1147"/>
      <c r="W4" s="1147"/>
      <c r="X4" s="1147"/>
      <c r="Y4" s="1147"/>
      <c r="Z4" s="1147"/>
      <c r="AA4" s="1147"/>
      <c r="AB4" s="1147"/>
      <c r="AC4" s="1147"/>
      <c r="AD4" s="1147"/>
      <c r="AE4" s="1147"/>
      <c r="AF4" s="1147"/>
      <c r="AG4" s="1147"/>
      <c r="AH4" s="1147"/>
      <c r="AI4" s="1147"/>
      <c r="AJ4" s="1147"/>
      <c r="AK4" s="1147"/>
      <c r="AL4" s="1147"/>
      <c r="AM4" s="1147"/>
      <c r="AN4" s="1147"/>
      <c r="AO4" s="1147"/>
      <c r="AP4" s="1147"/>
      <c r="AQ4" s="1147"/>
      <c r="AR4" s="1147"/>
      <c r="AS4" s="1147"/>
      <c r="AT4" s="1147"/>
      <c r="AU4" s="1147"/>
      <c r="AV4" s="1147"/>
      <c r="AW4" s="1147"/>
      <c r="AX4" s="1147"/>
      <c r="AY4" s="1147"/>
      <c r="AZ4" s="1147"/>
      <c r="BA4" s="1147"/>
      <c r="BB4" s="1147"/>
      <c r="BC4" s="1147"/>
      <c r="BD4" s="1147"/>
      <c r="BE4" s="1147"/>
      <c r="BI4" s="273" t="s">
        <v>23</v>
      </c>
      <c r="BJ4" s="273" t="s">
        <v>36</v>
      </c>
      <c r="BK4" s="273" t="s">
        <v>698</v>
      </c>
      <c r="BL4" s="273" t="s">
        <v>699</v>
      </c>
      <c r="BM4" s="273" t="s">
        <v>700</v>
      </c>
      <c r="BN4" s="273" t="s">
        <v>701</v>
      </c>
      <c r="BO4" s="273" t="s">
        <v>702</v>
      </c>
      <c r="BP4" s="273" t="s">
        <v>703</v>
      </c>
      <c r="BQ4" s="273" t="s">
        <v>704</v>
      </c>
      <c r="BR4" s="273" t="s">
        <v>705</v>
      </c>
      <c r="BS4" s="273" t="s">
        <v>706</v>
      </c>
      <c r="BT4" s="273" t="s">
        <v>707</v>
      </c>
      <c r="BU4" s="273" t="s">
        <v>708</v>
      </c>
      <c r="BV4" s="273" t="s">
        <v>709</v>
      </c>
      <c r="BX4" s="274" t="s">
        <v>262</v>
      </c>
    </row>
    <row r="5" spans="2:76" ht="15" customHeight="1">
      <c r="B5" s="1234" t="str">
        <f>BSS!BI1</f>
        <v>Business Support Services - CARE (Connect Acknowledge Recognize Execute)</v>
      </c>
      <c r="C5" s="1235"/>
      <c r="D5" s="1235"/>
      <c r="E5" s="1235"/>
      <c r="F5" s="1235"/>
      <c r="G5" s="1235"/>
      <c r="H5" s="1235"/>
      <c r="I5" s="1235"/>
      <c r="J5" s="1235"/>
      <c r="K5" s="1235"/>
      <c r="L5" s="1235"/>
      <c r="M5" s="1235"/>
      <c r="N5" s="1235"/>
      <c r="O5" s="1235"/>
      <c r="P5" s="1235"/>
      <c r="Q5" s="1235"/>
      <c r="R5" s="1235"/>
      <c r="S5" s="1235"/>
      <c r="T5" s="1235"/>
      <c r="U5" s="1235"/>
      <c r="V5" s="1235"/>
      <c r="W5" s="1235"/>
      <c r="X5" s="1235"/>
      <c r="Y5" s="1235"/>
      <c r="Z5" s="1235"/>
      <c r="AA5" s="1235"/>
      <c r="AB5" s="1235"/>
      <c r="AC5" s="1235"/>
      <c r="AD5" s="1235"/>
      <c r="AE5" s="1235"/>
      <c r="AF5" s="1235"/>
      <c r="AG5" s="1235"/>
      <c r="AH5" s="1235"/>
      <c r="AI5" s="1235"/>
      <c r="AJ5" s="1235"/>
      <c r="AK5" s="1235"/>
      <c r="AL5" s="1235"/>
      <c r="AM5" s="1235"/>
      <c r="AN5" s="1235"/>
      <c r="AO5" s="1235"/>
      <c r="AP5" s="1235"/>
      <c r="AQ5" s="1235"/>
      <c r="AR5" s="1235"/>
      <c r="AS5" s="630"/>
      <c r="AT5" s="630"/>
      <c r="AU5" s="630"/>
      <c r="AV5" s="630"/>
      <c r="AW5" s="630"/>
      <c r="AX5" s="630"/>
      <c r="AY5" s="630"/>
      <c r="AZ5" s="630"/>
      <c r="BA5" s="630"/>
      <c r="BB5" s="630"/>
      <c r="BC5" s="630"/>
      <c r="BD5" s="630"/>
      <c r="BE5" s="631" t="str">
        <f>Cover!M34</f>
        <v>OCT FY-24</v>
      </c>
      <c r="BI5" s="273" t="s">
        <v>37</v>
      </c>
      <c r="BJ5" s="273">
        <v>-1</v>
      </c>
      <c r="BK5" s="273">
        <v>1</v>
      </c>
      <c r="BL5" s="273">
        <v>2</v>
      </c>
      <c r="BM5" s="273">
        <v>3</v>
      </c>
      <c r="BN5" s="273">
        <v>4</v>
      </c>
      <c r="BO5" s="273">
        <v>5</v>
      </c>
      <c r="BP5" s="273">
        <v>6</v>
      </c>
      <c r="BQ5" s="273">
        <v>7</v>
      </c>
      <c r="BR5" s="273">
        <v>8</v>
      </c>
      <c r="BS5" s="273">
        <v>9</v>
      </c>
      <c r="BT5" s="273">
        <v>10</v>
      </c>
      <c r="BU5" s="273">
        <v>11</v>
      </c>
      <c r="BV5" s="273">
        <v>12</v>
      </c>
      <c r="BX5" s="271">
        <f>Cover!M36</f>
        <v>1</v>
      </c>
    </row>
    <row r="6" spans="2:76" ht="15" customHeight="1">
      <c r="BI6" s="271" t="s">
        <v>263</v>
      </c>
      <c r="BJ6" s="895">
        <v>59</v>
      </c>
      <c r="BK6" s="633">
        <v>54</v>
      </c>
      <c r="BL6" s="633">
        <f>BK14-BK13</f>
        <v>62</v>
      </c>
      <c r="BM6" s="633">
        <f>BL14-BL13</f>
        <v>62</v>
      </c>
      <c r="BN6" s="633">
        <f>BM14-BM13</f>
        <v>62</v>
      </c>
      <c r="BO6" s="633">
        <f>BN14-BN13</f>
        <v>62</v>
      </c>
      <c r="BP6" s="633">
        <f t="shared" ref="BP6:BU6" si="0">BO14-BO13</f>
        <v>62</v>
      </c>
      <c r="BQ6" s="633">
        <f t="shared" si="0"/>
        <v>62</v>
      </c>
      <c r="BR6" s="633">
        <f t="shared" si="0"/>
        <v>62</v>
      </c>
      <c r="BS6" s="633">
        <f t="shared" si="0"/>
        <v>62</v>
      </c>
      <c r="BT6" s="633">
        <f t="shared" si="0"/>
        <v>62</v>
      </c>
      <c r="BU6" s="633">
        <f t="shared" si="0"/>
        <v>62</v>
      </c>
      <c r="BV6" s="633">
        <f>BU14-BU13</f>
        <v>62</v>
      </c>
      <c r="BX6" s="271"/>
    </row>
    <row r="7" spans="2:76" ht="15" customHeight="1">
      <c r="B7" s="531" t="s">
        <v>450</v>
      </c>
      <c r="C7" s="532"/>
      <c r="D7" s="532"/>
      <c r="E7" s="532"/>
      <c r="F7" s="532"/>
      <c r="G7" s="532"/>
      <c r="H7" s="532"/>
      <c r="I7" s="532"/>
      <c r="J7" s="532"/>
      <c r="K7" s="532"/>
      <c r="L7" s="532"/>
      <c r="M7" s="532"/>
      <c r="N7" s="532"/>
      <c r="O7" s="532"/>
      <c r="P7" s="532"/>
      <c r="Q7" s="532"/>
      <c r="R7" s="532"/>
      <c r="S7" s="532"/>
      <c r="T7" s="532"/>
      <c r="U7" s="532"/>
      <c r="V7" s="532"/>
      <c r="W7" s="532"/>
      <c r="X7" s="532"/>
      <c r="Y7" s="532"/>
      <c r="Z7" s="532"/>
      <c r="AA7" s="532"/>
      <c r="AB7" s="532"/>
      <c r="AE7" s="531" t="s">
        <v>265</v>
      </c>
      <c r="AF7" s="532"/>
      <c r="AG7" s="532"/>
      <c r="AH7" s="532"/>
      <c r="AI7" s="532"/>
      <c r="AJ7" s="532"/>
      <c r="AK7" s="532"/>
      <c r="AL7" s="532"/>
      <c r="AM7" s="532"/>
      <c r="AN7" s="532"/>
      <c r="AO7" s="532"/>
      <c r="AP7" s="532"/>
      <c r="AQ7" s="532"/>
      <c r="AR7" s="532"/>
      <c r="AS7" s="532"/>
      <c r="AT7" s="532"/>
      <c r="AU7" s="532"/>
      <c r="AV7" s="532"/>
      <c r="AW7" s="532"/>
      <c r="AX7" s="532"/>
      <c r="AY7" s="532"/>
      <c r="AZ7" s="532"/>
      <c r="BA7" s="532"/>
      <c r="BB7" s="532"/>
      <c r="BC7" s="532"/>
      <c r="BD7" s="532"/>
      <c r="BE7" s="532"/>
      <c r="BI7" s="271" t="s">
        <v>266</v>
      </c>
      <c r="BJ7" s="880">
        <v>-7</v>
      </c>
      <c r="BK7" s="880">
        <v>-3</v>
      </c>
      <c r="BL7" s="632"/>
      <c r="BM7" s="880"/>
      <c r="BN7" s="880"/>
      <c r="BO7" s="880"/>
      <c r="BP7" s="880"/>
      <c r="BQ7" s="880"/>
      <c r="BR7" s="880"/>
      <c r="BS7" s="880"/>
      <c r="BT7" s="880"/>
      <c r="BU7" s="880"/>
      <c r="BV7" s="880"/>
      <c r="BW7" s="264" t="s">
        <v>7</v>
      </c>
      <c r="BX7" s="271"/>
    </row>
    <row r="8" spans="2:76" ht="15" customHeight="1">
      <c r="B8" s="1137" t="s">
        <v>766</v>
      </c>
      <c r="C8" s="1138"/>
      <c r="D8" s="1138"/>
      <c r="E8" s="1138"/>
      <c r="F8" s="1138"/>
      <c r="G8" s="1138"/>
      <c r="H8" s="1138"/>
      <c r="I8" s="1138"/>
      <c r="J8" s="1138"/>
      <c r="K8" s="1138"/>
      <c r="L8" s="1138"/>
      <c r="M8" s="1138"/>
      <c r="N8" s="1138"/>
      <c r="O8" s="1138"/>
      <c r="P8" s="1138"/>
      <c r="Q8" s="1138"/>
      <c r="R8" s="1138"/>
      <c r="S8" s="1138"/>
      <c r="T8" s="1138"/>
      <c r="U8" s="1138"/>
      <c r="V8" s="1138"/>
      <c r="W8" s="1138"/>
      <c r="X8" s="1138"/>
      <c r="Y8" s="1138"/>
      <c r="Z8" s="1138"/>
      <c r="AA8" s="1138"/>
      <c r="AB8" s="1139"/>
      <c r="AC8"/>
      <c r="AD8"/>
      <c r="AE8" s="1413" t="s">
        <v>767</v>
      </c>
      <c r="AF8" s="1414"/>
      <c r="AG8" s="1414"/>
      <c r="AH8" s="1414"/>
      <c r="AI8" s="1414"/>
      <c r="AJ8" s="1414"/>
      <c r="AK8" s="1414"/>
      <c r="AL8" s="1414"/>
      <c r="AM8" s="1414"/>
      <c r="AN8" s="1414"/>
      <c r="AO8" s="1414"/>
      <c r="AP8" s="1414"/>
      <c r="AQ8" s="1414"/>
      <c r="AR8" s="1414"/>
      <c r="AS8" s="1414"/>
      <c r="AT8" s="1414"/>
      <c r="AU8" s="1414"/>
      <c r="AV8" s="1414"/>
      <c r="AW8" s="1414"/>
      <c r="AX8" s="1414"/>
      <c r="AY8" s="1414"/>
      <c r="AZ8" s="1414"/>
      <c r="BA8" s="1414"/>
      <c r="BB8" s="1414"/>
      <c r="BC8" s="1414"/>
      <c r="BD8" s="1414"/>
      <c r="BE8" s="1415"/>
      <c r="BI8" s="271" t="s">
        <v>269</v>
      </c>
      <c r="BJ8" s="880">
        <v>1</v>
      </c>
      <c r="BK8" s="880">
        <v>11</v>
      </c>
      <c r="BL8" s="632"/>
      <c r="BM8" s="880"/>
      <c r="BN8" s="880"/>
      <c r="BO8" s="880"/>
      <c r="BP8" s="880"/>
      <c r="BQ8" s="880"/>
      <c r="BR8" s="880"/>
      <c r="BS8" s="880"/>
      <c r="BT8" s="880"/>
      <c r="BU8" s="880"/>
      <c r="BV8" s="880"/>
      <c r="BW8" s="264" t="s">
        <v>451</v>
      </c>
      <c r="BX8" s="271"/>
    </row>
    <row r="9" spans="2:76" ht="15" customHeight="1">
      <c r="B9" s="1140"/>
      <c r="C9" s="1141"/>
      <c r="D9" s="1141"/>
      <c r="E9" s="1141"/>
      <c r="F9" s="1141"/>
      <c r="G9" s="1141"/>
      <c r="H9" s="1141"/>
      <c r="I9" s="1141"/>
      <c r="J9" s="1141"/>
      <c r="K9" s="1141"/>
      <c r="L9" s="1141"/>
      <c r="M9" s="1141"/>
      <c r="N9" s="1141"/>
      <c r="O9" s="1141"/>
      <c r="P9" s="1141"/>
      <c r="Q9" s="1141"/>
      <c r="R9" s="1141"/>
      <c r="S9" s="1141"/>
      <c r="T9" s="1141"/>
      <c r="U9" s="1141"/>
      <c r="V9" s="1141"/>
      <c r="W9" s="1141"/>
      <c r="X9" s="1141"/>
      <c r="Y9" s="1141"/>
      <c r="Z9" s="1141"/>
      <c r="AA9" s="1141"/>
      <c r="AB9" s="1142"/>
      <c r="AC9"/>
      <c r="AD9"/>
      <c r="AE9" s="1416"/>
      <c r="AF9" s="1417"/>
      <c r="AG9" s="1417"/>
      <c r="AH9" s="1417"/>
      <c r="AI9" s="1417"/>
      <c r="AJ9" s="1417"/>
      <c r="AK9" s="1417"/>
      <c r="AL9" s="1417"/>
      <c r="AM9" s="1417"/>
      <c r="AN9" s="1417"/>
      <c r="AO9" s="1417"/>
      <c r="AP9" s="1417"/>
      <c r="AQ9" s="1417"/>
      <c r="AR9" s="1417"/>
      <c r="AS9" s="1417"/>
      <c r="AT9" s="1417"/>
      <c r="AU9" s="1417"/>
      <c r="AV9" s="1417"/>
      <c r="AW9" s="1417"/>
      <c r="AX9" s="1417"/>
      <c r="AY9" s="1417"/>
      <c r="AZ9" s="1417"/>
      <c r="BA9" s="1417"/>
      <c r="BB9" s="1417"/>
      <c r="BC9" s="1417"/>
      <c r="BD9" s="1417"/>
      <c r="BE9" s="1418"/>
      <c r="BI9" s="271" t="s">
        <v>270</v>
      </c>
      <c r="BJ9" s="880"/>
      <c r="BK9" s="880"/>
      <c r="BL9" s="632"/>
      <c r="BM9" s="880"/>
      <c r="BN9" s="880"/>
      <c r="BO9" s="880"/>
      <c r="BP9" s="880"/>
      <c r="BQ9" s="880"/>
      <c r="BR9" s="880"/>
      <c r="BS9" s="880"/>
      <c r="BT9" s="880"/>
      <c r="BU9" s="880"/>
      <c r="BV9" s="880"/>
      <c r="BW9" s="264" t="s">
        <v>452</v>
      </c>
      <c r="BX9" s="271"/>
    </row>
    <row r="10" spans="2:76" ht="15" customHeight="1">
      <c r="B10" s="1140"/>
      <c r="C10" s="1141"/>
      <c r="D10" s="1141"/>
      <c r="E10" s="1141"/>
      <c r="F10" s="1141"/>
      <c r="G10" s="1141"/>
      <c r="H10" s="1141"/>
      <c r="I10" s="1141"/>
      <c r="J10" s="1141"/>
      <c r="K10" s="1141"/>
      <c r="L10" s="1141"/>
      <c r="M10" s="1141"/>
      <c r="N10" s="1141"/>
      <c r="O10" s="1141"/>
      <c r="P10" s="1141"/>
      <c r="Q10" s="1141"/>
      <c r="R10" s="1141"/>
      <c r="S10" s="1141"/>
      <c r="T10" s="1141"/>
      <c r="U10" s="1141"/>
      <c r="V10" s="1141"/>
      <c r="W10" s="1141"/>
      <c r="X10" s="1141"/>
      <c r="Y10" s="1141"/>
      <c r="Z10" s="1141"/>
      <c r="AA10" s="1141"/>
      <c r="AB10" s="1142"/>
      <c r="AC10"/>
      <c r="AD10"/>
      <c r="AE10" s="1416"/>
      <c r="AF10" s="1417"/>
      <c r="AG10" s="1417"/>
      <c r="AH10" s="1417"/>
      <c r="AI10" s="1417"/>
      <c r="AJ10" s="1417"/>
      <c r="AK10" s="1417"/>
      <c r="AL10" s="1417"/>
      <c r="AM10" s="1417"/>
      <c r="AN10" s="1417"/>
      <c r="AO10" s="1417"/>
      <c r="AP10" s="1417"/>
      <c r="AQ10" s="1417"/>
      <c r="AR10" s="1417"/>
      <c r="AS10" s="1417"/>
      <c r="AT10" s="1417"/>
      <c r="AU10" s="1417"/>
      <c r="AV10" s="1417"/>
      <c r="AW10" s="1417"/>
      <c r="AX10" s="1417"/>
      <c r="AY10" s="1417"/>
      <c r="AZ10" s="1417"/>
      <c r="BA10" s="1417"/>
      <c r="BB10" s="1417"/>
      <c r="BC10" s="1417"/>
      <c r="BD10" s="1417"/>
      <c r="BE10" s="1418"/>
      <c r="BI10" s="271" t="s">
        <v>271</v>
      </c>
      <c r="BJ10" s="880"/>
      <c r="BK10" s="880"/>
      <c r="BL10" s="632"/>
      <c r="BM10" s="880"/>
      <c r="BN10" s="880"/>
      <c r="BO10" s="880"/>
      <c r="BP10" s="880"/>
      <c r="BQ10" s="880"/>
      <c r="BR10" s="880"/>
      <c r="BS10" s="880"/>
      <c r="BT10" s="880"/>
      <c r="BU10" s="880"/>
      <c r="BV10" s="880"/>
      <c r="BW10" s="264" t="s">
        <v>453</v>
      </c>
      <c r="BX10" s="271"/>
    </row>
    <row r="11" spans="2:76" ht="35.25" customHeight="1">
      <c r="B11" s="1143"/>
      <c r="C11" s="1144"/>
      <c r="D11" s="1144"/>
      <c r="E11" s="1144"/>
      <c r="F11" s="1144"/>
      <c r="G11" s="1144"/>
      <c r="H11" s="1144"/>
      <c r="I11" s="1144"/>
      <c r="J11" s="1144"/>
      <c r="K11" s="1144"/>
      <c r="L11" s="1144"/>
      <c r="M11" s="1144"/>
      <c r="N11" s="1144"/>
      <c r="O11" s="1144"/>
      <c r="P11" s="1144"/>
      <c r="Q11" s="1144"/>
      <c r="R11" s="1144"/>
      <c r="S11" s="1144"/>
      <c r="T11" s="1144"/>
      <c r="U11" s="1144"/>
      <c r="V11" s="1144"/>
      <c r="W11" s="1144"/>
      <c r="X11" s="1144"/>
      <c r="Y11" s="1144"/>
      <c r="Z11" s="1144"/>
      <c r="AA11" s="1144"/>
      <c r="AB11" s="1145"/>
      <c r="AC11"/>
      <c r="AD11"/>
      <c r="AE11" s="1419"/>
      <c r="AF11" s="1420"/>
      <c r="AG11" s="1420"/>
      <c r="AH11" s="1420"/>
      <c r="AI11" s="1420"/>
      <c r="AJ11" s="1420"/>
      <c r="AK11" s="1420"/>
      <c r="AL11" s="1420"/>
      <c r="AM11" s="1420"/>
      <c r="AN11" s="1420"/>
      <c r="AO11" s="1420"/>
      <c r="AP11" s="1420"/>
      <c r="AQ11" s="1420"/>
      <c r="AR11" s="1420"/>
      <c r="AS11" s="1420"/>
      <c r="AT11" s="1420"/>
      <c r="AU11" s="1420"/>
      <c r="AV11" s="1420"/>
      <c r="AW11" s="1420"/>
      <c r="AX11" s="1420"/>
      <c r="AY11" s="1420"/>
      <c r="AZ11" s="1420"/>
      <c r="BA11" s="1420"/>
      <c r="BB11" s="1420"/>
      <c r="BC11" s="1420"/>
      <c r="BD11" s="1420"/>
      <c r="BE11" s="1421"/>
      <c r="BI11" s="271" t="s">
        <v>272</v>
      </c>
      <c r="BJ11" s="880"/>
      <c r="BK11" s="880"/>
      <c r="BL11" s="632"/>
      <c r="BM11" s="880"/>
      <c r="BN11" s="880"/>
      <c r="BO11" s="880"/>
      <c r="BP11" s="880"/>
      <c r="BQ11" s="880"/>
      <c r="BR11" s="880"/>
      <c r="BS11" s="880"/>
      <c r="BT11" s="880"/>
      <c r="BU11" s="880"/>
      <c r="BV11" s="880"/>
      <c r="BW11" s="264" t="s">
        <v>454</v>
      </c>
      <c r="BX11" s="271"/>
    </row>
    <row r="12" spans="2:76" ht="15" customHeight="1">
      <c r="BI12" s="271" t="s">
        <v>273</v>
      </c>
      <c r="BJ12" s="880">
        <v>2</v>
      </c>
      <c r="BK12" s="880"/>
      <c r="BL12" s="632"/>
      <c r="BM12" s="880"/>
      <c r="BN12" s="880"/>
      <c r="BO12" s="880"/>
      <c r="BP12" s="880"/>
      <c r="BQ12" s="880"/>
      <c r="BR12" s="880"/>
      <c r="BS12" s="880"/>
      <c r="BT12" s="880"/>
      <c r="BU12" s="880"/>
      <c r="BV12" s="880"/>
      <c r="BW12" s="264" t="s">
        <v>455</v>
      </c>
      <c r="BX12" s="271"/>
    </row>
    <row r="13" spans="2:76" ht="15" customHeight="1">
      <c r="B13" s="531" t="s">
        <v>14</v>
      </c>
      <c r="C13" s="533"/>
      <c r="D13" s="533"/>
      <c r="E13" s="533"/>
      <c r="F13" s="532"/>
      <c r="G13" s="532"/>
      <c r="H13" s="532"/>
      <c r="I13" s="532"/>
      <c r="J13" s="532"/>
      <c r="K13" s="532"/>
      <c r="L13" s="532"/>
      <c r="M13" s="532"/>
      <c r="N13" s="532"/>
      <c r="O13" s="532"/>
      <c r="P13" s="532"/>
      <c r="Q13" s="532"/>
      <c r="R13" s="532"/>
      <c r="S13" s="532"/>
      <c r="T13" s="532"/>
      <c r="U13" s="532"/>
      <c r="V13" s="532"/>
      <c r="W13" s="532"/>
      <c r="X13" s="532"/>
      <c r="Y13" s="532"/>
      <c r="Z13" s="532"/>
      <c r="AA13" s="532"/>
      <c r="AB13" s="532"/>
      <c r="AE13" s="534" t="s">
        <v>59</v>
      </c>
      <c r="AF13" s="535"/>
      <c r="AG13" s="536"/>
      <c r="AH13" s="537"/>
      <c r="AI13" s="538"/>
      <c r="AJ13" s="538"/>
      <c r="AK13" s="538"/>
      <c r="AL13" s="538"/>
      <c r="AM13" s="538"/>
      <c r="AN13" s="538"/>
      <c r="AO13" s="538"/>
      <c r="AP13" s="538"/>
      <c r="AQ13" s="538"/>
      <c r="AR13" s="538"/>
      <c r="AS13" s="538"/>
      <c r="AT13" s="538"/>
      <c r="AU13" s="538"/>
      <c r="AV13" s="538"/>
      <c r="AW13" s="538"/>
      <c r="AX13" s="538"/>
      <c r="AY13" s="538"/>
      <c r="AZ13" s="538"/>
      <c r="BA13" s="538"/>
      <c r="BB13" s="538"/>
      <c r="BC13" s="538"/>
      <c r="BD13" s="538"/>
      <c r="BE13" s="538"/>
      <c r="BI13" s="271" t="s">
        <v>274</v>
      </c>
      <c r="BJ13" s="880">
        <v>1</v>
      </c>
      <c r="BK13" s="880">
        <v>1</v>
      </c>
      <c r="BL13" s="632"/>
      <c r="BM13" s="880"/>
      <c r="BN13" s="880"/>
      <c r="BO13" s="880"/>
      <c r="BP13" s="880"/>
      <c r="BQ13" s="880"/>
      <c r="BR13" s="880"/>
      <c r="BS13" s="880"/>
      <c r="BT13" s="880"/>
      <c r="BU13" s="880"/>
      <c r="BV13" s="880"/>
      <c r="BW13" s="264" t="s">
        <v>456</v>
      </c>
      <c r="BX13" s="271"/>
    </row>
    <row r="14" spans="2:76" ht="15" customHeight="1">
      <c r="B14" s="302"/>
      <c r="C14" s="302"/>
      <c r="D14" s="302"/>
      <c r="E14" s="302"/>
      <c r="F14" s="302"/>
      <c r="G14" s="302"/>
      <c r="H14" s="302"/>
      <c r="I14" s="303"/>
      <c r="J14" s="303"/>
      <c r="K14" s="304"/>
      <c r="L14" s="302"/>
      <c r="M14" s="302"/>
      <c r="N14" s="305"/>
      <c r="O14" s="302"/>
      <c r="P14" s="302"/>
      <c r="Q14" s="302"/>
      <c r="R14" s="302"/>
      <c r="S14" s="302"/>
      <c r="T14" s="302"/>
      <c r="U14" s="302"/>
      <c r="V14" s="1132"/>
      <c r="W14" s="1132"/>
      <c r="X14" s="302"/>
      <c r="Y14" s="302"/>
      <c r="Z14" s="302"/>
      <c r="AA14" s="302"/>
      <c r="AB14" s="302"/>
      <c r="AE14" s="306"/>
      <c r="AF14" s="302"/>
      <c r="AG14" s="302"/>
      <c r="AH14" s="302"/>
      <c r="AI14" s="302"/>
      <c r="AJ14" s="302"/>
      <c r="AK14" s="307"/>
      <c r="AL14" s="307"/>
      <c r="AM14" s="307"/>
      <c r="AN14" s="307"/>
      <c r="AO14" s="308"/>
      <c r="AP14" s="309"/>
      <c r="AQ14" s="309"/>
      <c r="AR14" s="309"/>
      <c r="AS14" s="307"/>
      <c r="AT14" s="308"/>
      <c r="AU14" s="307"/>
      <c r="AV14" s="307"/>
      <c r="AW14" s="307"/>
      <c r="AX14" s="302"/>
      <c r="AY14" s="302"/>
      <c r="AZ14" s="302"/>
      <c r="BA14" s="302"/>
      <c r="BB14" s="302"/>
      <c r="BC14" s="302"/>
      <c r="BD14" s="302"/>
      <c r="BE14" s="302"/>
      <c r="BI14" s="271" t="s">
        <v>41</v>
      </c>
      <c r="BJ14" s="275">
        <f>SUM(BJ6:BJ13)</f>
        <v>56</v>
      </c>
      <c r="BK14" s="275">
        <f>SUM(BK6:BK13)</f>
        <v>63</v>
      </c>
      <c r="BL14" s="275">
        <f t="shared" ref="BL14:BO14" si="1">SUM(BL6:BL13)</f>
        <v>62</v>
      </c>
      <c r="BM14" s="275">
        <f t="shared" si="1"/>
        <v>62</v>
      </c>
      <c r="BN14" s="275">
        <f t="shared" si="1"/>
        <v>62</v>
      </c>
      <c r="BO14" s="275">
        <f t="shared" si="1"/>
        <v>62</v>
      </c>
      <c r="BP14" s="275">
        <f t="shared" ref="BP14:BV14" si="2">SUM(BP6:BP13)</f>
        <v>62</v>
      </c>
      <c r="BQ14" s="275">
        <f t="shared" si="2"/>
        <v>62</v>
      </c>
      <c r="BR14" s="275">
        <f t="shared" si="2"/>
        <v>62</v>
      </c>
      <c r="BS14" s="275">
        <f t="shared" si="2"/>
        <v>62</v>
      </c>
      <c r="BT14" s="275">
        <f t="shared" si="2"/>
        <v>62</v>
      </c>
      <c r="BU14" s="275">
        <f t="shared" si="2"/>
        <v>62</v>
      </c>
      <c r="BV14" s="275">
        <f t="shared" si="2"/>
        <v>62</v>
      </c>
      <c r="BW14" s="264" t="s">
        <v>457</v>
      </c>
      <c r="BX14" s="271"/>
    </row>
    <row r="15" spans="2:76" ht="15" customHeight="1">
      <c r="B15" s="1128" t="s">
        <v>185</v>
      </c>
      <c r="C15" s="1128"/>
      <c r="D15" s="1128"/>
      <c r="E15" s="1128"/>
      <c r="F15" s="1128"/>
      <c r="G15" s="1128"/>
      <c r="I15" s="1128" t="s">
        <v>275</v>
      </c>
      <c r="J15" s="1134"/>
      <c r="K15" s="1134"/>
      <c r="L15" s="1134"/>
      <c r="M15" s="1134"/>
      <c r="N15" s="1134"/>
      <c r="O15" s="1134"/>
      <c r="P15" s="1134"/>
      <c r="Q15" s="1134"/>
      <c r="R15" s="1134"/>
      <c r="S15" s="1134"/>
      <c r="T15" s="1134"/>
      <c r="U15" s="1134"/>
      <c r="V15" s="1134"/>
      <c r="W15" s="310"/>
      <c r="X15" s="1135" t="s">
        <v>360</v>
      </c>
      <c r="Y15" s="1136"/>
      <c r="Z15" s="1136"/>
      <c r="AA15" s="1136"/>
      <c r="AB15" s="1136"/>
      <c r="AE15" s="1128" t="s">
        <v>277</v>
      </c>
      <c r="AF15" s="1128"/>
      <c r="AG15" s="1128"/>
      <c r="AH15" s="1128"/>
      <c r="AI15" s="1128"/>
      <c r="AJ15" s="1128"/>
      <c r="AK15" s="311"/>
      <c r="AL15" s="1129" t="s">
        <v>62</v>
      </c>
      <c r="AM15" s="1129"/>
      <c r="AN15" s="1129"/>
      <c r="AO15" s="1129"/>
      <c r="AP15" s="1128" t="str">
        <f>CONCATENATE(Cover!M36,"+",12-Cover!M36)</f>
        <v>1+11</v>
      </c>
      <c r="AQ15" s="1128"/>
      <c r="AR15" s="311"/>
      <c r="AS15" s="1128" t="s">
        <v>278</v>
      </c>
      <c r="AT15" s="1128"/>
      <c r="AU15" s="1128"/>
      <c r="AV15" s="1128"/>
      <c r="AW15" s="1128"/>
      <c r="AX15" s="1128"/>
      <c r="AY15" s="311"/>
      <c r="AZ15" s="1128" t="s">
        <v>279</v>
      </c>
      <c r="BA15" s="1128"/>
      <c r="BB15" s="1128"/>
      <c r="BC15" s="1128"/>
      <c r="BD15" s="1128"/>
      <c r="BE15" s="1128"/>
      <c r="BV15" s="6"/>
      <c r="BW15" s="264" t="s">
        <v>458</v>
      </c>
    </row>
    <row r="16" spans="2:76" ht="15" customHeight="1">
      <c r="E16" s="312" t="s">
        <v>263</v>
      </c>
      <c r="G16" s="313">
        <f>SUMIF(BJ4:BV4,BE5,BJ6:BV6)</f>
        <v>54</v>
      </c>
      <c r="I16" s="1112" t="s">
        <v>280</v>
      </c>
      <c r="J16" s="1113"/>
      <c r="K16" s="1113"/>
      <c r="L16" s="1114"/>
      <c r="N16" s="1112" t="s">
        <v>281</v>
      </c>
      <c r="O16" s="1113"/>
      <c r="P16" s="1113"/>
      <c r="Q16" s="1114"/>
      <c r="S16" s="1112" t="s">
        <v>282</v>
      </c>
      <c r="T16" s="1113"/>
      <c r="U16" s="1113"/>
      <c r="V16" s="1114"/>
      <c r="X16" s="314" t="s">
        <v>361</v>
      </c>
      <c r="Y16" s="315"/>
      <c r="Z16" s="316"/>
      <c r="AA16" s="314"/>
      <c r="AB16" s="314"/>
      <c r="AE16" s="311"/>
      <c r="AF16" s="311"/>
      <c r="AG16" s="311"/>
      <c r="AI16" s="311"/>
      <c r="AJ16" s="103" t="s">
        <v>61</v>
      </c>
      <c r="AK16" s="311"/>
      <c r="AL16" s="311"/>
      <c r="AM16" s="311"/>
      <c r="AN16" s="311"/>
      <c r="AO16" s="311"/>
      <c r="AP16" s="311"/>
      <c r="AQ16" s="311"/>
      <c r="AR16" s="311"/>
      <c r="AS16" s="311"/>
      <c r="AT16" s="311"/>
      <c r="AU16" s="311"/>
      <c r="AV16" s="311"/>
      <c r="AW16" s="311"/>
      <c r="AX16" s="311"/>
      <c r="AY16" s="311"/>
      <c r="AZ16" s="311"/>
      <c r="BA16" s="311"/>
      <c r="BB16" s="311"/>
      <c r="BC16" s="311"/>
      <c r="BD16" s="311"/>
      <c r="BE16" s="311"/>
      <c r="BI16" s="271" t="s">
        <v>284</v>
      </c>
      <c r="BJ16" s="635">
        <v>11</v>
      </c>
      <c r="BK16" s="635">
        <v>2</v>
      </c>
      <c r="BL16" s="635"/>
      <c r="BM16" s="635"/>
      <c r="BN16" s="635"/>
      <c r="BO16" s="635"/>
      <c r="BP16" s="635"/>
      <c r="BQ16" s="635"/>
      <c r="BR16" s="635"/>
      <c r="BS16" s="635"/>
      <c r="BT16" s="635"/>
      <c r="BU16" s="635"/>
      <c r="BV16" s="635"/>
      <c r="BW16" s="587" t="s">
        <v>459</v>
      </c>
    </row>
    <row r="17" spans="2:81" ht="15" customHeight="1">
      <c r="E17" s="312" t="s">
        <v>285</v>
      </c>
      <c r="G17" s="313">
        <f>V20</f>
        <v>8</v>
      </c>
      <c r="I17" s="317"/>
      <c r="J17" s="312" t="s">
        <v>266</v>
      </c>
      <c r="K17" s="313">
        <f>SUMIF(BJ4:BV4,BE5,BJ7:BV7)</f>
        <v>-3</v>
      </c>
      <c r="L17" s="318"/>
      <c r="N17" s="317"/>
      <c r="O17" s="312" t="s">
        <v>286</v>
      </c>
      <c r="P17" s="313">
        <f>SUMIF(BJ4:BV4,BE5,BJ9:BV9)</f>
        <v>0</v>
      </c>
      <c r="Q17" s="318"/>
      <c r="S17" s="317"/>
      <c r="T17" s="312" t="s">
        <v>286</v>
      </c>
      <c r="U17" s="313">
        <f>SUMIF(BJ4:BV4,BE5,BJ11:BV11)</f>
        <v>0</v>
      </c>
      <c r="V17" s="319"/>
      <c r="X17" s="314" t="s">
        <v>287</v>
      </c>
      <c r="Y17" s="315"/>
      <c r="Z17" s="316"/>
      <c r="AA17" s="314">
        <f>SUMIF(Admin4!$B$5:$B$298,"8545",Admin4!$C$5:$C$298)</f>
        <v>0</v>
      </c>
      <c r="AB17" s="314"/>
      <c r="AE17" s="311"/>
      <c r="AF17" s="311"/>
      <c r="AG17" s="311"/>
      <c r="AI17" s="311"/>
      <c r="AJ17" s="320" t="s">
        <v>63</v>
      </c>
      <c r="AK17" s="311"/>
      <c r="AL17" s="311"/>
      <c r="AM17" s="311"/>
      <c r="AN17" s="1127">
        <f>SUMIF(Admin3!C8:O8,AR!BE5,Admin3!C229:O229)</f>
        <v>0</v>
      </c>
      <c r="AO17" s="1127"/>
      <c r="AP17" s="1127"/>
      <c r="AQ17" s="1127"/>
      <c r="AR17" s="311"/>
      <c r="AS17" s="311"/>
      <c r="AT17" s="311"/>
      <c r="AU17" s="1127">
        <f>SUMIF(Admin3!C8:O8,AR!BE5,Admin3!C233:O233)-SUMIF(Admin3!C8:O8,AR!BE5,Admin3!C229:O229)</f>
        <v>0</v>
      </c>
      <c r="AV17" s="1127"/>
      <c r="AW17" s="1127"/>
      <c r="AX17" s="1127"/>
      <c r="AY17" s="311"/>
      <c r="AZ17" s="311"/>
      <c r="BA17" s="311"/>
      <c r="BB17" s="1127">
        <f>SUMIF(Admin3!C8:O8,AR!BE5,Admin3!C237:O237)-SUMIF(Admin3!C8:O8,AR!BE5,Admin3!C229:O229)</f>
        <v>0</v>
      </c>
      <c r="BC17" s="1127"/>
      <c r="BD17" s="1127"/>
      <c r="BE17" s="1127"/>
    </row>
    <row r="18" spans="2:81" ht="15" customHeight="1">
      <c r="E18" s="312" t="s">
        <v>240</v>
      </c>
      <c r="G18" s="313">
        <f>SUMIF(BJ4:BV4,BE5,BJ13:BV13)</f>
        <v>1</v>
      </c>
      <c r="I18" s="321"/>
      <c r="J18" s="322" t="s">
        <v>288</v>
      </c>
      <c r="K18" s="323">
        <f>SUMIF(BJ4:BV4,BE5,BJ8:BV8)</f>
        <v>11</v>
      </c>
      <c r="L18" s="324"/>
      <c r="N18" s="321"/>
      <c r="O18" s="322" t="s">
        <v>289</v>
      </c>
      <c r="P18" s="323">
        <f>SUMIF(BJ4:BV4,BE5,BJ10:BV10)</f>
        <v>0</v>
      </c>
      <c r="Q18" s="324"/>
      <c r="S18" s="321"/>
      <c r="T18" s="322" t="s">
        <v>289</v>
      </c>
      <c r="U18" s="323">
        <f>SUMIF(BJ4:BV4,BE5,BJ12:BV12)</f>
        <v>0</v>
      </c>
      <c r="V18" s="325"/>
      <c r="X18" s="314"/>
      <c r="Y18" s="315"/>
      <c r="Z18" s="316"/>
      <c r="AA18" s="314"/>
      <c r="AB18" s="314"/>
      <c r="AE18" s="311"/>
      <c r="AF18" s="311"/>
      <c r="AG18" s="311"/>
      <c r="AH18" s="311"/>
      <c r="AI18" s="326"/>
      <c r="AJ18" s="320" t="s">
        <v>64</v>
      </c>
      <c r="AK18" s="311"/>
      <c r="AL18" s="311"/>
      <c r="AM18" s="311"/>
      <c r="AN18" s="1127">
        <f>SUMIF(Admin3!C8:O8,AR!BE5,Admin3!C230:O230)</f>
        <v>0</v>
      </c>
      <c r="AO18" s="1127"/>
      <c r="AP18" s="1127"/>
      <c r="AQ18" s="1127"/>
      <c r="AR18" s="311"/>
      <c r="AS18" s="311"/>
      <c r="AT18" s="311"/>
      <c r="AU18" s="1127">
        <f>SUMIF(Admin3!C8:O8,AR!BE5,Admin3!C234:O234)-SUMIF(Admin3!C8:O8,AR!BE5,Admin3!C230:O230)</f>
        <v>0</v>
      </c>
      <c r="AV18" s="1127"/>
      <c r="AW18" s="1127"/>
      <c r="AX18" s="1127"/>
      <c r="AY18" s="311"/>
      <c r="AZ18" s="311"/>
      <c r="BA18" s="311"/>
      <c r="BB18" s="1127">
        <f>SUMIF(Admin3!C8:O8,AR!BE5,Admin3!C238:O238)-SUMIF(Admin3!C8:O8,AR!BE5,Admin3!C230:O230)</f>
        <v>0</v>
      </c>
      <c r="BC18" s="1127"/>
      <c r="BD18" s="1127"/>
      <c r="BE18" s="1127"/>
    </row>
    <row r="19" spans="2:81" ht="15" customHeight="1" thickBot="1">
      <c r="E19" s="312" t="s">
        <v>41</v>
      </c>
      <c r="G19" s="327">
        <f>SUM(G16:G18)</f>
        <v>63</v>
      </c>
      <c r="I19" s="326"/>
      <c r="J19" s="326"/>
      <c r="K19" s="326"/>
      <c r="L19" s="326"/>
      <c r="M19" s="326"/>
      <c r="N19" s="326"/>
      <c r="O19" s="326"/>
      <c r="P19" s="326"/>
      <c r="Q19" s="326"/>
      <c r="R19" s="326"/>
      <c r="S19" s="326"/>
      <c r="T19" s="326"/>
      <c r="U19" s="326"/>
      <c r="V19" s="326"/>
      <c r="W19" s="326"/>
      <c r="X19" s="314" t="s">
        <v>290</v>
      </c>
      <c r="Y19" s="315"/>
      <c r="Z19" s="316"/>
      <c r="AA19" s="328"/>
      <c r="AB19" s="328"/>
      <c r="AE19" s="311"/>
      <c r="AF19" s="311"/>
      <c r="AG19" s="311"/>
      <c r="AH19" s="311"/>
      <c r="AJ19" s="320" t="s">
        <v>65</v>
      </c>
      <c r="AN19" s="1152">
        <f>SUM(AN17:AQ18)</f>
        <v>0</v>
      </c>
      <c r="AO19" s="1152"/>
      <c r="AP19" s="1152"/>
      <c r="AQ19" s="1152"/>
      <c r="AU19" s="1152">
        <f>SUM(AU17:AX18)</f>
        <v>0</v>
      </c>
      <c r="AV19" s="1152"/>
      <c r="AW19" s="1152"/>
      <c r="AX19" s="1152"/>
      <c r="BB19" s="1152">
        <f>SUM(BB17:BE18)</f>
        <v>0</v>
      </c>
      <c r="BC19" s="1152"/>
      <c r="BD19" s="1152"/>
      <c r="BE19" s="1152"/>
    </row>
    <row r="20" spans="2:81" ht="15" customHeight="1" thickTop="1" thickBot="1">
      <c r="B20" s="267"/>
      <c r="C20" s="267"/>
      <c r="D20" s="267"/>
      <c r="E20" s="312" t="s">
        <v>39</v>
      </c>
      <c r="G20" s="313">
        <f t="array" ref="G20">SUM(IF((Admin2!$C$6:$O$6=BE5)*(Admin2!$Q$9:$Q$83=BI2)*(Admin2!$B$9:$B$83="Annual Plan"),Admin2!$C$9:$O$83,0))</f>
        <v>61</v>
      </c>
      <c r="H20" s="326"/>
      <c r="I20" s="37" t="s">
        <v>284</v>
      </c>
      <c r="K20" s="326"/>
      <c r="L20" s="326"/>
      <c r="M20" s="329">
        <f>SUMIF(BJ4:BV4,BE5,BJ16:BV16)</f>
        <v>2</v>
      </c>
      <c r="T20" s="330" t="s">
        <v>291</v>
      </c>
      <c r="U20" s="326"/>
      <c r="V20" s="565">
        <f>SUM(K17:K18,P17:P18,U17:U18)</f>
        <v>8</v>
      </c>
      <c r="X20" s="314" t="s">
        <v>287</v>
      </c>
      <c r="Y20" s="315"/>
      <c r="Z20" s="316"/>
      <c r="AA20" s="314">
        <f>SUMIF(Admin4!$B$5:$B$298,"8545",Admin4!$D$5:$D$298)</f>
        <v>0</v>
      </c>
      <c r="AB20" s="314"/>
      <c r="AC20" s="326"/>
      <c r="AD20" s="326"/>
      <c r="AE20" s="305"/>
      <c r="AF20" s="305"/>
      <c r="AG20" s="305"/>
      <c r="AH20" s="305"/>
      <c r="BI20" s="272" t="s">
        <v>245</v>
      </c>
      <c r="BJ20" s="276"/>
      <c r="BK20" s="276"/>
      <c r="BL20" s="276"/>
      <c r="BM20" s="276"/>
      <c r="BN20" s="276"/>
      <c r="BO20" s="276"/>
      <c r="BP20" s="276"/>
      <c r="BQ20" s="276"/>
      <c r="BR20" s="276"/>
      <c r="BS20" s="276"/>
      <c r="BT20" s="276"/>
      <c r="BU20" s="276"/>
    </row>
    <row r="21" spans="2:81" ht="15" customHeight="1" thickTop="1" thickBot="1">
      <c r="B21" s="267"/>
      <c r="C21" s="267"/>
      <c r="D21" s="267"/>
      <c r="E21" s="312" t="s">
        <v>40</v>
      </c>
      <c r="F21" s="326"/>
      <c r="G21" s="327">
        <f t="array" ref="G21">SUM(IF((Admin2!$C$6:$O$6=BE5)*(Admin2!$Q$9:$Q$83=BI2)*(Admin2!$B$9:$B$83="Forecast"),Admin2!$C$9:$O$83,0))</f>
        <v>61</v>
      </c>
      <c r="H21" s="326"/>
      <c r="X21" s="314"/>
      <c r="Y21" s="315"/>
      <c r="Z21" s="316"/>
      <c r="AA21" s="314"/>
      <c r="AB21" s="314"/>
      <c r="AE21" s="302"/>
      <c r="AF21" s="302"/>
      <c r="AG21" s="302"/>
      <c r="AH21" s="302"/>
      <c r="AI21" s="311"/>
      <c r="AJ21" s="103" t="s">
        <v>23</v>
      </c>
      <c r="AK21" s="311"/>
      <c r="AL21" s="311"/>
      <c r="AM21" s="311"/>
      <c r="AN21" s="311"/>
      <c r="AO21" s="311"/>
      <c r="AP21" s="311"/>
      <c r="AQ21" s="311"/>
      <c r="AR21" s="311"/>
      <c r="AS21" s="311"/>
      <c r="AT21" s="311"/>
      <c r="AU21" s="311"/>
      <c r="AV21" s="311"/>
      <c r="AW21" s="311"/>
      <c r="AX21" s="311"/>
      <c r="AY21" s="311"/>
      <c r="AZ21" s="311"/>
      <c r="BA21" s="311"/>
      <c r="BB21" s="311"/>
      <c r="BC21" s="311"/>
      <c r="BD21" s="311"/>
      <c r="BE21" s="311"/>
      <c r="BI21" s="54" t="s">
        <v>292</v>
      </c>
      <c r="BJ21" s="1116" t="s">
        <v>460</v>
      </c>
      <c r="BK21" s="1116"/>
      <c r="BL21" s="1116"/>
      <c r="BM21" s="1116"/>
      <c r="BN21" s="1116"/>
      <c r="BO21" s="1116"/>
      <c r="BP21" s="1116"/>
      <c r="BQ21" s="1116"/>
      <c r="BR21" s="1116"/>
      <c r="BS21" s="1116"/>
      <c r="BT21" s="1116"/>
      <c r="BU21" s="1116"/>
    </row>
    <row r="22" spans="2:81" ht="15" customHeight="1" thickTop="1" thickBot="1">
      <c r="B22" s="267"/>
      <c r="C22" s="267"/>
      <c r="D22" s="267"/>
      <c r="E22" s="312" t="s">
        <v>294</v>
      </c>
      <c r="F22" s="326"/>
      <c r="G22" s="327">
        <f>$G$20-$G$19</f>
        <v>-2</v>
      </c>
      <c r="H22" s="326"/>
      <c r="K22" s="326"/>
      <c r="L22" s="326"/>
      <c r="U22" s="326"/>
      <c r="V22" s="326"/>
      <c r="W22" s="326"/>
      <c r="X22" s="314" t="s">
        <v>295</v>
      </c>
      <c r="Y22" s="315"/>
      <c r="Z22" s="316"/>
      <c r="AA22" s="328"/>
      <c r="AB22" s="331"/>
      <c r="AE22" s="302"/>
      <c r="AF22" s="302"/>
      <c r="AG22" s="302"/>
      <c r="AH22" s="302"/>
      <c r="AI22" s="311"/>
      <c r="AJ22" s="320" t="s">
        <v>63</v>
      </c>
      <c r="AK22" s="311"/>
      <c r="AL22" s="311"/>
      <c r="AM22" s="311"/>
      <c r="AN22" s="1127">
        <f>SUMIF(Admin3!C8:O8,AR!BE5,Admin3!C242:O242)</f>
        <v>0</v>
      </c>
      <c r="AO22" s="1127"/>
      <c r="AP22" s="1127"/>
      <c r="AQ22" s="1127"/>
      <c r="AR22" s="311"/>
      <c r="AS22" s="311"/>
      <c r="AT22" s="311"/>
      <c r="AU22" s="1127">
        <f>SUMIF(Admin3!C8:O8,AR!BE5,Admin3!C246:O246)-SUMIF(Admin3!C8:O8,AR!BE5,Admin3!C242:O242)</f>
        <v>0</v>
      </c>
      <c r="AV22" s="1127"/>
      <c r="AW22" s="1127"/>
      <c r="AX22" s="1127"/>
      <c r="AY22" s="311"/>
      <c r="AZ22" s="311"/>
      <c r="BA22" s="311"/>
      <c r="BB22" s="1127">
        <f>SUMIF(Admin3!C8:O8,AR!BE5,Admin3!C250:O250)-SUMIF(Admin3!C8:O8,AR!BE5,Admin3!C242:O242)</f>
        <v>0</v>
      </c>
      <c r="BC22" s="1127"/>
      <c r="BD22" s="1127"/>
      <c r="BE22" s="1127"/>
      <c r="BI22" s="54" t="s">
        <v>296</v>
      </c>
      <c r="BJ22" s="1233" t="s">
        <v>461</v>
      </c>
      <c r="BK22" s="1233"/>
      <c r="BL22" s="1233"/>
      <c r="BM22" s="1233"/>
      <c r="BN22" s="1233"/>
      <c r="BO22" s="1233"/>
      <c r="BP22" s="1233"/>
      <c r="BQ22" s="1233"/>
      <c r="BR22" s="1233"/>
      <c r="BS22" s="1233"/>
      <c r="BT22" s="1233"/>
      <c r="BU22" s="1233"/>
    </row>
    <row r="23" spans="2:81" ht="15" customHeight="1" thickTop="1" thickBot="1">
      <c r="B23" s="267"/>
      <c r="C23" s="267"/>
      <c r="D23" s="267"/>
      <c r="E23" s="312" t="s">
        <v>298</v>
      </c>
      <c r="F23" s="326"/>
      <c r="G23" s="327">
        <f>$G$21-$G$19</f>
        <v>-2</v>
      </c>
      <c r="H23" s="326"/>
      <c r="I23" s="96"/>
      <c r="J23" s="96"/>
      <c r="K23" s="326"/>
      <c r="L23" s="326"/>
      <c r="U23" s="326"/>
      <c r="V23" s="326"/>
      <c r="W23" s="326"/>
      <c r="X23" s="314" t="s">
        <v>299</v>
      </c>
      <c r="Y23" s="315"/>
      <c r="Z23" s="316"/>
      <c r="AA23" s="314">
        <f>SUMIF(Admin4!$L$5:$L$298,"8545",Admin4!$N$5:$N$298)</f>
        <v>0</v>
      </c>
      <c r="AB23" s="331"/>
      <c r="AE23" s="302"/>
      <c r="AF23" s="302"/>
      <c r="AG23" s="302"/>
      <c r="AH23" s="302"/>
      <c r="AI23" s="302"/>
      <c r="AJ23" s="320" t="s">
        <v>64</v>
      </c>
      <c r="AK23" s="311"/>
      <c r="AL23" s="311"/>
      <c r="AM23" s="311"/>
      <c r="AN23" s="1127">
        <f>SUMIF(Admin3!C8:O8,AR!BE5,Admin3!C243:O243)</f>
        <v>0</v>
      </c>
      <c r="AO23" s="1127"/>
      <c r="AP23" s="1127"/>
      <c r="AQ23" s="1127"/>
      <c r="AR23" s="311"/>
      <c r="AS23" s="311"/>
      <c r="AT23" s="311"/>
      <c r="AU23" s="1127">
        <f>SUMIF(Admin3!C8:O8,AR!BE5,Admin3!C247:O247)-SUMIF(Admin3!C8:O8,AR!BE5,Admin3!C243:O243)</f>
        <v>0</v>
      </c>
      <c r="AV23" s="1127"/>
      <c r="AW23" s="1127"/>
      <c r="AX23" s="1127"/>
      <c r="AY23" s="311"/>
      <c r="AZ23" s="311"/>
      <c r="BA23" s="311"/>
      <c r="BB23" s="1127">
        <f>SUMIF(Admin3!C8:O8,AR!BE5,Admin3!C251:O251)-SUMIF(Admin3!C8:O8,AR!BE5,Admin3!C243:O243)</f>
        <v>0</v>
      </c>
      <c r="BC23" s="1127"/>
      <c r="BD23" s="1127"/>
      <c r="BE23" s="1127"/>
      <c r="BI23" s="54" t="s">
        <v>300</v>
      </c>
      <c r="BJ23" s="1222" t="s">
        <v>462</v>
      </c>
      <c r="BK23" s="1222"/>
      <c r="BL23" s="1222"/>
      <c r="BM23" s="1222"/>
      <c r="BN23" s="1222"/>
      <c r="BO23" s="1222"/>
      <c r="BP23" s="1222"/>
      <c r="BQ23" s="1222"/>
      <c r="BR23" s="1222"/>
      <c r="BS23" s="1222"/>
      <c r="BT23" s="1222"/>
      <c r="BU23" s="1222"/>
    </row>
    <row r="24" spans="2:81" ht="15" customHeight="1" thickTop="1" thickBot="1">
      <c r="B24" s="267"/>
      <c r="C24" s="267"/>
      <c r="D24" s="267"/>
      <c r="E24" s="312"/>
      <c r="F24" s="326"/>
      <c r="G24" s="96"/>
      <c r="H24" s="326"/>
      <c r="I24" s="96"/>
      <c r="J24" s="96"/>
      <c r="K24" s="326"/>
      <c r="L24" s="326"/>
      <c r="U24" s="326"/>
      <c r="V24" s="326"/>
      <c r="W24" s="326"/>
      <c r="X24" s="239"/>
      <c r="Y24" s="239"/>
      <c r="Z24" s="240"/>
      <c r="AA24" s="239"/>
      <c r="AB24" s="241"/>
      <c r="AE24" s="302"/>
      <c r="AF24" s="302"/>
      <c r="AG24" s="302"/>
      <c r="AH24" s="302"/>
      <c r="AI24" s="302"/>
      <c r="AJ24" s="320" t="s">
        <v>65</v>
      </c>
      <c r="AK24" s="311"/>
      <c r="AL24" s="311"/>
      <c r="AM24" s="311"/>
      <c r="AN24" s="1152">
        <f>SUM(AN22:AQ23)</f>
        <v>0</v>
      </c>
      <c r="AO24" s="1152"/>
      <c r="AP24" s="1152"/>
      <c r="AQ24" s="1152"/>
      <c r="AR24" s="311"/>
      <c r="AS24" s="311"/>
      <c r="AT24" s="311"/>
      <c r="AU24" s="1152">
        <f>SUM(AU22:AX23)</f>
        <v>0</v>
      </c>
      <c r="AV24" s="1152"/>
      <c r="AW24" s="1152"/>
      <c r="AX24" s="1152"/>
      <c r="AY24" s="311"/>
      <c r="AZ24" s="311"/>
      <c r="BA24" s="311"/>
      <c r="BB24" s="1152">
        <f>SUM(BB22:BE23)</f>
        <v>0</v>
      </c>
      <c r="BC24" s="1152"/>
      <c r="BD24" s="1152"/>
      <c r="BE24" s="1152"/>
      <c r="BI24" s="1402" t="s">
        <v>7</v>
      </c>
      <c r="BJ24" s="1403"/>
      <c r="BK24" s="1404"/>
      <c r="BL24" s="1402" t="s">
        <v>302</v>
      </c>
      <c r="BM24" s="1403"/>
      <c r="BN24" s="1403"/>
      <c r="BO24" s="1403"/>
      <c r="BP24" s="1404"/>
      <c r="BQ24" s="1402" t="s">
        <v>719</v>
      </c>
      <c r="BR24" s="1403"/>
      <c r="BS24" s="1403"/>
      <c r="BT24" s="1403"/>
      <c r="BU24" s="1404"/>
      <c r="BW24" s="1402" t="s">
        <v>303</v>
      </c>
      <c r="BX24" s="1403"/>
      <c r="BY24" s="1403"/>
      <c r="BZ24" s="1403"/>
      <c r="CA24" s="1403"/>
      <c r="CB24" s="1403"/>
      <c r="CC24" s="1404"/>
    </row>
    <row r="25" spans="2:81" ht="15" customHeight="1" thickTop="1">
      <c r="B25" s="267"/>
      <c r="C25" s="267"/>
      <c r="D25" s="267"/>
      <c r="E25" s="312"/>
      <c r="F25" s="326"/>
      <c r="G25" s="95">
        <f>G26-SUM($G$16:$G$18)</f>
        <v>0</v>
      </c>
      <c r="H25" s="326"/>
      <c r="I25" s="96" t="str">
        <f>IF(G25&lt;&gt;0,"There is a variance in reported ending EEs.","")</f>
        <v/>
      </c>
      <c r="J25" s="96"/>
      <c r="K25" s="326"/>
      <c r="L25" s="326"/>
      <c r="U25" s="326"/>
      <c r="V25" s="326"/>
      <c r="W25" s="326"/>
      <c r="X25" s="326"/>
      <c r="Y25" s="326"/>
      <c r="Z25" s="320"/>
      <c r="AA25" s="326"/>
      <c r="AB25" s="332"/>
      <c r="AE25" s="302"/>
      <c r="AF25" s="302"/>
      <c r="AG25" s="302"/>
      <c r="AH25" s="302"/>
      <c r="AI25" s="302"/>
      <c r="AJ25" s="320"/>
      <c r="AK25" s="311"/>
      <c r="AL25" s="311"/>
      <c r="AM25" s="311"/>
      <c r="AN25" s="333"/>
      <c r="AO25" s="333"/>
      <c r="AP25" s="333"/>
      <c r="AQ25" s="333"/>
      <c r="AR25" s="311"/>
      <c r="AS25" s="311"/>
      <c r="AT25" s="311"/>
      <c r="AU25" s="333"/>
      <c r="AV25" s="333"/>
      <c r="AW25" s="333"/>
      <c r="AX25" s="333"/>
      <c r="AY25" s="311"/>
      <c r="AZ25" s="311"/>
      <c r="BA25" s="311"/>
      <c r="BB25" s="333"/>
      <c r="BC25" s="333"/>
      <c r="BD25" s="333"/>
      <c r="BE25" s="333"/>
      <c r="BI25" s="636" t="s">
        <v>23</v>
      </c>
      <c r="BJ25" s="636" t="s">
        <v>37</v>
      </c>
      <c r="BK25" s="636" t="s">
        <v>304</v>
      </c>
      <c r="BL25" s="637" t="s">
        <v>305</v>
      </c>
      <c r="BM25" s="637" t="s">
        <v>310</v>
      </c>
      <c r="BN25" s="637" t="s">
        <v>311</v>
      </c>
      <c r="BO25" s="278" t="s">
        <v>312</v>
      </c>
      <c r="BP25" s="637" t="s">
        <v>313</v>
      </c>
      <c r="BQ25" s="637" t="s">
        <v>305</v>
      </c>
      <c r="BR25" s="637" t="s">
        <v>715</v>
      </c>
      <c r="BS25" s="637" t="s">
        <v>716</v>
      </c>
      <c r="BT25" s="278" t="s">
        <v>717</v>
      </c>
      <c r="BU25" s="637" t="s">
        <v>718</v>
      </c>
      <c r="BW25" s="279" t="s">
        <v>314</v>
      </c>
      <c r="BX25" s="279" t="s">
        <v>23</v>
      </c>
      <c r="BY25" s="280" t="s">
        <v>315</v>
      </c>
      <c r="BZ25" s="279" t="s">
        <v>122</v>
      </c>
      <c r="CA25" s="279" t="s">
        <v>316</v>
      </c>
      <c r="CB25" s="279" t="s">
        <v>317</v>
      </c>
      <c r="CC25" s="279" t="s">
        <v>318</v>
      </c>
    </row>
    <row r="26" spans="2:81" ht="15" customHeight="1">
      <c r="B26" s="267"/>
      <c r="C26" s="267"/>
      <c r="D26" s="267"/>
      <c r="E26" s="312"/>
      <c r="F26" s="326"/>
      <c r="G26" s="95">
        <f t="array" ref="G26">SUM(IF((Admin2!$C$6:$O$6=$BE$5)*(Admin2!$Q$9:$Q$61=$BI$2)*(Admin2!$B$9:$B$61="Ending EEs"),Admin2!$C$9:$O$61,0))</f>
        <v>63</v>
      </c>
      <c r="H26" s="326"/>
      <c r="I26" s="96" t="str">
        <f>IF(G26&lt;&gt;0,"Ending headcount per Kronos/HCMS.","")</f>
        <v>Ending headcount per Kronos/HCMS.</v>
      </c>
      <c r="J26" s="96"/>
      <c r="K26" s="326"/>
      <c r="L26" s="326"/>
      <c r="U26" s="326"/>
      <c r="V26" s="326"/>
      <c r="W26" s="326"/>
      <c r="X26" s="326"/>
      <c r="Y26" s="326"/>
      <c r="Z26" s="320"/>
      <c r="AA26" s="326"/>
      <c r="AB26" s="332"/>
      <c r="AE26" s="302"/>
      <c r="AF26" s="302"/>
      <c r="AG26" s="302"/>
      <c r="AH26" s="302"/>
      <c r="AI26" s="302"/>
      <c r="AJ26" s="320"/>
      <c r="AK26" s="311"/>
      <c r="AL26" s="311"/>
      <c r="AM26" s="311"/>
      <c r="AN26" s="333"/>
      <c r="AO26" s="333"/>
      <c r="AP26" s="333"/>
      <c r="AQ26" s="333"/>
      <c r="AR26" s="311"/>
      <c r="AS26" s="311"/>
      <c r="AT26" s="311"/>
      <c r="AU26" s="333"/>
      <c r="AV26" s="333"/>
      <c r="AW26" s="333"/>
      <c r="AX26" s="333"/>
      <c r="AY26" s="311"/>
      <c r="AZ26" s="311"/>
      <c r="BA26" s="311"/>
      <c r="BB26" s="333"/>
      <c r="BC26" s="333"/>
      <c r="BD26" s="333"/>
      <c r="BE26" s="333"/>
      <c r="BI26" s="638" t="s">
        <v>319</v>
      </c>
      <c r="BJ26" s="638">
        <v>1</v>
      </c>
      <c r="BK26" s="638" t="s">
        <v>320</v>
      </c>
      <c r="BL26" s="689">
        <v>4.7671999999999999</v>
      </c>
      <c r="BM26" s="689">
        <v>5.0439999999999996</v>
      </c>
      <c r="BN26" s="653">
        <f>IF(BM26="","",BL26/BM26)</f>
        <v>0.94512291831879469</v>
      </c>
      <c r="BO26" s="289">
        <f>IF(SUM(BM26:BM28=0),0,SUM(BL26:BL28)/SUM(BM26:BM28))</f>
        <v>0.93600449564484411</v>
      </c>
      <c r="BP26" s="821">
        <v>0.9</v>
      </c>
      <c r="BQ26" s="689">
        <v>8.6359999999999992</v>
      </c>
      <c r="BR26" s="689">
        <v>9.01</v>
      </c>
      <c r="BS26" s="842">
        <f>IF(BR26="","",BQ26/BR26)</f>
        <v>0.95849056603773575</v>
      </c>
      <c r="BT26" s="289">
        <f>IF(SUM(BR26:BR28=0),0,SUM(BQ26:BQ28)/SUM(BR26:BR28))</f>
        <v>0.95849056603773575</v>
      </c>
      <c r="BU26" s="821">
        <v>0.9</v>
      </c>
      <c r="BX26" s="666" t="str">
        <f t="shared" ref="BX26:BX37" si="3">TEXT(CONCATENATE(CC26,"/01/20",CB26),"MMM")</f>
        <v>Oct</v>
      </c>
      <c r="BY26" s="643">
        <f>IF(CB26=$CB38,SUMIF($BI26:$BI37,$BX26,$BR26:$BR37),SUMIF($BI26:$BI37,$BX26,$BM26:$BM37))</f>
        <v>5.0439999999999996</v>
      </c>
      <c r="BZ26" s="821">
        <f>IF(IF(CB26=CB38,SUMIF(BI26:BI37,$BX26,BU26:BU37),SUMIF(BI26:BI37,$BX26,BP26:BP37))=0,NA(),IF(CB26=CB38,SUMIF(BI26:BI37,$BX26,BU26:BU37),SUMIF(BI26:BI37,$BX26,BP26:BP37)))</f>
        <v>0.9</v>
      </c>
      <c r="CA26" s="644">
        <f>IF(IF(CB26=CB38,SUMIF(BI26:BI37,$BX26,BS26:BS37),SUMIF(BI26:BI37,$BX26,BN26:BN37))=0,NA(),IF(CB26=CB38,SUMIF(BI26:BI37,$BX26,BS26:BS37),SUMIF(BI26:BI37,$BX26,BN26:BN37)))</f>
        <v>0.94512291831879469</v>
      </c>
      <c r="CB26" s="645">
        <v>23</v>
      </c>
      <c r="CC26" s="645">
        <f t="shared" ref="CC26:CC36" si="4">IF(CC27-1&lt;1,CC27+11,CC27-1)</f>
        <v>10</v>
      </c>
    </row>
    <row r="27" spans="2:81" ht="15" customHeight="1">
      <c r="B27" s="267"/>
      <c r="C27" s="267"/>
      <c r="D27" s="267"/>
      <c r="E27" s="312"/>
      <c r="F27" s="326"/>
      <c r="G27" s="312"/>
      <c r="H27" s="312"/>
      <c r="I27" s="312"/>
      <c r="J27" s="312"/>
      <c r="K27" s="326"/>
      <c r="L27" s="326"/>
      <c r="U27" s="326"/>
      <c r="V27" s="326"/>
      <c r="W27" s="326"/>
      <c r="X27" s="326"/>
      <c r="Y27" s="326"/>
      <c r="Z27" s="320"/>
      <c r="AA27" s="326"/>
      <c r="AB27" s="332"/>
      <c r="AE27" s="302"/>
      <c r="AF27" s="302"/>
      <c r="AG27" s="302"/>
      <c r="AH27" s="302"/>
      <c r="AI27" s="302"/>
      <c r="AJ27" s="320"/>
      <c r="AK27" s="311"/>
      <c r="AL27" s="311"/>
      <c r="AM27" s="311"/>
      <c r="AN27" s="333"/>
      <c r="AO27" s="333"/>
      <c r="AP27" s="333"/>
      <c r="AQ27" s="333"/>
      <c r="AR27" s="311"/>
      <c r="AS27" s="311"/>
      <c r="AT27" s="311"/>
      <c r="AU27" s="333"/>
      <c r="AV27" s="333"/>
      <c r="AW27" s="333"/>
      <c r="AX27" s="333"/>
      <c r="AY27" s="311"/>
      <c r="AZ27" s="311"/>
      <c r="BA27" s="311"/>
      <c r="BB27" s="333"/>
      <c r="BC27" s="333"/>
      <c r="BD27" s="333"/>
      <c r="BE27" s="333"/>
      <c r="BI27" s="638" t="s">
        <v>321</v>
      </c>
      <c r="BJ27" s="638">
        <v>2</v>
      </c>
      <c r="BK27" s="638" t="s">
        <v>320</v>
      </c>
      <c r="BL27" s="689">
        <v>5.4930000000000003</v>
      </c>
      <c r="BM27" s="689">
        <v>5.8719999999999999</v>
      </c>
      <c r="BN27" s="653">
        <f t="shared" ref="BN27:BN37" si="5">IF(BM27="","",BL27/BM27)</f>
        <v>0.93545640326975488</v>
      </c>
      <c r="BO27" s="845"/>
      <c r="BP27" s="821">
        <v>0.9</v>
      </c>
      <c r="BQ27" s="689"/>
      <c r="BR27" s="689"/>
      <c r="BS27" s="842" t="str">
        <f t="shared" ref="BS27:BS37" si="6">IF(BR27="","",BQ27/BR27)</f>
        <v/>
      </c>
      <c r="BT27" s="845"/>
      <c r="BU27" s="821">
        <v>0.9</v>
      </c>
      <c r="BX27" s="666" t="str">
        <f t="shared" si="3"/>
        <v>Nov</v>
      </c>
      <c r="BY27" s="643">
        <f>IF(CB27=$CB38,SUMIF($BI26:$BI37,$BX27,$BR26:$BR37),SUMIF($BI26:$BI37,$BX27,$BM26:$BM37))</f>
        <v>5.8719999999999999</v>
      </c>
      <c r="BZ27" s="821">
        <f>IF(IF(CB27=CB38,SUMIF(BI26:BI37,$BX27,BU26:BU37),SUMIF(BI26:BI37,$BX27,BP26:BP37))=0,NA(),IF(CB27=CB38,SUMIF(BI26:BI37,$BX27,BU26:BU37),SUMIF(BI26:BI37,$BX27,BP26:BP37)))</f>
        <v>0.9</v>
      </c>
      <c r="CA27" s="644">
        <f>IF(IF(CB27=CB38,SUMIF(BI26:BI37,$BX27,BS26:BS37),SUMIF(BI26:BI37,$BX27,BN26:BN37))=0,NA(),IF(CB27=CB38,SUMIF(BI26:BI37,$BX27,BS26:BS37),SUMIF(BI26:BI37,$BX27,BN26:BN37)))</f>
        <v>0.93545640326975488</v>
      </c>
      <c r="CB27" s="645">
        <v>23</v>
      </c>
      <c r="CC27" s="645">
        <f t="shared" si="4"/>
        <v>11</v>
      </c>
    </row>
    <row r="28" spans="2:81" ht="15" customHeight="1">
      <c r="B28" s="267" t="s">
        <v>242</v>
      </c>
      <c r="C28" s="267"/>
      <c r="D28" s="267"/>
      <c r="E28" s="334"/>
      <c r="F28" s="326"/>
      <c r="G28" s="326"/>
      <c r="H28" s="326"/>
      <c r="I28" s="326"/>
      <c r="J28" s="326"/>
      <c r="K28" s="326"/>
      <c r="L28" s="326"/>
      <c r="M28" s="326"/>
      <c r="N28" s="326"/>
      <c r="O28" s="326"/>
      <c r="P28" s="326"/>
      <c r="Q28" s="326"/>
      <c r="R28" s="326"/>
      <c r="S28" s="326"/>
      <c r="T28" s="326"/>
      <c r="U28" s="326"/>
      <c r="V28" s="326"/>
      <c r="W28" s="326"/>
      <c r="X28" s="326"/>
      <c r="Y28" s="326"/>
      <c r="Z28" s="326"/>
      <c r="AA28" s="326"/>
      <c r="AB28" s="326"/>
      <c r="AE28" s="267" t="s">
        <v>242</v>
      </c>
      <c r="AF28" s="267"/>
      <c r="AG28" s="267"/>
      <c r="AH28" s="334"/>
      <c r="AI28" s="326"/>
      <c r="AJ28" s="326"/>
      <c r="AK28" s="326"/>
      <c r="AL28" s="326"/>
      <c r="AM28" s="326"/>
      <c r="AN28" s="326"/>
      <c r="AO28" s="326"/>
      <c r="AP28" s="326"/>
      <c r="AQ28" s="326"/>
      <c r="AR28" s="326"/>
      <c r="AS28" s="326"/>
      <c r="AT28" s="326"/>
      <c r="AU28" s="326"/>
      <c r="AV28" s="326"/>
      <c r="AW28" s="326"/>
      <c r="AX28" s="326"/>
      <c r="AY28" s="326"/>
      <c r="AZ28" s="326"/>
      <c r="BA28" s="326"/>
      <c r="BB28" s="326"/>
      <c r="BC28" s="326"/>
      <c r="BD28" s="326"/>
      <c r="BE28" s="326"/>
      <c r="BI28" s="638" t="s">
        <v>322</v>
      </c>
      <c r="BJ28" s="638">
        <v>3</v>
      </c>
      <c r="BK28" s="638" t="s">
        <v>320</v>
      </c>
      <c r="BL28" s="689">
        <v>6.3959999999999999</v>
      </c>
      <c r="BM28" s="689">
        <v>6.8789999999999996</v>
      </c>
      <c r="BN28" s="653">
        <f t="shared" si="5"/>
        <v>0.92978630614914959</v>
      </c>
      <c r="BO28" s="845"/>
      <c r="BP28" s="821">
        <v>0.9</v>
      </c>
      <c r="BQ28" s="689"/>
      <c r="BR28" s="689"/>
      <c r="BS28" s="842" t="str">
        <f t="shared" si="6"/>
        <v/>
      </c>
      <c r="BT28" s="845"/>
      <c r="BU28" s="821">
        <v>0.9</v>
      </c>
      <c r="BX28" s="666" t="str">
        <f t="shared" si="3"/>
        <v>Dec</v>
      </c>
      <c r="BY28" s="643">
        <f>IF(CB28=$CB38,SUMIF($BI26:$BI37,$BX28,$BR26:$BR37),SUMIF($BI26:$BI37,$BX28,$BM26:$BM37))</f>
        <v>6.8789999999999996</v>
      </c>
      <c r="BZ28" s="821">
        <f>IF(IF(CB28=CB38,SUMIF(BI26:BI37,$BX28,BU26:BU37),SUMIF(BI26:BI37,$BX28,BP26:BP37))=0,NA(),IF(CB28=CB38,SUMIF(BI26:BI37,$BX28,BU26:BU37),SUMIF(BI26:BI37,$BX28,BP26:BP37)))</f>
        <v>0.9</v>
      </c>
      <c r="CA28" s="644">
        <f>IF(IF(CB28=CB38,SUMIF(BI26:BI37,$BX28,BS26:BS37),SUMIF(BI26:BI37,$BX28,BN26:BN37))=0,NA(),IF(CB28=CB38,SUMIF(BI26:BI37,$BX28,BS26:BS37),SUMIF(BI26:BI37,$BX28,BN26:BN37)))</f>
        <v>0.92978630614914959</v>
      </c>
      <c r="CB28" s="645">
        <v>23</v>
      </c>
      <c r="CC28" s="645">
        <f t="shared" si="4"/>
        <v>12</v>
      </c>
    </row>
    <row r="29" spans="2:81" ht="15" customHeight="1">
      <c r="B29" s="1422" t="s">
        <v>768</v>
      </c>
      <c r="C29" s="1138"/>
      <c r="D29" s="1138"/>
      <c r="E29" s="1138"/>
      <c r="F29" s="1138"/>
      <c r="G29" s="1138"/>
      <c r="H29" s="1138"/>
      <c r="I29" s="1138"/>
      <c r="J29" s="1138"/>
      <c r="K29" s="1138"/>
      <c r="L29" s="1138"/>
      <c r="M29" s="1138"/>
      <c r="N29" s="1138"/>
      <c r="O29" s="1138"/>
      <c r="P29" s="1138"/>
      <c r="Q29" s="1138"/>
      <c r="R29" s="1138"/>
      <c r="S29" s="1138"/>
      <c r="T29" s="1138"/>
      <c r="U29" s="1138"/>
      <c r="V29" s="1138"/>
      <c r="W29" s="1138"/>
      <c r="X29" s="1138"/>
      <c r="Y29" s="1138"/>
      <c r="Z29" s="1138"/>
      <c r="AA29" s="1138"/>
      <c r="AB29" s="1139"/>
      <c r="AC29" s="583"/>
      <c r="AD29" s="583"/>
      <c r="AE29" s="1137"/>
      <c r="AF29" s="1138"/>
      <c r="AG29" s="1138"/>
      <c r="AH29" s="1138"/>
      <c r="AI29" s="1138"/>
      <c r="AJ29" s="1138"/>
      <c r="AK29" s="1138"/>
      <c r="AL29" s="1138"/>
      <c r="AM29" s="1138"/>
      <c r="AN29" s="1138"/>
      <c r="AO29" s="1138"/>
      <c r="AP29" s="1138"/>
      <c r="AQ29" s="1138"/>
      <c r="AR29" s="1138"/>
      <c r="AS29" s="1138"/>
      <c r="AT29" s="1138"/>
      <c r="AU29" s="1138"/>
      <c r="AV29" s="1138"/>
      <c r="AW29" s="1138"/>
      <c r="AX29" s="1138"/>
      <c r="AY29" s="1138"/>
      <c r="AZ29" s="1138"/>
      <c r="BA29" s="1138"/>
      <c r="BB29" s="1138"/>
      <c r="BC29" s="1138"/>
      <c r="BD29" s="1138"/>
      <c r="BE29" s="1139"/>
      <c r="BI29" s="638" t="s">
        <v>323</v>
      </c>
      <c r="BJ29" s="638">
        <v>4</v>
      </c>
      <c r="BK29" s="638" t="s">
        <v>324</v>
      </c>
      <c r="BL29" s="689">
        <v>6.3860000000000001</v>
      </c>
      <c r="BM29" s="689">
        <v>6.7670000000000003</v>
      </c>
      <c r="BN29" s="653">
        <f t="shared" si="5"/>
        <v>0.94369735481010786</v>
      </c>
      <c r="BO29" s="289">
        <f>IF(SUM(BM29:BM31=0),0,SUM(BL29:BL31)/SUM(BM29:BM31))</f>
        <v>0.9488152404943716</v>
      </c>
      <c r="BP29" s="821">
        <v>0.9</v>
      </c>
      <c r="BQ29" s="689"/>
      <c r="BR29" s="689"/>
      <c r="BS29" s="842" t="str">
        <f t="shared" si="6"/>
        <v/>
      </c>
      <c r="BT29" s="289">
        <f>IF(SUM(BR29:BR31=0),0,SUM(BQ29:BQ31)/SUM(BR29:BR31))</f>
        <v>0</v>
      </c>
      <c r="BU29" s="821">
        <v>0.9</v>
      </c>
      <c r="BX29" s="666" t="str">
        <f t="shared" si="3"/>
        <v>Jan</v>
      </c>
      <c r="BY29" s="643">
        <f>IF(CB29=$CB38,SUMIF($BI26:$BI37,$BX29,$BR26:$BR37),SUMIF($BI26:$BI37,$BX29,$BM26:$BM37))</f>
        <v>6.7670000000000003</v>
      </c>
      <c r="BZ29" s="821">
        <f>IF(IF(CB29=CB38,SUMIF(BI26:BI37,$BX29,BU26:BU37),SUMIF(BI26:BI37,$BX29,BP26:BP37))=0,NA(),IF(CB29=CB38,SUMIF(BI26:BI37,$BX29,BU26:BU37),SUMIF(BI26:BI37,$BX29,BP26:BP37)))</f>
        <v>0.9</v>
      </c>
      <c r="CA29" s="644">
        <f>IF(IF(CB29=CB38,SUMIF(BI26:BI37,$BX29,BS26:BS37),SUMIF(BI26:BI37,$BX29,BN26:BN37))=0,NA(),IF(CB29=CB38,SUMIF(BI26:BI37,$BX29,BS26:BS37),SUMIF(BI26:BI37,$BX29,BN26:BN37)))</f>
        <v>0.94369735481010786</v>
      </c>
      <c r="CB29" s="645">
        <v>23</v>
      </c>
      <c r="CC29" s="645">
        <f t="shared" si="4"/>
        <v>1</v>
      </c>
    </row>
    <row r="30" spans="2:81" ht="15" customHeight="1">
      <c r="B30" s="1140"/>
      <c r="C30" s="1141"/>
      <c r="D30" s="1141"/>
      <c r="E30" s="1141"/>
      <c r="F30" s="1141"/>
      <c r="G30" s="1141"/>
      <c r="H30" s="1141"/>
      <c r="I30" s="1141"/>
      <c r="J30" s="1141"/>
      <c r="K30" s="1141"/>
      <c r="L30" s="1141"/>
      <c r="M30" s="1141"/>
      <c r="N30" s="1141"/>
      <c r="O30" s="1141"/>
      <c r="P30" s="1141"/>
      <c r="Q30" s="1141"/>
      <c r="R30" s="1141"/>
      <c r="S30" s="1141"/>
      <c r="T30" s="1141"/>
      <c r="U30" s="1141"/>
      <c r="V30" s="1141"/>
      <c r="W30" s="1141"/>
      <c r="X30" s="1141"/>
      <c r="Y30" s="1141"/>
      <c r="Z30" s="1141"/>
      <c r="AA30" s="1141"/>
      <c r="AB30" s="1142"/>
      <c r="AC30" s="583"/>
      <c r="AD30" s="583"/>
      <c r="AE30" s="1140"/>
      <c r="AF30" s="1141"/>
      <c r="AG30" s="1141"/>
      <c r="AH30" s="1141"/>
      <c r="AI30" s="1141"/>
      <c r="AJ30" s="1141"/>
      <c r="AK30" s="1141"/>
      <c r="AL30" s="1141"/>
      <c r="AM30" s="1141"/>
      <c r="AN30" s="1141"/>
      <c r="AO30" s="1141"/>
      <c r="AP30" s="1141"/>
      <c r="AQ30" s="1141"/>
      <c r="AR30" s="1141"/>
      <c r="AS30" s="1141"/>
      <c r="AT30" s="1141"/>
      <c r="AU30" s="1141"/>
      <c r="AV30" s="1141"/>
      <c r="AW30" s="1141"/>
      <c r="AX30" s="1141"/>
      <c r="AY30" s="1141"/>
      <c r="AZ30" s="1141"/>
      <c r="BA30" s="1141"/>
      <c r="BB30" s="1141"/>
      <c r="BC30" s="1141"/>
      <c r="BD30" s="1141"/>
      <c r="BE30" s="1142"/>
      <c r="BI30" s="638" t="s">
        <v>325</v>
      </c>
      <c r="BJ30" s="638">
        <v>5</v>
      </c>
      <c r="BK30" s="638" t="s">
        <v>324</v>
      </c>
      <c r="BL30" s="690">
        <v>7.2670000000000003</v>
      </c>
      <c r="BM30" s="690">
        <v>7.64</v>
      </c>
      <c r="BN30" s="653">
        <f t="shared" si="5"/>
        <v>0.95117801047120432</v>
      </c>
      <c r="BO30" s="845"/>
      <c r="BP30" s="821">
        <v>0.9</v>
      </c>
      <c r="BQ30" s="689"/>
      <c r="BR30" s="689"/>
      <c r="BS30" s="842" t="str">
        <f t="shared" si="6"/>
        <v/>
      </c>
      <c r="BT30" s="845"/>
      <c r="BU30" s="821">
        <v>0.9</v>
      </c>
      <c r="BX30" s="666" t="str">
        <f t="shared" si="3"/>
        <v>Feb</v>
      </c>
      <c r="BY30" s="643">
        <f>IF(CB30=$CB38,SUMIF($BI26:$BI37,$BX30,$BR26:$BR37),SUMIF($BI26:$BI37,$BX30,$BM26:$BM37))</f>
        <v>7.64</v>
      </c>
      <c r="BZ30" s="821">
        <f>IF(IF(CB30=CB38,SUMIF(BI26:BI37,$BX30,BU26:BU37),SUMIF(BI26:BI37,$BX30,BP26:BP37))=0,NA(),IF(CB30=CB38,SUMIF(BI26:BI37,$BX30,BU26:BU37),SUMIF(BI26:BI37,$BX30,BP26:BP37)))</f>
        <v>0.9</v>
      </c>
      <c r="CA30" s="644">
        <f>IF(IF(CB30=CB38,SUMIF(BI26:BI37,$BX30,BS26:BS37),SUMIF(BI26:BI37,$BX30,BN26:BN37))=0,NA(),IF(CB30=CB38,SUMIF(BI26:BI37,$BX30,BS26:BS37),SUMIF(BI26:BI37,$BX30,BN26:BN37)))</f>
        <v>0.95117801047120432</v>
      </c>
      <c r="CB30" s="645">
        <v>23</v>
      </c>
      <c r="CC30" s="645">
        <f t="shared" si="4"/>
        <v>2</v>
      </c>
    </row>
    <row r="31" spans="2:81" ht="15" customHeight="1">
      <c r="B31" s="1140"/>
      <c r="C31" s="1141"/>
      <c r="D31" s="1141"/>
      <c r="E31" s="1141"/>
      <c r="F31" s="1141"/>
      <c r="G31" s="1141"/>
      <c r="H31" s="1141"/>
      <c r="I31" s="1141"/>
      <c r="J31" s="1141"/>
      <c r="K31" s="1141"/>
      <c r="L31" s="1141"/>
      <c r="M31" s="1141"/>
      <c r="N31" s="1141"/>
      <c r="O31" s="1141"/>
      <c r="P31" s="1141"/>
      <c r="Q31" s="1141"/>
      <c r="R31" s="1141"/>
      <c r="S31" s="1141"/>
      <c r="T31" s="1141"/>
      <c r="U31" s="1141"/>
      <c r="V31" s="1141"/>
      <c r="W31" s="1141"/>
      <c r="X31" s="1141"/>
      <c r="Y31" s="1141"/>
      <c r="Z31" s="1141"/>
      <c r="AA31" s="1141"/>
      <c r="AB31" s="1142"/>
      <c r="AC31" s="583"/>
      <c r="AD31" s="583"/>
      <c r="AE31" s="1140"/>
      <c r="AF31" s="1141"/>
      <c r="AG31" s="1141"/>
      <c r="AH31" s="1141"/>
      <c r="AI31" s="1141"/>
      <c r="AJ31" s="1141"/>
      <c r="AK31" s="1141"/>
      <c r="AL31" s="1141"/>
      <c r="AM31" s="1141"/>
      <c r="AN31" s="1141"/>
      <c r="AO31" s="1141"/>
      <c r="AP31" s="1141"/>
      <c r="AQ31" s="1141"/>
      <c r="AR31" s="1141"/>
      <c r="AS31" s="1141"/>
      <c r="AT31" s="1141"/>
      <c r="AU31" s="1141"/>
      <c r="AV31" s="1141"/>
      <c r="AW31" s="1141"/>
      <c r="AX31" s="1141"/>
      <c r="AY31" s="1141"/>
      <c r="AZ31" s="1141"/>
      <c r="BA31" s="1141"/>
      <c r="BB31" s="1141"/>
      <c r="BC31" s="1141"/>
      <c r="BD31" s="1141"/>
      <c r="BE31" s="1142"/>
      <c r="BI31" s="638" t="s">
        <v>326</v>
      </c>
      <c r="BJ31" s="638">
        <v>6</v>
      </c>
      <c r="BK31" s="638" t="s">
        <v>324</v>
      </c>
      <c r="BL31" s="690">
        <v>10.4526</v>
      </c>
      <c r="BM31" s="690">
        <v>10.999000000000001</v>
      </c>
      <c r="BN31" s="653">
        <f t="shared" si="5"/>
        <v>0.9503227566142376</v>
      </c>
      <c r="BO31" s="845"/>
      <c r="BP31" s="821">
        <v>0.9</v>
      </c>
      <c r="BQ31" s="689"/>
      <c r="BR31" s="689"/>
      <c r="BS31" s="842" t="str">
        <f t="shared" si="6"/>
        <v/>
      </c>
      <c r="BT31" s="845"/>
      <c r="BU31" s="821">
        <v>0.9</v>
      </c>
      <c r="BX31" s="666" t="str">
        <f t="shared" si="3"/>
        <v>Mar</v>
      </c>
      <c r="BY31" s="643">
        <f>IF(CB31=$CB38,SUMIF($BI26:$BI37,$BX31,$BR26:$BR37),SUMIF($BI26:$BI37,$BX31,$BM26:$BM37))</f>
        <v>10.999000000000001</v>
      </c>
      <c r="BZ31" s="821">
        <f>IF(IF(CB31=CB38,SUMIF(BI26:BI37,$BX31,BU26:BU37),SUMIF(BI26:BI37,$BX31,BP26:BP37))=0,NA(),IF(CB31=CB38,SUMIF(BI26:BI37,$BX31,BU26:BU37),SUMIF(BI26:BI37,$BX31,BP26:BP37)))</f>
        <v>0.9</v>
      </c>
      <c r="CA31" s="644">
        <f>IF(IF(CB31=CB38,SUMIF(BI26:BI37,$BX31,BS26:BS37),SUMIF(BI26:BI37,$BX31,BN26:BN37))=0,NA(),IF(CB31=CB38,SUMIF(BI26:BI37,$BX31,BS26:BS37),SUMIF(BI26:BI37,$BX31,BN26:BN37)))</f>
        <v>0.9503227566142376</v>
      </c>
      <c r="CB31" s="645">
        <v>23</v>
      </c>
      <c r="CC31" s="645">
        <f t="shared" si="4"/>
        <v>3</v>
      </c>
    </row>
    <row r="32" spans="2:81" ht="39" customHeight="1">
      <c r="B32" s="1143"/>
      <c r="C32" s="1144"/>
      <c r="D32" s="1144"/>
      <c r="E32" s="1144"/>
      <c r="F32" s="1144"/>
      <c r="G32" s="1144"/>
      <c r="H32" s="1144"/>
      <c r="I32" s="1144"/>
      <c r="J32" s="1144"/>
      <c r="K32" s="1144"/>
      <c r="L32" s="1144"/>
      <c r="M32" s="1144"/>
      <c r="N32" s="1144"/>
      <c r="O32" s="1144"/>
      <c r="P32" s="1144"/>
      <c r="Q32" s="1144"/>
      <c r="R32" s="1144"/>
      <c r="S32" s="1144"/>
      <c r="T32" s="1144"/>
      <c r="U32" s="1144"/>
      <c r="V32" s="1144"/>
      <c r="W32" s="1144"/>
      <c r="X32" s="1144"/>
      <c r="Y32" s="1144"/>
      <c r="Z32" s="1144"/>
      <c r="AA32" s="1144"/>
      <c r="AB32" s="1145"/>
      <c r="AC32" s="583"/>
      <c r="AD32" s="583"/>
      <c r="AE32" s="1143"/>
      <c r="AF32" s="1144"/>
      <c r="AG32" s="1144"/>
      <c r="AH32" s="1144"/>
      <c r="AI32" s="1144"/>
      <c r="AJ32" s="1144"/>
      <c r="AK32" s="1144"/>
      <c r="AL32" s="1144"/>
      <c r="AM32" s="1144"/>
      <c r="AN32" s="1144"/>
      <c r="AO32" s="1144"/>
      <c r="AP32" s="1144"/>
      <c r="AQ32" s="1144"/>
      <c r="AR32" s="1144"/>
      <c r="AS32" s="1144"/>
      <c r="AT32" s="1144"/>
      <c r="AU32" s="1144"/>
      <c r="AV32" s="1144"/>
      <c r="AW32" s="1144"/>
      <c r="AX32" s="1144"/>
      <c r="AY32" s="1144"/>
      <c r="AZ32" s="1144"/>
      <c r="BA32" s="1144"/>
      <c r="BB32" s="1144"/>
      <c r="BC32" s="1144"/>
      <c r="BD32" s="1144"/>
      <c r="BE32" s="1145"/>
      <c r="BI32" s="638" t="s">
        <v>327</v>
      </c>
      <c r="BJ32" s="638">
        <v>7</v>
      </c>
      <c r="BK32" s="638" t="s">
        <v>328</v>
      </c>
      <c r="BL32" s="690">
        <v>7.9770000000000003</v>
      </c>
      <c r="BM32" s="690">
        <v>8.3879999999999999</v>
      </c>
      <c r="BN32" s="653">
        <f t="shared" si="5"/>
        <v>0.95100143061516462</v>
      </c>
      <c r="BO32" s="289">
        <f>IF(SUM(BM32:BM34=0),0,SUM(BL32:BL34)/SUM(BM32:BM34))</f>
        <v>0.95616448195367199</v>
      </c>
      <c r="BP32" s="821">
        <v>0.9</v>
      </c>
      <c r="BQ32" s="689"/>
      <c r="BR32" s="689"/>
      <c r="BS32" s="842" t="str">
        <f t="shared" si="6"/>
        <v/>
      </c>
      <c r="BT32" s="289">
        <f>IF(SUM(BR32:BR34=0),0,SUM(BQ32:BQ34)/SUM(BR32:BR34))</f>
        <v>0</v>
      </c>
      <c r="BU32" s="821">
        <v>0.9</v>
      </c>
      <c r="BX32" s="666" t="str">
        <f t="shared" si="3"/>
        <v>Apr</v>
      </c>
      <c r="BY32" s="643">
        <f>IF(CB32=$CB38,SUMIF($BI26:$BI37,$BX32,$BR26:$BR37),SUMIF($BI26:$BI37,$BX32,$BM26:$BM37))</f>
        <v>8.3879999999999999</v>
      </c>
      <c r="BZ32" s="821">
        <f>IF(IF(CB32=CB38,SUMIF(BI26:BI37,$BX32,BU26:BU37),SUMIF(BI26:BI37,$BX32,BP26:BP37))=0,NA(),IF(CB32=CB38,SUMIF(BI26:BI37,$BX32,BU26:BU37),SUMIF(BI26:BI37,$BX32,BP26:BP37)))</f>
        <v>0.9</v>
      </c>
      <c r="CA32" s="644">
        <f>IF(IF(CB32=CB38,SUMIF(BI26:BI37,$BX32,BS26:BS37),SUMIF(BI26:BI37,$BX32,BN26:BN37))=0,NA(),IF(CB32=CB38,SUMIF(BI26:BI37,$BX32,BS26:BS37),SUMIF(BI26:BI37,$BX32,BN26:BN37)))</f>
        <v>0.95100143061516462</v>
      </c>
      <c r="CB32" s="645">
        <v>23</v>
      </c>
      <c r="CC32" s="645">
        <f t="shared" si="4"/>
        <v>4</v>
      </c>
    </row>
    <row r="33" spans="2:81" ht="15" customHeight="1">
      <c r="BI33" s="638" t="s">
        <v>329</v>
      </c>
      <c r="BJ33" s="638">
        <v>8</v>
      </c>
      <c r="BK33" s="638" t="s">
        <v>328</v>
      </c>
      <c r="BL33" s="690">
        <v>8.3043999999999993</v>
      </c>
      <c r="BM33" s="690">
        <v>8.6630000000000003</v>
      </c>
      <c r="BN33" s="653">
        <f t="shared" si="5"/>
        <v>0.95860556389241591</v>
      </c>
      <c r="BO33" s="845"/>
      <c r="BP33" s="821">
        <v>0.9</v>
      </c>
      <c r="BQ33" s="689"/>
      <c r="BR33" s="689"/>
      <c r="BS33" s="842" t="str">
        <f t="shared" si="6"/>
        <v/>
      </c>
      <c r="BT33" s="845"/>
      <c r="BU33" s="821">
        <v>0.9</v>
      </c>
      <c r="BX33" s="666" t="str">
        <f t="shared" si="3"/>
        <v>May</v>
      </c>
      <c r="BY33" s="643">
        <f>IF(CB33=$CB38,SUMIF($BI26:$BI37,$BX33,$BR26:$BR37),SUMIF($BI26:$BI37,$BX33,$BM26:$BM37))</f>
        <v>8.6630000000000003</v>
      </c>
      <c r="BZ33" s="821">
        <f>IF(IF(CB33=CB38,SUMIF(BI26:BI37,$BX33,BU26:BU37),SUMIF(BI26:BI37,$BX33,BP26:BP37))=0,NA(),IF(CB33=CB38,SUMIF(BI26:BI37,$BX33,BU26:BU37),SUMIF(BI26:BI37,$BX33,BP26:BP37)))</f>
        <v>0.9</v>
      </c>
      <c r="CA33" s="644">
        <f>IF(IF(CB33=CB38,SUMIF(BI26:BI37,$BX33,BS26:BS37),SUMIF(BI26:BI37,$BX33,BN26:BN37))=0,NA(),IF(CB33=CB38,SUMIF(BI26:BI37,$BX33,BS26:BS37),SUMIF(BI26:BI37,$BX33,BN26:BN37)))</f>
        <v>0.95860556389241591</v>
      </c>
      <c r="CB33" s="645">
        <v>23</v>
      </c>
      <c r="CC33" s="645">
        <f t="shared" si="4"/>
        <v>5</v>
      </c>
    </row>
    <row r="34" spans="2:81" ht="15" customHeight="1">
      <c r="B34" s="541" t="s">
        <v>330</v>
      </c>
      <c r="C34" s="542"/>
      <c r="D34" s="542"/>
      <c r="E34" s="542"/>
      <c r="F34" s="542"/>
      <c r="G34" s="543"/>
      <c r="H34" s="543"/>
      <c r="I34" s="543"/>
      <c r="J34" s="543"/>
      <c r="K34" s="543"/>
      <c r="L34" s="545"/>
      <c r="M34" s="542"/>
      <c r="N34" s="542"/>
      <c r="O34" s="532"/>
      <c r="P34" s="532"/>
      <c r="Q34" s="532"/>
      <c r="R34" s="532"/>
      <c r="S34" s="532"/>
      <c r="T34" s="532"/>
      <c r="U34" s="532"/>
      <c r="V34" s="532"/>
      <c r="W34" s="532"/>
      <c r="X34" s="532"/>
      <c r="Y34" s="532"/>
      <c r="Z34" s="532"/>
      <c r="AA34" s="532"/>
      <c r="AB34" s="532"/>
      <c r="AC34" s="532"/>
      <c r="AD34" s="532"/>
      <c r="AE34" s="532"/>
      <c r="AF34" s="532"/>
      <c r="AG34" s="532"/>
      <c r="AH34" s="532"/>
      <c r="AI34" s="532"/>
      <c r="AJ34" s="532"/>
      <c r="AK34" s="532"/>
      <c r="AL34" s="532"/>
      <c r="AM34" s="532"/>
      <c r="AN34" s="532"/>
      <c r="AO34" s="532"/>
      <c r="AP34" s="532"/>
      <c r="AQ34" s="532"/>
      <c r="AR34" s="532"/>
      <c r="AS34" s="532"/>
      <c r="AT34" s="532"/>
      <c r="AU34" s="532"/>
      <c r="AV34" s="532"/>
      <c r="AW34" s="532"/>
      <c r="AX34" s="532"/>
      <c r="AY34" s="532"/>
      <c r="AZ34" s="532"/>
      <c r="BA34" s="532"/>
      <c r="BB34" s="532"/>
      <c r="BC34" s="532"/>
      <c r="BD34" s="532"/>
      <c r="BE34" s="532"/>
      <c r="BI34" s="638" t="s">
        <v>331</v>
      </c>
      <c r="BJ34" s="638">
        <v>9</v>
      </c>
      <c r="BK34" s="638" t="s">
        <v>328</v>
      </c>
      <c r="BL34" s="690">
        <v>10.343</v>
      </c>
      <c r="BM34" s="690">
        <v>10.794</v>
      </c>
      <c r="BN34" s="653">
        <f t="shared" si="5"/>
        <v>0.95821752825643869</v>
      </c>
      <c r="BO34" s="845"/>
      <c r="BP34" s="821">
        <v>0.9</v>
      </c>
      <c r="BQ34" s="689"/>
      <c r="BR34" s="689"/>
      <c r="BS34" s="842" t="str">
        <f t="shared" si="6"/>
        <v/>
      </c>
      <c r="BT34" s="845"/>
      <c r="BU34" s="821">
        <v>0.9</v>
      </c>
      <c r="BX34" s="666" t="str">
        <f t="shared" si="3"/>
        <v>Jun</v>
      </c>
      <c r="BY34" s="643">
        <f>IF(CB34=$CB38,SUMIF($BI26:$BI37,$BX34,$BR26:$BR37),SUMIF($BI26:$BI37,$BX34,$BM26:$BM37))</f>
        <v>10.794</v>
      </c>
      <c r="BZ34" s="821">
        <f>IF(IF(CB34=CB38,SUMIF(BI26:BI37,$BX34,BU26:BU37),SUMIF(BI26:BI37,$BX34,BP26:BP37))=0,NA(),IF(CB34=CB38,SUMIF(BI26:BI37,$BX34,BU26:BU37),SUMIF(BI26:BI37,$BX34,BP26:BP37)))</f>
        <v>0.9</v>
      </c>
      <c r="CA34" s="644">
        <f>IF(IF(CB34=CB38,SUMIF(BI26:BI37,$BX34,BS26:BS37),SUMIF(BI26:BI37,$BX34,BN26:BN37))=0,NA(),IF(CB34=CB38,SUMIF(BI26:BI37,$BX34,BS26:BS37),SUMIF(BI26:BI37,$BX34,BN26:BN37)))</f>
        <v>0.95821752825643869</v>
      </c>
      <c r="CB34" s="645">
        <v>23</v>
      </c>
      <c r="CC34" s="645">
        <f t="shared" si="4"/>
        <v>6</v>
      </c>
    </row>
    <row r="35" spans="2:81" ht="15" customHeight="1">
      <c r="B35" s="1124" t="s">
        <v>332</v>
      </c>
      <c r="C35" s="1124"/>
      <c r="D35" s="1124"/>
      <c r="E35" s="1124"/>
      <c r="F35" s="1124"/>
      <c r="G35" s="1124"/>
      <c r="H35" s="1124"/>
      <c r="I35" s="1124"/>
      <c r="J35" s="1124"/>
      <c r="K35" s="1124" t="s">
        <v>335</v>
      </c>
      <c r="L35" s="1124"/>
      <c r="M35" s="1124"/>
      <c r="N35" s="1124"/>
      <c r="O35" s="1124"/>
      <c r="P35" s="1124"/>
      <c r="Q35" s="1123" t="s">
        <v>713</v>
      </c>
      <c r="R35" s="1123"/>
      <c r="S35" s="1123"/>
      <c r="T35" s="1124" t="s">
        <v>712</v>
      </c>
      <c r="U35" s="1124"/>
      <c r="V35" s="1124"/>
      <c r="W35" s="1124"/>
      <c r="X35" s="1124"/>
      <c r="Y35" s="1124"/>
      <c r="Z35" s="1124"/>
      <c r="AA35" s="1124"/>
      <c r="AB35" s="1124"/>
      <c r="AC35" s="1153" t="s">
        <v>336</v>
      </c>
      <c r="AD35" s="1154"/>
      <c r="AE35" s="1154"/>
      <c r="AF35" s="1154"/>
      <c r="AG35" s="1154"/>
      <c r="AH35" s="1154"/>
      <c r="AI35" s="1154"/>
      <c r="AJ35" s="1154"/>
      <c r="AK35" s="1154"/>
      <c r="AL35" s="1154"/>
      <c r="AM35" s="1154"/>
      <c r="AN35" s="1154"/>
      <c r="AO35" s="1154"/>
      <c r="AP35" s="1154"/>
      <c r="AQ35" s="1154"/>
      <c r="AR35" s="1154"/>
      <c r="AS35" s="1154"/>
      <c r="AT35" s="1154"/>
      <c r="AU35" s="1154"/>
      <c r="AV35" s="1154"/>
      <c r="AW35" s="1154"/>
      <c r="AX35" s="1154"/>
      <c r="AY35" s="1154"/>
      <c r="AZ35" s="1154"/>
      <c r="BA35" s="1154"/>
      <c r="BB35" s="1154"/>
      <c r="BC35" s="1154"/>
      <c r="BD35" s="1154"/>
      <c r="BE35" s="1155"/>
      <c r="BF35" s="43"/>
      <c r="BG35" s="43"/>
      <c r="BH35" s="223"/>
      <c r="BI35" s="638" t="s">
        <v>337</v>
      </c>
      <c r="BJ35" s="638">
        <v>10</v>
      </c>
      <c r="BK35" s="638" t="s">
        <v>338</v>
      </c>
      <c r="BL35" s="690">
        <v>8.8520000000000003</v>
      </c>
      <c r="BM35" s="690">
        <v>9.2170000000000005</v>
      </c>
      <c r="BN35" s="653">
        <f t="shared" si="5"/>
        <v>0.96039926223283056</v>
      </c>
      <c r="BO35" s="289">
        <f>IF(SUM(BM35:BM37=0),0,SUM(BL35:BL37)/SUM(BM35:BM37))</f>
        <v>0.95891911630454629</v>
      </c>
      <c r="BP35" s="821">
        <v>0.9</v>
      </c>
      <c r="BQ35" s="689"/>
      <c r="BR35" s="689"/>
      <c r="BS35" s="842" t="str">
        <f t="shared" si="6"/>
        <v/>
      </c>
      <c r="BT35" s="289">
        <f>IF(SUM(BR35:BR37=0),0,SUM(BQ35:BQ37)/SUM(BR35:BR37))</f>
        <v>0</v>
      </c>
      <c r="BU35" s="821">
        <v>0.9</v>
      </c>
      <c r="BX35" s="666" t="str">
        <f t="shared" si="3"/>
        <v>Jul</v>
      </c>
      <c r="BY35" s="643">
        <f>IF(CB35=$CB38,SUMIF($BI26:$BI37,$BX35,$BR26:$BR37),SUMIF($BI26:$BI37,$BX35,$BM26:$BM37))</f>
        <v>9.2170000000000005</v>
      </c>
      <c r="BZ35" s="821">
        <f>IF(IF(CB35=CB38,SUMIF(BI26:BI37,$BX35,BU26:BU37),SUMIF(BI26:BI37,$BX35,BP26:BP37))=0,NA(),IF(CB35=CB38,SUMIF(BI26:BI37,$BX35,BU26:BU37),SUMIF(BI26:BI37,$BX35,BP26:BP37)))</f>
        <v>0.9</v>
      </c>
      <c r="CA35" s="644">
        <f>IF(IF(CB35=CB38,SUMIF(BI26:BI37,$BX35,BS26:BS37),SUMIF(BI26:BI37,$BX35,BN26:BN37))=0,NA(),IF(CB35=CB38,SUMIF(BI26:BI37,$BX35,BS26:BS37),SUMIF(BI26:BI37,$BX35,BN26:BN37)))</f>
        <v>0.96039926223283056</v>
      </c>
      <c r="CB35" s="645">
        <v>23</v>
      </c>
      <c r="CC35" s="645">
        <f t="shared" si="4"/>
        <v>7</v>
      </c>
    </row>
    <row r="36" spans="2:81" ht="15" customHeight="1">
      <c r="B36" s="1124"/>
      <c r="C36" s="1124"/>
      <c r="D36" s="1124"/>
      <c r="E36" s="1124"/>
      <c r="F36" s="1124"/>
      <c r="G36" s="1124"/>
      <c r="H36" s="1124"/>
      <c r="I36" s="1124"/>
      <c r="J36" s="1124"/>
      <c r="K36" s="1124" t="s">
        <v>23</v>
      </c>
      <c r="L36" s="1124"/>
      <c r="M36" s="1124"/>
      <c r="N36" s="1124" t="s">
        <v>339</v>
      </c>
      <c r="O36" s="1124"/>
      <c r="P36" s="1124"/>
      <c r="Q36" s="1123"/>
      <c r="R36" s="1123"/>
      <c r="S36" s="1123"/>
      <c r="T36" s="1123" t="s">
        <v>340</v>
      </c>
      <c r="U36" s="1123"/>
      <c r="V36" s="1123"/>
      <c r="W36" s="1123" t="s">
        <v>341</v>
      </c>
      <c r="X36" s="1123"/>
      <c r="Y36" s="1123"/>
      <c r="Z36" s="1123" t="s">
        <v>342</v>
      </c>
      <c r="AA36" s="1123"/>
      <c r="AB36" s="1123"/>
      <c r="AC36" s="1156"/>
      <c r="AD36" s="1157"/>
      <c r="AE36" s="1157"/>
      <c r="AF36" s="1157"/>
      <c r="AG36" s="1157"/>
      <c r="AH36" s="1157"/>
      <c r="AI36" s="1157"/>
      <c r="AJ36" s="1157"/>
      <c r="AK36" s="1157"/>
      <c r="AL36" s="1157"/>
      <c r="AM36" s="1157"/>
      <c r="AN36" s="1157"/>
      <c r="AO36" s="1157"/>
      <c r="AP36" s="1157"/>
      <c r="AQ36" s="1157"/>
      <c r="AR36" s="1157"/>
      <c r="AS36" s="1157"/>
      <c r="AT36" s="1157"/>
      <c r="AU36" s="1157"/>
      <c r="AV36" s="1157"/>
      <c r="AW36" s="1157"/>
      <c r="AX36" s="1157"/>
      <c r="AY36" s="1157"/>
      <c r="AZ36" s="1157"/>
      <c r="BA36" s="1157"/>
      <c r="BB36" s="1157"/>
      <c r="BC36" s="1157"/>
      <c r="BD36" s="1157"/>
      <c r="BE36" s="1158"/>
      <c r="BF36" s="43"/>
      <c r="BG36" s="43"/>
      <c r="BH36" s="223"/>
      <c r="BI36" s="638" t="s">
        <v>343</v>
      </c>
      <c r="BJ36" s="638">
        <v>11</v>
      </c>
      <c r="BK36" s="638" t="s">
        <v>338</v>
      </c>
      <c r="BL36" s="690">
        <v>9.9</v>
      </c>
      <c r="BM36" s="690">
        <v>10.285</v>
      </c>
      <c r="BN36" s="653">
        <f t="shared" si="5"/>
        <v>0.96256684491978617</v>
      </c>
      <c r="BO36" s="845"/>
      <c r="BP36" s="821">
        <v>0.9</v>
      </c>
      <c r="BQ36" s="689"/>
      <c r="BR36" s="689"/>
      <c r="BS36" s="842" t="str">
        <f t="shared" si="6"/>
        <v/>
      </c>
      <c r="BT36" s="845"/>
      <c r="BU36" s="821">
        <v>0.9</v>
      </c>
      <c r="BX36" s="666" t="str">
        <f t="shared" si="3"/>
        <v>Aug</v>
      </c>
      <c r="BY36" s="643">
        <f>IF(CB36=$CB38,SUMIF($BI26:$BI37,$BX36,$BR26:$BR37),SUMIF($BI26:$BI37,$BX36,$BM26:$BM37))</f>
        <v>10.285</v>
      </c>
      <c r="BZ36" s="821">
        <f>IF(IF(CB36=CB38,SUMIF(BI26:BI37,$BX36,BU26:BU37),SUMIF(BI26:BI37,$BX36,BP26:BP37))=0,NA(),IF(CB36=CB38,SUMIF(BI26:BI37,$BX36,BU26:BU37),SUMIF(BI26:BI37,$BX36,BP26:BP37)))</f>
        <v>0.9</v>
      </c>
      <c r="CA36" s="644">
        <f>IF(IF(CB36=CB38,SUMIF(BI26:BI37,$BX36,BS26:BS37),SUMIF(BI26:BI37,$BX36,BN26:BN37))=0,NA(),IF(CB36=CB38,SUMIF(BI26:BI37,$BX36,BS26:BS37),SUMIF(BI26:BI37,$BX36,BN26:BN37)))</f>
        <v>0.96256684491978617</v>
      </c>
      <c r="CB36" s="645">
        <v>23</v>
      </c>
      <c r="CC36" s="645">
        <f t="shared" si="4"/>
        <v>8</v>
      </c>
    </row>
    <row r="37" spans="2:81" ht="15" customHeight="1">
      <c r="B37" s="1124"/>
      <c r="C37" s="1124"/>
      <c r="D37" s="1124"/>
      <c r="E37" s="1124"/>
      <c r="F37" s="1124"/>
      <c r="G37" s="1124"/>
      <c r="H37" s="1124"/>
      <c r="I37" s="1124"/>
      <c r="J37" s="1124"/>
      <c r="K37" s="1124"/>
      <c r="L37" s="1124"/>
      <c r="M37" s="1124"/>
      <c r="N37" s="1124"/>
      <c r="O37" s="1124"/>
      <c r="P37" s="1124"/>
      <c r="Q37" s="1123"/>
      <c r="R37" s="1123"/>
      <c r="S37" s="1123"/>
      <c r="T37" s="1123"/>
      <c r="U37" s="1123"/>
      <c r="V37" s="1123"/>
      <c r="W37" s="1123"/>
      <c r="X37" s="1123"/>
      <c r="Y37" s="1123"/>
      <c r="Z37" s="1123"/>
      <c r="AA37" s="1123"/>
      <c r="AB37" s="1123"/>
      <c r="AC37" s="1159"/>
      <c r="AD37" s="1160"/>
      <c r="AE37" s="1160"/>
      <c r="AF37" s="1160"/>
      <c r="AG37" s="1160"/>
      <c r="AH37" s="1160"/>
      <c r="AI37" s="1160"/>
      <c r="AJ37" s="1160"/>
      <c r="AK37" s="1160"/>
      <c r="AL37" s="1160"/>
      <c r="AM37" s="1160"/>
      <c r="AN37" s="1160"/>
      <c r="AO37" s="1160"/>
      <c r="AP37" s="1160"/>
      <c r="AQ37" s="1160"/>
      <c r="AR37" s="1160"/>
      <c r="AS37" s="1160"/>
      <c r="AT37" s="1160"/>
      <c r="AU37" s="1160"/>
      <c r="AV37" s="1160"/>
      <c r="AW37" s="1160"/>
      <c r="AX37" s="1160"/>
      <c r="AY37" s="1160"/>
      <c r="AZ37" s="1160"/>
      <c r="BA37" s="1160"/>
      <c r="BB37" s="1160"/>
      <c r="BC37" s="1160"/>
      <c r="BD37" s="1160"/>
      <c r="BE37" s="1161"/>
      <c r="BF37" s="43"/>
      <c r="BG37" s="43"/>
      <c r="BH37" s="223"/>
      <c r="BI37" s="638" t="s">
        <v>344</v>
      </c>
      <c r="BJ37" s="638">
        <v>12</v>
      </c>
      <c r="BK37" s="638" t="s">
        <v>338</v>
      </c>
      <c r="BL37" s="690">
        <v>12.76</v>
      </c>
      <c r="BM37" s="690">
        <v>13.36</v>
      </c>
      <c r="BN37" s="653">
        <f t="shared" si="5"/>
        <v>0.95508982035928147</v>
      </c>
      <c r="BO37" s="845"/>
      <c r="BP37" s="821">
        <v>0.9</v>
      </c>
      <c r="BQ37" s="689"/>
      <c r="BR37" s="689"/>
      <c r="BS37" s="842" t="str">
        <f t="shared" si="6"/>
        <v/>
      </c>
      <c r="BT37" s="845"/>
      <c r="BU37" s="821">
        <v>0.9</v>
      </c>
      <c r="BX37" s="666" t="str">
        <f t="shared" si="3"/>
        <v>Sep</v>
      </c>
      <c r="BY37" s="643">
        <f>IF(CB37=$CB38,SUMIF($BI26:$BI37,$BX37,$BR26:$BR37),SUMIF($BI26:$BI37,$BX37,$BM26:$BM37))</f>
        <v>13.36</v>
      </c>
      <c r="BZ37" s="821">
        <f>IF(IF(CB37=CB38,SUMIF(BI26:BI37,$BX37,BU26:BU37),SUMIF(BI26:BI37,$BX37,BP26:BP37))=0,NA(),IF(CB37=CB38,SUMIF(BI26:BI37,$BX37,BU26:BU37),SUMIF(BI26:BI37,$BX37,BP26:BP37)))</f>
        <v>0.9</v>
      </c>
      <c r="CA37" s="644">
        <f>IF(IF(CB37=CB38,SUMIF(BI26:BI37,$BX37,BS26:BS37),SUMIF(BI26:BI37,$BX37,BN26:BN37))=0,NA(),IF(CB37=CB38,SUMIF(BI26:BI37,$BX37,BS26:BS37),SUMIF(BI26:BI37,$BX37,BN26:BN37)))</f>
        <v>0.95508982035928147</v>
      </c>
      <c r="CB37" s="645">
        <v>23</v>
      </c>
      <c r="CC37" s="645">
        <f>IF(CC38-1&lt;1,CC38+11,CC38-1)</f>
        <v>9</v>
      </c>
    </row>
    <row r="38" spans="2:81" ht="45" customHeight="1">
      <c r="B38" s="1126" t="s">
        <v>463</v>
      </c>
      <c r="C38" s="1126"/>
      <c r="D38" s="1126"/>
      <c r="E38" s="1126"/>
      <c r="F38" s="1126"/>
      <c r="G38" s="1126"/>
      <c r="H38" s="1126"/>
      <c r="I38" s="1126"/>
      <c r="J38" s="1126"/>
      <c r="K38" s="1125">
        <f>SUMIF($BJ$26:$BJ$37,Cover!$M$36,$BN$26:$BN$37)</f>
        <v>0.94512291831879469</v>
      </c>
      <c r="L38" s="1125"/>
      <c r="M38" s="1125"/>
      <c r="N38" s="1125">
        <f>SUMIF(BSS!$BK$26:$BK$37,Cover!$M$35,BSS!$BO$26:$BO$37)</f>
        <v>0.93600449564484411</v>
      </c>
      <c r="O38" s="1125"/>
      <c r="P38" s="1125"/>
      <c r="Q38" s="1432">
        <f>SUMIF(BSS!$BJ$26:$BJ$37,Cover!$M$36,BSS!$BU$26:$BU$37)</f>
        <v>0.9</v>
      </c>
      <c r="R38" s="1432"/>
      <c r="S38" s="1432"/>
      <c r="T38" s="1125">
        <f>IF(Cover!$M$36=1,SUMIF($BJ$26:$BJ$37,12,$BN$26:$BN$37),SUMIF(BSS!$BJ$26:$BJ$37,Cover!$M$36-1,BSS!$BS$26:$BS$37))</f>
        <v>0.95508982035928147</v>
      </c>
      <c r="U38" s="1125"/>
      <c r="V38" s="1125"/>
      <c r="W38" s="1125">
        <f>SUMIF(BSS!$BJ$26:$BJ$37,Cover!$M$36,BSS!$BS$26:$BS$37)</f>
        <v>0.95849056603773575</v>
      </c>
      <c r="X38" s="1125"/>
      <c r="Y38" s="1125"/>
      <c r="Z38" s="1125">
        <f>SUMIF(BSS!$BK$26:$BK$37,Cover!$M$35,BSS!$BT$26:$BT$37)</f>
        <v>0.95849056603773575</v>
      </c>
      <c r="AA38" s="1125"/>
      <c r="AB38" s="1125"/>
      <c r="AC38" s="1423" t="s">
        <v>769</v>
      </c>
      <c r="AD38" s="1424"/>
      <c r="AE38" s="1424"/>
      <c r="AF38" s="1424"/>
      <c r="AG38" s="1424"/>
      <c r="AH38" s="1424"/>
      <c r="AI38" s="1424"/>
      <c r="AJ38" s="1424"/>
      <c r="AK38" s="1424"/>
      <c r="AL38" s="1424"/>
      <c r="AM38" s="1424"/>
      <c r="AN38" s="1424"/>
      <c r="AO38" s="1424"/>
      <c r="AP38" s="1424"/>
      <c r="AQ38" s="1424"/>
      <c r="AR38" s="1424"/>
      <c r="AS38" s="1424"/>
      <c r="AT38" s="1424"/>
      <c r="AU38" s="1424"/>
      <c r="AV38" s="1424"/>
      <c r="AW38" s="1424"/>
      <c r="AX38" s="1424"/>
      <c r="AY38" s="1424"/>
      <c r="AZ38" s="1424"/>
      <c r="BA38" s="1424"/>
      <c r="BB38" s="1424"/>
      <c r="BC38" s="1424"/>
      <c r="BD38" s="1424"/>
      <c r="BE38" s="1425"/>
      <c r="BF38" s="43"/>
      <c r="BG38" s="43"/>
      <c r="BH38" s="160">
        <f>IF(Q38=0,4,IF(W38=0,0,IF(Q38="","",IF(W38&gt;=Q38,1,IF(W38&lt;Q38*0.9,3,2)))))</f>
        <v>1</v>
      </c>
      <c r="BJ38" s="277"/>
      <c r="BK38" s="277"/>
      <c r="BL38" s="277"/>
      <c r="BM38" s="277"/>
      <c r="BN38" s="277"/>
      <c r="BO38" s="277"/>
      <c r="BP38" s="277"/>
      <c r="BQ38" s="277"/>
      <c r="BR38" s="277"/>
      <c r="BS38" s="277"/>
      <c r="BT38" s="277"/>
      <c r="BW38" s="667" t="str">
        <f>Cover!$M$34</f>
        <v>OCT FY-24</v>
      </c>
      <c r="BX38" s="666" t="str">
        <f>TEXT(CONCATENATE(CC38,"/01/20",CB38),"MMM")</f>
        <v>Oct</v>
      </c>
      <c r="BY38" s="643">
        <f>SUMIF($BI26:$BI37,$BX38,$BR26:$BR37)</f>
        <v>9.01</v>
      </c>
      <c r="BZ38" s="821">
        <f>IF(IF(CB38=CB38,SUMIF(BI26:BI37,$BX38,BU26:BU37),SUMIF(BI26:BI37,$BX38,BP26:BP37))=0,NA(),IF(CB38=CB38,SUMIF(BI26:BI37,$BX38,BU26:BU37),SUMIF(BI26:BI37,$BX38,BP26:BP37)))</f>
        <v>0.9</v>
      </c>
      <c r="CA38" s="644">
        <f>IF(SUMIF($BI26:$BI37,$BX38,$BS26:$BS37)=0,NA(),SUMIF($BI26:$BI37,$BX38,$BS26:$BS37))</f>
        <v>0.95849056603773575</v>
      </c>
      <c r="CB38" s="645">
        <v>24</v>
      </c>
      <c r="CC38" s="645">
        <f>MONTH(DATEVALUE(LEFT(BW38,3)&amp;" 1"))</f>
        <v>10</v>
      </c>
    </row>
    <row r="39" spans="2:81" ht="45" customHeight="1">
      <c r="B39" s="1177" t="s">
        <v>464</v>
      </c>
      <c r="C39" s="1177"/>
      <c r="D39" s="1177"/>
      <c r="E39" s="1177"/>
      <c r="F39" s="1177"/>
      <c r="G39" s="1177"/>
      <c r="H39" s="1177"/>
      <c r="I39" s="1177"/>
      <c r="J39" s="1177"/>
      <c r="K39" s="1411">
        <f>SUMIF(BSS!$BJ$45:$BJ$56,Cover!$M$36,BSS!$BN$45:$BN$56)</f>
        <v>0.34331609038932748</v>
      </c>
      <c r="L39" s="1411"/>
      <c r="M39" s="1411"/>
      <c r="N39" s="1411">
        <f>SUMIF(BSS!$BK$45:$BK$56,Cover!$M$35,BSS!$BO$45:$BO$56)</f>
        <v>0.33771089138974819</v>
      </c>
      <c r="O39" s="1411"/>
      <c r="P39" s="1411"/>
      <c r="Q39" s="1176">
        <f>SUMIF(BSS!$BJ$45:$BJ$56,Cover!$M$36,BSS!$BU$45:$BU$56)</f>
        <v>0.3</v>
      </c>
      <c r="R39" s="1176"/>
      <c r="S39" s="1176"/>
      <c r="T39" s="1412">
        <f>IF(Cover!$M$36=1,SUMIF($BJ$45:$BJ$56,12,$BN$45:$BN$56),SUMIF(BSS!$BJ$45:$BJ$56,Cover!$M$36-1,BSS!$BS$45:$BS$56))</f>
        <v>0.4374733946756606</v>
      </c>
      <c r="U39" s="1412"/>
      <c r="V39" s="1412"/>
      <c r="W39" s="1412">
        <f>SUMIF(BSS!$BJ$45:$BJ$56,Cover!$M$36,BSS!$BS$45:$BS$56)</f>
        <v>0.44419246696903963</v>
      </c>
      <c r="X39" s="1412"/>
      <c r="Y39" s="1412"/>
      <c r="Z39" s="1411">
        <f>SUMIF(BSS!$BK$45:$BK$56,Cover!$M$35,BSS!$BT$45:$BT$56)</f>
        <v>0.44419246696903963</v>
      </c>
      <c r="AA39" s="1411"/>
      <c r="AB39" s="1411"/>
      <c r="AC39" s="1426"/>
      <c r="AD39" s="1427"/>
      <c r="AE39" s="1427"/>
      <c r="AF39" s="1427"/>
      <c r="AG39" s="1427"/>
      <c r="AH39" s="1427"/>
      <c r="AI39" s="1427"/>
      <c r="AJ39" s="1427"/>
      <c r="AK39" s="1427"/>
      <c r="AL39" s="1427"/>
      <c r="AM39" s="1427"/>
      <c r="AN39" s="1427"/>
      <c r="AO39" s="1427"/>
      <c r="AP39" s="1427"/>
      <c r="AQ39" s="1427"/>
      <c r="AR39" s="1427"/>
      <c r="AS39" s="1427"/>
      <c r="AT39" s="1427"/>
      <c r="AU39" s="1427"/>
      <c r="AV39" s="1427"/>
      <c r="AW39" s="1427"/>
      <c r="AX39" s="1427"/>
      <c r="AY39" s="1427"/>
      <c r="AZ39" s="1427"/>
      <c r="BA39" s="1427"/>
      <c r="BB39" s="1427"/>
      <c r="BC39" s="1427"/>
      <c r="BD39" s="1427"/>
      <c r="BE39" s="1428"/>
      <c r="BF39" s="43"/>
      <c r="BG39" s="43"/>
      <c r="BH39" s="160">
        <f t="shared" ref="BH39" si="7">IF(Q39=0,4,IF(W39=0,0,IF(Q39="","",IF(W39&gt;=Q39,1,IF(W39&lt;Q39*0.9,3,2)))))</f>
        <v>1</v>
      </c>
    </row>
    <row r="40" spans="2:81" ht="45" customHeight="1">
      <c r="B40" s="1126" t="s">
        <v>465</v>
      </c>
      <c r="C40" s="1126"/>
      <c r="D40" s="1126"/>
      <c r="E40" s="1126"/>
      <c r="F40" s="1126"/>
      <c r="G40" s="1126"/>
      <c r="H40" s="1126"/>
      <c r="I40" s="1126"/>
      <c r="J40" s="1126"/>
      <c r="K40" s="1430">
        <f>SUMIF(BSS!$BJ$65:$BJ$77,Cover!$M$36,BSS!$BN$65:$BN$77)</f>
        <v>2.2337962962962967E-3</v>
      </c>
      <c r="L40" s="1430"/>
      <c r="M40" s="1430"/>
      <c r="N40" s="1430">
        <f>SUMIF(BSS!$BK$65:$BK$77,Cover!$M$35,BSS!$BO$65:$BO$77)</f>
        <v>2.1485352960736951E-3</v>
      </c>
      <c r="O40" s="1430"/>
      <c r="P40" s="1430"/>
      <c r="Q40" s="1431">
        <f>SUMIF(BSS!$BJ$65:$BJ$77,Cover!$M$36,BSS!$BU$65:$BU$77)</f>
        <v>6.9444444444444447E-4</v>
      </c>
      <c r="R40" s="1431"/>
      <c r="S40" s="1431"/>
      <c r="T40" s="1430">
        <f>IF(Cover!$M$36=1,SUMIF($BJ$65:$BJ$77,12,$BN$65:$BN$77),SUMIF(BSS!$BJ$65:$BJ$77,Cover!$M$36-1,BSS!$BS$65:$BS$77))</f>
        <v>3.8194444444444446E-4</v>
      </c>
      <c r="U40" s="1430"/>
      <c r="V40" s="1430"/>
      <c r="W40" s="1430">
        <f>SUMIF(BSS!$BJ$65:$BJ$77,Cover!$M$36,BSS!$BS$65:$BS$77)</f>
        <v>4.0509259259259258E-4</v>
      </c>
      <c r="X40" s="1430"/>
      <c r="Y40" s="1430"/>
      <c r="Z40" s="1430">
        <f>SUMIF(BSS!$BK$65:$BK$77,Cover!$M$35,BSS!$BT$65:$BT$77)</f>
        <v>4.0509259259259264E-4</v>
      </c>
      <c r="AA40" s="1430"/>
      <c r="AB40" s="1430"/>
      <c r="AC40" s="1426"/>
      <c r="AD40" s="1427"/>
      <c r="AE40" s="1427"/>
      <c r="AF40" s="1427"/>
      <c r="AG40" s="1427"/>
      <c r="AH40" s="1427"/>
      <c r="AI40" s="1427"/>
      <c r="AJ40" s="1427"/>
      <c r="AK40" s="1427"/>
      <c r="AL40" s="1427"/>
      <c r="AM40" s="1427"/>
      <c r="AN40" s="1427"/>
      <c r="AO40" s="1427"/>
      <c r="AP40" s="1427"/>
      <c r="AQ40" s="1427"/>
      <c r="AR40" s="1427"/>
      <c r="AS40" s="1427"/>
      <c r="AT40" s="1427"/>
      <c r="AU40" s="1427"/>
      <c r="AV40" s="1427"/>
      <c r="AW40" s="1427"/>
      <c r="AX40" s="1427"/>
      <c r="AY40" s="1427"/>
      <c r="AZ40" s="1427"/>
      <c r="BA40" s="1427"/>
      <c r="BB40" s="1427"/>
      <c r="BC40" s="1427"/>
      <c r="BD40" s="1427"/>
      <c r="BE40" s="1428"/>
      <c r="BF40" s="43"/>
      <c r="BH40" s="160">
        <f>IF(Q40=0,4,IF(W40=0,0,IF(Q40="","",IF(W40&lt;=Q40,1,IF(W40&gt;Q40*1.1,3,2)))))</f>
        <v>1</v>
      </c>
      <c r="BI40" s="54" t="s">
        <v>292</v>
      </c>
      <c r="BJ40" s="287" t="s">
        <v>466</v>
      </c>
      <c r="BK40" s="287"/>
      <c r="BL40" s="287"/>
      <c r="BM40" s="287"/>
      <c r="BN40" s="287"/>
      <c r="BO40" s="287"/>
      <c r="BP40" s="287"/>
      <c r="BQ40" s="287"/>
      <c r="BR40" s="287"/>
      <c r="BS40" s="287"/>
      <c r="BT40" s="287"/>
      <c r="BU40" s="287"/>
      <c r="BY40" s="270"/>
      <c r="BZ40" s="270"/>
      <c r="CA40" s="270"/>
      <c r="CB40" s="270"/>
      <c r="CC40" s="270"/>
    </row>
    <row r="41" spans="2:81" ht="45" customHeight="1">
      <c r="B41" s="1177" t="s">
        <v>467</v>
      </c>
      <c r="C41" s="1177"/>
      <c r="D41" s="1177"/>
      <c r="E41" s="1177"/>
      <c r="F41" s="1177"/>
      <c r="G41" s="1177"/>
      <c r="H41" s="1177"/>
      <c r="I41" s="1177"/>
      <c r="J41" s="1177"/>
      <c r="K41" s="1265">
        <f>SUMIF(BSS!$BJ$84:$BJ$96,Cover!$M$36,BSS!$BN$84:$BN$96)</f>
        <v>0.15887568383323902</v>
      </c>
      <c r="L41" s="1266"/>
      <c r="M41" s="1267"/>
      <c r="N41" s="1265">
        <f>SUMIF(BSS!$BK$84:$BK$96,Cover!$M$35,BSS!$BO$84:$BO$96)</f>
        <v>0.1692135116830342</v>
      </c>
      <c r="O41" s="1266"/>
      <c r="P41" s="1267"/>
      <c r="Q41" s="1433">
        <f>SUMIF(BSS!$BJ$84:$BJ$96,Cover!$M$36,BSS!$BU$84:$BU$96)</f>
        <v>0.05</v>
      </c>
      <c r="R41" s="1434"/>
      <c r="S41" s="1435"/>
      <c r="T41" s="1265">
        <f>IF(Cover!$M$36=1,SUMIF($BJ$84:$BJ$96,12,$BN$84:$BN$96),SUMIF(BSS!$BJ$84:$BJ$96,Cover!$M$36-1,BSS!$BS$84:$BS$96))</f>
        <v>4.2146050670640839E-2</v>
      </c>
      <c r="U41" s="1266"/>
      <c r="V41" s="1267"/>
      <c r="W41" s="1436">
        <f>SUMIF(BSS!$BJ$84:$BJ$96,Cover!$M$36,BSS!$BS$84:$BS$96)</f>
        <v>4.1022218732825626E-2</v>
      </c>
      <c r="X41" s="1437"/>
      <c r="Y41" s="1438"/>
      <c r="Z41" s="1436">
        <f>SUMIF(BSS!$BK$84:$BK$96,Cover!$M$35,BSS!$BT$84:$BT$96)</f>
        <v>4.1022218732825626E-2</v>
      </c>
      <c r="AA41" s="1437"/>
      <c r="AB41" s="1438"/>
      <c r="AC41" s="1426"/>
      <c r="AD41" s="1427"/>
      <c r="AE41" s="1427"/>
      <c r="AF41" s="1427"/>
      <c r="AG41" s="1427"/>
      <c r="AH41" s="1427"/>
      <c r="AI41" s="1427"/>
      <c r="AJ41" s="1427"/>
      <c r="AK41" s="1427"/>
      <c r="AL41" s="1427"/>
      <c r="AM41" s="1427"/>
      <c r="AN41" s="1427"/>
      <c r="AO41" s="1427"/>
      <c r="AP41" s="1427"/>
      <c r="AQ41" s="1427"/>
      <c r="AR41" s="1427"/>
      <c r="AS41" s="1427"/>
      <c r="AT41" s="1427"/>
      <c r="AU41" s="1427"/>
      <c r="AV41" s="1427"/>
      <c r="AW41" s="1427"/>
      <c r="AX41" s="1427"/>
      <c r="AY41" s="1427"/>
      <c r="AZ41" s="1427"/>
      <c r="BA41" s="1427"/>
      <c r="BB41" s="1427"/>
      <c r="BC41" s="1427"/>
      <c r="BD41" s="1427"/>
      <c r="BE41" s="1428"/>
      <c r="BF41" s="43"/>
      <c r="BH41" s="160">
        <f>IF(Q41=0,4,IF(W41=0,0,IF(Q41="","",IF(W41&lt;=Q41,1,IF(W41&gt;Q41*1.1,3,2)))))</f>
        <v>1</v>
      </c>
      <c r="BI41" s="54" t="s">
        <v>296</v>
      </c>
      <c r="BJ41" s="283" t="s">
        <v>468</v>
      </c>
      <c r="BK41" s="283"/>
      <c r="BL41" s="283"/>
      <c r="BM41" s="283"/>
      <c r="BN41" s="283"/>
      <c r="BO41" s="283"/>
      <c r="BP41" s="283"/>
      <c r="BQ41" s="283"/>
      <c r="BR41" s="283"/>
      <c r="BS41" s="283"/>
      <c r="BT41" s="283"/>
      <c r="BU41" s="283"/>
      <c r="BW41" s="270"/>
      <c r="BX41" s="270"/>
    </row>
    <row r="42" spans="2:81" ht="45" customHeight="1" thickBot="1">
      <c r="B42" s="1126" t="s">
        <v>469</v>
      </c>
      <c r="C42" s="1126"/>
      <c r="D42" s="1126"/>
      <c r="E42" s="1126"/>
      <c r="F42" s="1126"/>
      <c r="G42" s="1126"/>
      <c r="H42" s="1126"/>
      <c r="I42" s="1126"/>
      <c r="J42" s="1126"/>
      <c r="K42" s="1411">
        <f>SUMIF(BSS!$BJ$103:$BJ$115,Cover!$M$36,BSS!$BN$103:$BN$115)</f>
        <v>0.62204142011834318</v>
      </c>
      <c r="L42" s="1411"/>
      <c r="M42" s="1411"/>
      <c r="N42" s="1411">
        <f>SUMIF(BSS!$BK$103:$BK$115,Cover!$M$35,BSS!$BO$103:$BO$115)</f>
        <v>0.67379609705424059</v>
      </c>
      <c r="O42" s="1411"/>
      <c r="P42" s="1411"/>
      <c r="Q42" s="1432">
        <f>SUMIF(BSS!$BJ$103:$BJ$115,Cover!$M$36,BSS!$BU$103:$BU$115)</f>
        <v>0.8</v>
      </c>
      <c r="R42" s="1432"/>
      <c r="S42" s="1432"/>
      <c r="T42" s="1439">
        <f>IF(Cover!$M$36=1,SUMIF($BJ$103:$BJ$115,12,$BN$103:$BN$115),SUMIF(BSS!$BJ$103:$BJ$115,Cover!$M$36-1,BSS!$BS$103:$BS$115))</f>
        <v>0.86403914826081207</v>
      </c>
      <c r="U42" s="1439"/>
      <c r="V42" s="1439"/>
      <c r="W42" s="1440">
        <f>SUMIF(BSS!$BJ$103:$BJ$115,Cover!$M$36,BSS!$BS$103:$BS$115)</f>
        <v>0.86287464449792162</v>
      </c>
      <c r="X42" s="1441"/>
      <c r="Y42" s="1442"/>
      <c r="Z42" s="1411">
        <f>SUMIF(BSS!$BK$103:$BK$115,Cover!$M$35,BSS!$BT$103:$BT$115)</f>
        <v>0.86287464449792162</v>
      </c>
      <c r="AA42" s="1411"/>
      <c r="AB42" s="1411"/>
      <c r="AC42" s="1429"/>
      <c r="AD42" s="1392"/>
      <c r="AE42" s="1392"/>
      <c r="AF42" s="1392"/>
      <c r="AG42" s="1392"/>
      <c r="AH42" s="1392"/>
      <c r="AI42" s="1392"/>
      <c r="AJ42" s="1392"/>
      <c r="AK42" s="1392"/>
      <c r="AL42" s="1392"/>
      <c r="AM42" s="1392"/>
      <c r="AN42" s="1392"/>
      <c r="AO42" s="1392"/>
      <c r="AP42" s="1392"/>
      <c r="AQ42" s="1392"/>
      <c r="AR42" s="1392"/>
      <c r="AS42" s="1392"/>
      <c r="AT42" s="1392"/>
      <c r="AU42" s="1392"/>
      <c r="AV42" s="1392"/>
      <c r="AW42" s="1392"/>
      <c r="AX42" s="1392"/>
      <c r="AY42" s="1392"/>
      <c r="AZ42" s="1392"/>
      <c r="BA42" s="1392"/>
      <c r="BB42" s="1392"/>
      <c r="BC42" s="1392"/>
      <c r="BD42" s="1392"/>
      <c r="BE42" s="1393"/>
      <c r="BF42" s="43"/>
      <c r="BH42" s="160">
        <f t="shared" ref="BH42" si="8">IF(Q42=0,4,IF(W42=0,0,IF(Q42="","",IF(W42&gt;=Q42,1,IF(W42&lt;Q42*0.9,3,2)))))</f>
        <v>1</v>
      </c>
      <c r="BI42" s="54" t="s">
        <v>300</v>
      </c>
      <c r="BJ42" s="288" t="s">
        <v>470</v>
      </c>
      <c r="BK42" s="288"/>
      <c r="BL42" s="288"/>
      <c r="BM42" s="288"/>
      <c r="BN42" s="288"/>
      <c r="BO42" s="288"/>
      <c r="BP42" s="288"/>
      <c r="BQ42" s="288"/>
      <c r="BR42" s="288"/>
      <c r="BS42" s="288"/>
      <c r="BT42" s="288"/>
      <c r="BU42" s="288"/>
      <c r="BY42" s="270"/>
      <c r="BZ42" s="270"/>
      <c r="CA42" s="270"/>
      <c r="CB42" s="270"/>
      <c r="CC42" s="270"/>
    </row>
    <row r="43" spans="2:81" ht="15" customHeight="1" thickBot="1">
      <c r="BH43" s="249"/>
      <c r="BI43" s="1402" t="s">
        <v>7</v>
      </c>
      <c r="BJ43" s="1403"/>
      <c r="BK43" s="1404"/>
      <c r="BL43" s="1402" t="s">
        <v>302</v>
      </c>
      <c r="BM43" s="1403"/>
      <c r="BN43" s="1403"/>
      <c r="BO43" s="1403"/>
      <c r="BP43" s="1404"/>
      <c r="BQ43" s="1402" t="s">
        <v>719</v>
      </c>
      <c r="BR43" s="1403"/>
      <c r="BS43" s="1403"/>
      <c r="BT43" s="1403"/>
      <c r="BU43" s="1404"/>
      <c r="BW43" s="1402" t="s">
        <v>303</v>
      </c>
      <c r="BX43" s="1403"/>
      <c r="BY43" s="1403"/>
      <c r="BZ43" s="1403"/>
      <c r="CA43" s="1403"/>
      <c r="CB43" s="1403"/>
      <c r="CC43" s="1404"/>
    </row>
    <row r="44" spans="2:81" ht="15" customHeight="1">
      <c r="B44" s="531" t="s">
        <v>350</v>
      </c>
      <c r="C44" s="533"/>
      <c r="D44" s="533"/>
      <c r="E44" s="533"/>
      <c r="F44" s="533"/>
      <c r="G44" s="532"/>
      <c r="H44" s="532"/>
      <c r="I44" s="532"/>
      <c r="J44" s="532"/>
      <c r="K44" s="532"/>
      <c r="L44" s="539"/>
      <c r="M44" s="533"/>
      <c r="N44" s="533"/>
      <c r="O44" s="532"/>
      <c r="P44" s="532"/>
      <c r="Q44" s="532"/>
      <c r="R44" s="532"/>
      <c r="S44" s="532"/>
      <c r="T44" s="532"/>
      <c r="U44" s="532"/>
      <c r="V44" s="532"/>
      <c r="W44" s="532"/>
      <c r="X44" s="532"/>
      <c r="Y44" s="532"/>
      <c r="Z44" s="532"/>
      <c r="AA44" s="532"/>
      <c r="AB44" s="532"/>
      <c r="AC44" s="532"/>
      <c r="AD44" s="532"/>
      <c r="AE44" s="532"/>
      <c r="AF44" s="532"/>
      <c r="AG44" s="532"/>
      <c r="AH44" s="532"/>
      <c r="AI44" s="532"/>
      <c r="AJ44" s="532"/>
      <c r="AK44" s="532"/>
      <c r="AL44" s="532"/>
      <c r="AM44" s="532"/>
      <c r="AN44" s="532"/>
      <c r="AO44" s="532"/>
      <c r="AP44" s="532"/>
      <c r="AQ44" s="532"/>
      <c r="AR44" s="532"/>
      <c r="AS44" s="532"/>
      <c r="AT44" s="532"/>
      <c r="AU44" s="532"/>
      <c r="AV44" s="532"/>
      <c r="AW44" s="532"/>
      <c r="AX44" s="532"/>
      <c r="AY44" s="532"/>
      <c r="AZ44" s="532"/>
      <c r="BA44" s="532"/>
      <c r="BB44" s="532"/>
      <c r="BC44" s="532"/>
      <c r="BD44" s="532"/>
      <c r="BE44" s="532"/>
      <c r="BH44" s="249"/>
      <c r="BI44" s="636" t="s">
        <v>23</v>
      </c>
      <c r="BJ44" s="636" t="s">
        <v>37</v>
      </c>
      <c r="BK44" s="636" t="s">
        <v>304</v>
      </c>
      <c r="BL44" s="637" t="s">
        <v>305</v>
      </c>
      <c r="BM44" s="637" t="s">
        <v>310</v>
      </c>
      <c r="BN44" s="637" t="s">
        <v>311</v>
      </c>
      <c r="BO44" s="278" t="s">
        <v>312</v>
      </c>
      <c r="BP44" s="637" t="s">
        <v>313</v>
      </c>
      <c r="BQ44" s="688" t="s">
        <v>305</v>
      </c>
      <c r="BR44" s="637" t="s">
        <v>715</v>
      </c>
      <c r="BS44" s="637" t="s">
        <v>716</v>
      </c>
      <c r="BT44" s="278" t="s">
        <v>717</v>
      </c>
      <c r="BU44" s="637" t="s">
        <v>718</v>
      </c>
      <c r="BW44" s="279" t="s">
        <v>314</v>
      </c>
      <c r="BX44" s="279" t="s">
        <v>23</v>
      </c>
      <c r="BY44" s="280" t="s">
        <v>315</v>
      </c>
      <c r="BZ44" s="279" t="s">
        <v>122</v>
      </c>
      <c r="CA44" s="279" t="s">
        <v>316</v>
      </c>
      <c r="CB44" s="279" t="s">
        <v>317</v>
      </c>
      <c r="CC44" s="279" t="s">
        <v>318</v>
      </c>
    </row>
    <row r="45" spans="2:81" ht="15" customHeight="1">
      <c r="BH45" s="249"/>
      <c r="BI45" s="638" t="s">
        <v>319</v>
      </c>
      <c r="BJ45" s="638">
        <v>1</v>
      </c>
      <c r="BK45" s="638" t="s">
        <v>320</v>
      </c>
      <c r="BL45" s="825">
        <f>IF(BM26="","",BM26)</f>
        <v>5.0439999999999996</v>
      </c>
      <c r="BM45" s="689">
        <v>14.692</v>
      </c>
      <c r="BN45" s="653">
        <f>IF(BM45="","",BL45/BM45)</f>
        <v>0.34331609038932748</v>
      </c>
      <c r="BO45" s="289">
        <f>IF(SUM(BM45:BM47=0),0,SUM(BL45:BL47)/SUM(BM45:BM47))</f>
        <v>0.33771089138974819</v>
      </c>
      <c r="BP45" s="657">
        <v>0.3</v>
      </c>
      <c r="BQ45" s="846">
        <f>IF(BR26="","",BR26)</f>
        <v>9.01</v>
      </c>
      <c r="BR45" s="689">
        <v>20.283999999999999</v>
      </c>
      <c r="BS45" s="653">
        <f>IF(BR45="","",BQ45/BR45)</f>
        <v>0.44419246696903963</v>
      </c>
      <c r="BT45" s="289">
        <f>IF(SUM(BR45:BR47=0),0,SUM(BQ45:BQ47)/SUM(BR45:BR47))</f>
        <v>0.44419246696903963</v>
      </c>
      <c r="BU45" s="657">
        <v>0.3</v>
      </c>
      <c r="BX45" s="666" t="str">
        <f t="shared" ref="BX45:BX56" si="9">TEXT(CONCATENATE(CC45,"/01/20",CB45),"MMM")</f>
        <v>Oct</v>
      </c>
      <c r="BY45" s="643">
        <f>IF(CB45=$CB57,SUMIF($BI45:$BI56,$BX45,$BR45:$BR56),SUMIF($BI45:$BI56,$BX45,$BM45:$BM56))</f>
        <v>14.692</v>
      </c>
      <c r="BZ45" s="821">
        <f>IF(IF(CB45=CB57,SUMIF(BI45:BI56,$BX45,BU45:BU56),SUMIF(BI45:BI56,$BX45,BP45:BP56))=0,NA(),IF(CB45=CB57,SUMIF(BI45:BI56,$BX45,BU45:BU56),SUMIF(BI45:BI56,$BX45,BP45:BP56)))</f>
        <v>0.3</v>
      </c>
      <c r="CA45" s="640">
        <f>IF(IF(CB45=CB57,SUMIF(BI45:BI56,$BX45,BS45:BS56),SUMIF(BI45:BI56,$BX45,BN45:BN56))=0,NA(),IF(CB45=CB57,SUMIF(BI45:BI56,$BX45,BS45:BS56),SUMIF(BI45:BI56,$BX45,BN45:BN56)))</f>
        <v>0.34331609038932748</v>
      </c>
      <c r="CB45" s="645">
        <f>CB26</f>
        <v>23</v>
      </c>
      <c r="CC45" s="645">
        <f t="shared" ref="CC45:CC55" si="10">IF(CC46-1&lt;1,CC46+11,CC46-1)</f>
        <v>10</v>
      </c>
    </row>
    <row r="46" spans="2:81" ht="15" customHeight="1">
      <c r="BH46" s="249"/>
      <c r="BI46" s="638" t="s">
        <v>321</v>
      </c>
      <c r="BJ46" s="638">
        <v>2</v>
      </c>
      <c r="BK46" s="638" t="s">
        <v>320</v>
      </c>
      <c r="BL46" s="825">
        <f t="shared" ref="BL46:BL56" si="11">IF(BM27="","",BM27)</f>
        <v>5.8719999999999999</v>
      </c>
      <c r="BM46" s="822">
        <v>17.420999999999999</v>
      </c>
      <c r="BN46" s="653">
        <f t="shared" ref="BN46:BN56" si="12">IF(BM46="","",BL46/BM46)</f>
        <v>0.33706446243040011</v>
      </c>
      <c r="BO46" s="835"/>
      <c r="BP46" s="657">
        <v>0.3</v>
      </c>
      <c r="BQ46" s="846" t="str">
        <f t="shared" ref="BQ46:BQ56" si="13">IF(BR27="","",BR27)</f>
        <v/>
      </c>
      <c r="BR46" s="822"/>
      <c r="BS46" s="653" t="str">
        <f t="shared" ref="BS46:BS56" si="14">IF(BR46="","",BQ46/BR46)</f>
        <v/>
      </c>
      <c r="BT46" s="845"/>
      <c r="BU46" s="657">
        <v>0.3</v>
      </c>
      <c r="BX46" s="666" t="str">
        <f t="shared" si="9"/>
        <v>Nov</v>
      </c>
      <c r="BY46" s="643">
        <f>IF(CB46=$CB57,SUMIF($BI45:$BI56,$BX46,$BR45:$BR56),SUMIF($BI45:$BI56,$BX46,$BM45:$BM56))</f>
        <v>17.420999999999999</v>
      </c>
      <c r="BZ46" s="821">
        <f>IF(IF(CB46=CB57,SUMIF(BI45:BI56,$BX46,BU45:BU56),SUMIF(BI45:BI56,$BX46,BP45:BP56))=0,NA(),IF(CB46=CB57,SUMIF(BI45:BI56,$BX46,BU45:BU56),SUMIF(BI45:BI56,$BX46,BP45:BP56)))</f>
        <v>0.3</v>
      </c>
      <c r="CA46" s="640">
        <f>IF(IF(CB46=CB57,SUMIF(BI45:BI56,$BX46,BS45:BS56),SUMIF(BI45:BI56,$BX46,BN45:BN56))=0,NA(),IF(CB46=CB57,SUMIF(BI45:BI56,$BX46,BS45:BS56),SUMIF(BI45:BI56,$BX46,BN45:BN56)))</f>
        <v>0.33706446243040011</v>
      </c>
      <c r="CB46" s="645">
        <f>CB27</f>
        <v>23</v>
      </c>
      <c r="CC46" s="645">
        <f t="shared" si="10"/>
        <v>11</v>
      </c>
    </row>
    <row r="47" spans="2:81" ht="15" customHeight="1">
      <c r="BH47" s="249"/>
      <c r="BI47" s="638" t="s">
        <v>322</v>
      </c>
      <c r="BJ47" s="638">
        <v>3</v>
      </c>
      <c r="BK47" s="638" t="s">
        <v>320</v>
      </c>
      <c r="BL47" s="825">
        <f t="shared" si="11"/>
        <v>6.8789999999999996</v>
      </c>
      <c r="BM47" s="822">
        <v>20.58</v>
      </c>
      <c r="BN47" s="653">
        <f t="shared" si="12"/>
        <v>0.33425655976676383</v>
      </c>
      <c r="BO47" s="835"/>
      <c r="BP47" s="657">
        <v>0.3</v>
      </c>
      <c r="BQ47" s="846" t="str">
        <f t="shared" si="13"/>
        <v/>
      </c>
      <c r="BR47" s="822"/>
      <c r="BS47" s="653" t="str">
        <f t="shared" si="14"/>
        <v/>
      </c>
      <c r="BT47" s="845"/>
      <c r="BU47" s="657">
        <v>0.3</v>
      </c>
      <c r="BX47" s="666" t="str">
        <f t="shared" si="9"/>
        <v>Dec</v>
      </c>
      <c r="BY47" s="643">
        <f>IF(CB47=$CB57,SUMIF($BI45:$BI56,$BX47,$BR45:$BR56),SUMIF($BI45:$BI56,$BX47,$BM45:$BM56))</f>
        <v>20.58</v>
      </c>
      <c r="BZ47" s="821">
        <f>IF(IF(CB47=CB57,SUMIF(BI45:BI56,$BX47,BU45:BU56),SUMIF(BI45:BI56,$BX47,BP45:BP56))=0,NA(),IF(CB47=CB57,SUMIF(BI45:BI56,$BX47,BU45:BU56),SUMIF(BI45:BI56,$BX47,BP45:BP56)))</f>
        <v>0.3</v>
      </c>
      <c r="CA47" s="640">
        <f>IF(IF(CB47=CB57,SUMIF(BI45:BI56,$BX47,BS45:BS56),SUMIF(BI45:BI56,$BX47,BN45:BN56))=0,NA(),IF(CB47=CB57,SUMIF(BI45:BI56,$BX47,BS45:BS56),SUMIF(BI45:BI56,$BX47,BN45:BN56)))</f>
        <v>0.33425655976676383</v>
      </c>
      <c r="CB47" s="645">
        <f t="shared" ref="CB47:CB56" si="15">CB28</f>
        <v>23</v>
      </c>
      <c r="CC47" s="645">
        <f t="shared" si="10"/>
        <v>12</v>
      </c>
    </row>
    <row r="48" spans="2:81" ht="15" customHeight="1">
      <c r="BH48" s="249"/>
      <c r="BI48" s="638" t="s">
        <v>323</v>
      </c>
      <c r="BJ48" s="638">
        <v>4</v>
      </c>
      <c r="BK48" s="638" t="s">
        <v>324</v>
      </c>
      <c r="BL48" s="825">
        <f t="shared" si="11"/>
        <v>6.7670000000000003</v>
      </c>
      <c r="BM48" s="822">
        <v>19.574000000000002</v>
      </c>
      <c r="BN48" s="653">
        <f t="shared" si="12"/>
        <v>0.34571370184939204</v>
      </c>
      <c r="BO48" s="289">
        <f>IF(SUM(BM48:BM50=0),0,SUM(BL48:BL50)/SUM(BM48:BM50))</f>
        <v>0.35735786423608185</v>
      </c>
      <c r="BP48" s="657">
        <v>0.3</v>
      </c>
      <c r="BQ48" s="846" t="str">
        <f t="shared" si="13"/>
        <v/>
      </c>
      <c r="BR48" s="822"/>
      <c r="BS48" s="653" t="str">
        <f t="shared" si="14"/>
        <v/>
      </c>
      <c r="BT48" s="289">
        <f>IF(SUM(BR48:BR50=0),0,SUM(BQ48:BQ50)/SUM(BR48:BR50))</f>
        <v>0</v>
      </c>
      <c r="BU48" s="657">
        <v>0.3</v>
      </c>
      <c r="BX48" s="666" t="str">
        <f t="shared" si="9"/>
        <v>Jan</v>
      </c>
      <c r="BY48" s="643">
        <f>IF(CB48=$CB57,SUMIF($BI45:$BI56,$BX48,$BR45:$BR56),SUMIF($BI45:$BI56,$BX48,$BM45:$BM56))</f>
        <v>19.574000000000002</v>
      </c>
      <c r="BZ48" s="821">
        <f>IF(IF(CB48=CB57,SUMIF(BI45:BI56,$BX48,BU45:BU56),SUMIF(BI45:BI56,$BX48,BP45:BP56))=0,NA(),IF(CB48=CB57,SUMIF(BI45:BI56,$BX48,BU45:BU56),SUMIF(BI45:BI56,$BX48,BP45:BP56)))</f>
        <v>0.3</v>
      </c>
      <c r="CA48" s="640">
        <f>IF(IF(CB48=CB57,SUMIF(BI45:BI56,$BX48,BS45:BS56),SUMIF(BI45:BI56,$BX48,BN45:BN56))=0,NA(),IF(CB48=CB57,SUMIF(BI45:BI56,$BX48,BS45:BS56),SUMIF(BI45:BI56,$BX48,BN45:BN56)))</f>
        <v>0.34571370184939204</v>
      </c>
      <c r="CB48" s="645">
        <f t="shared" si="15"/>
        <v>23</v>
      </c>
      <c r="CC48" s="645">
        <f t="shared" si="10"/>
        <v>1</v>
      </c>
    </row>
    <row r="49" spans="2:81" ht="15" customHeight="1">
      <c r="BH49" s="249"/>
      <c r="BI49" s="638" t="s">
        <v>325</v>
      </c>
      <c r="BJ49" s="638">
        <v>5</v>
      </c>
      <c r="BK49" s="638" t="s">
        <v>324</v>
      </c>
      <c r="BL49" s="825">
        <f t="shared" si="11"/>
        <v>7.64</v>
      </c>
      <c r="BM49" s="690">
        <v>21.501999999999999</v>
      </c>
      <c r="BN49" s="653">
        <f t="shared" si="12"/>
        <v>0.35531578457817875</v>
      </c>
      <c r="BO49" s="835"/>
      <c r="BP49" s="657">
        <v>0.3</v>
      </c>
      <c r="BQ49" s="846" t="str">
        <f>IF(BR30="","",BR30)</f>
        <v/>
      </c>
      <c r="BR49" s="690"/>
      <c r="BS49" s="653" t="str">
        <f t="shared" si="14"/>
        <v/>
      </c>
      <c r="BT49" s="845"/>
      <c r="BU49" s="657">
        <v>0.3</v>
      </c>
      <c r="BX49" s="666" t="str">
        <f t="shared" si="9"/>
        <v>Feb</v>
      </c>
      <c r="BY49" s="643">
        <f>IF(CB49=$CB57,SUMIF($BI45:$BI56,$BX49,$BR45:$BR56),SUMIF($BI45:$BI56,$BX49,$BM45:$BM56))</f>
        <v>21.501999999999999</v>
      </c>
      <c r="BZ49" s="821">
        <f>IF(IF(CB49=CB57,SUMIF(BI45:BI56,$BX49,BU45:BU56),SUMIF(BI45:BI56,$BX49,BP45:BP56))=0,NA(),IF(CB49=CB57,SUMIF(BI45:BI56,$BX49,BU45:BU56),SUMIF(BI45:BI56,$BX49,BP45:BP56)))</f>
        <v>0.3</v>
      </c>
      <c r="CA49" s="640">
        <f>IF(IF(CB49=CB57,SUMIF(BI45:BI56,$BX49,BS45:BS56),SUMIF(BI45:BI56,$BX49,BN45:BN56))=0,NA(),IF(CB49=CB57,SUMIF(BI45:BI56,$BX49,BS45:BS56),SUMIF(BI45:BI56,$BX49,BN45:BN56)))</f>
        <v>0.35531578457817875</v>
      </c>
      <c r="CB49" s="645">
        <f t="shared" si="15"/>
        <v>23</v>
      </c>
      <c r="CC49" s="645">
        <f t="shared" si="10"/>
        <v>2</v>
      </c>
    </row>
    <row r="50" spans="2:81" ht="15" customHeight="1">
      <c r="BH50" s="249"/>
      <c r="BI50" s="638" t="s">
        <v>326</v>
      </c>
      <c r="BJ50" s="638">
        <v>6</v>
      </c>
      <c r="BK50" s="638" t="s">
        <v>324</v>
      </c>
      <c r="BL50" s="825">
        <f>IF(BM31="","",BM31)</f>
        <v>10.999000000000001</v>
      </c>
      <c r="BM50" s="690">
        <v>30.018000000000001</v>
      </c>
      <c r="BN50" s="653">
        <f t="shared" si="12"/>
        <v>0.36641348524218803</v>
      </c>
      <c r="BO50" s="835"/>
      <c r="BP50" s="657">
        <v>0.3</v>
      </c>
      <c r="BQ50" s="846" t="str">
        <f t="shared" si="13"/>
        <v/>
      </c>
      <c r="BR50" s="690"/>
      <c r="BS50" s="653" t="str">
        <f t="shared" si="14"/>
        <v/>
      </c>
      <c r="BT50" s="845"/>
      <c r="BU50" s="657">
        <v>0.3</v>
      </c>
      <c r="BX50" s="666" t="str">
        <f t="shared" si="9"/>
        <v>Mar</v>
      </c>
      <c r="BY50" s="643">
        <f>IF(CB50=$CB57,SUMIF($BI45:$BI56,$BX50,$BR45:$BR56),SUMIF($BI45:$BI56,$BX50,$BM45:$BM56))</f>
        <v>30.018000000000001</v>
      </c>
      <c r="BZ50" s="821">
        <f>IF(IF(CB50=CB57,SUMIF(BI45:BI56,$BX50,BU45:BU56),SUMIF(BI45:BI56,$BX50,BP45:BP56))=0,NA(),IF(CB50=CB57,SUMIF(BI45:BI56,$BX50,BU45:BU56),SUMIF(BI45:BI56,$BX50,BP45:BP56)))</f>
        <v>0.3</v>
      </c>
      <c r="CA50" s="640">
        <f>IF(IF(CB50=CB57,SUMIF(BI45:BI56,$BX50,BS45:BS56),SUMIF(BI45:BI56,$BX50,BN45:BN56))=0,NA(),IF(CB50=CB57,SUMIF(BI45:BI56,$BX50,BS45:BS56),SUMIF(BI45:BI56,$BX50,BN45:BN56)))</f>
        <v>0.36641348524218803</v>
      </c>
      <c r="CB50" s="645">
        <f t="shared" si="15"/>
        <v>23</v>
      </c>
      <c r="CC50" s="645">
        <f t="shared" si="10"/>
        <v>3</v>
      </c>
    </row>
    <row r="51" spans="2:81" ht="15" customHeight="1">
      <c r="BH51" s="249"/>
      <c r="BI51" s="638" t="s">
        <v>327</v>
      </c>
      <c r="BJ51" s="638">
        <v>7</v>
      </c>
      <c r="BK51" s="638" t="s">
        <v>328</v>
      </c>
      <c r="BL51" s="825">
        <f t="shared" si="11"/>
        <v>8.3879999999999999</v>
      </c>
      <c r="BM51" s="690">
        <v>22.516999999999999</v>
      </c>
      <c r="BN51" s="653">
        <f t="shared" si="12"/>
        <v>0.37251854154638719</v>
      </c>
      <c r="BO51" s="289">
        <f>IF(SUM(BM51:BM53=0),0,SUM(BL51:BL53)/SUM(BM51:BM53))</f>
        <v>0.39937751896846002</v>
      </c>
      <c r="BP51" s="657">
        <v>0.3</v>
      </c>
      <c r="BQ51" s="846" t="str">
        <f>IF(BR32="","",BR32)</f>
        <v/>
      </c>
      <c r="BR51" s="690"/>
      <c r="BS51" s="653" t="str">
        <f>IF(BR51="","",BQ51/BR51)</f>
        <v/>
      </c>
      <c r="BT51" s="289">
        <f>IF(SUM(BR51:BR53=0),0,SUM(BQ51:BQ53)/SUM(BR51:BR53))</f>
        <v>0</v>
      </c>
      <c r="BU51" s="657">
        <v>0.3</v>
      </c>
      <c r="BX51" s="666" t="str">
        <f t="shared" si="9"/>
        <v>Apr</v>
      </c>
      <c r="BY51" s="643">
        <f>IF(CB51=$CB57,SUMIF($BI45:$BI56,$BX51,$BR45:$BR56),SUMIF($BI45:$BI56,$BX51,$BM45:$BM56))</f>
        <v>22.516999999999999</v>
      </c>
      <c r="BZ51" s="821">
        <f>IF(IF(CB51=CB57,SUMIF(BI45:BI56,$BX51,BU45:BU56),SUMIF(BI45:BI56,$BX51,BP45:BP56))=0,NA(),IF(CB51=CB57,SUMIF(BI45:BI56,$BX51,BU45:BU56),SUMIF(BI45:BI56,$BX51,BP45:BP56)))</f>
        <v>0.3</v>
      </c>
      <c r="CA51" s="640">
        <f>IF(IF(CB51=CB57,SUMIF(BI45:BI56,$BX51,BS45:BS56),SUMIF(BI45:BI56,$BX51,BN45:BN56))=0,NA(),IF(CB51=CB57,SUMIF(BI45:BI56,$BX51,BS45:BS56),SUMIF(BI45:BI56,$BX51,BN45:BN56)))</f>
        <v>0.37251854154638719</v>
      </c>
      <c r="CB51" s="645">
        <f t="shared" si="15"/>
        <v>23</v>
      </c>
      <c r="CC51" s="645">
        <f t="shared" si="10"/>
        <v>4</v>
      </c>
    </row>
    <row r="52" spans="2:81" ht="15" customHeight="1">
      <c r="BH52" s="249"/>
      <c r="BI52" s="638" t="s">
        <v>329</v>
      </c>
      <c r="BJ52" s="638">
        <v>8</v>
      </c>
      <c r="BK52" s="638" t="s">
        <v>328</v>
      </c>
      <c r="BL52" s="825">
        <f t="shared" si="11"/>
        <v>8.6630000000000003</v>
      </c>
      <c r="BM52" s="690">
        <v>21.077000000000002</v>
      </c>
      <c r="BN52" s="653">
        <f t="shared" si="12"/>
        <v>0.41101674811405797</v>
      </c>
      <c r="BO52" s="835"/>
      <c r="BP52" s="657">
        <v>0.3</v>
      </c>
      <c r="BQ52" s="846" t="str">
        <f t="shared" si="13"/>
        <v/>
      </c>
      <c r="BR52" s="690"/>
      <c r="BS52" s="653" t="str">
        <f t="shared" si="14"/>
        <v/>
      </c>
      <c r="BT52" s="845"/>
      <c r="BU52" s="657">
        <v>0.3</v>
      </c>
      <c r="BX52" s="666" t="str">
        <f t="shared" si="9"/>
        <v>May</v>
      </c>
      <c r="BY52" s="643">
        <f>IF(CB52=$CB57,SUMIF($BI45:$BI56,$BX52,$BR45:$BR56),SUMIF($BI45:$BI56,$BX52,$BM45:$BM56))</f>
        <v>21.077000000000002</v>
      </c>
      <c r="BZ52" s="821">
        <f>IF(IF(CB52=CB57,SUMIF(BI45:BI56,$BX52,BU45:BU56),SUMIF(BI45:BI56,$BX52,BP45:BP56))=0,NA(),IF(CB52=CB57,SUMIF(BI45:BI56,$BX52,BU45:BU56),SUMIF(BI45:BI56,$BX52,BP45:BP56)))</f>
        <v>0.3</v>
      </c>
      <c r="CA52" s="640">
        <f>IF(IF(CB52=CB57,SUMIF(BI45:BI56,$BX52,BS45:BS56),SUMIF(BI45:BI56,$BX52,BN45:BN56))=0,NA(),IF(CB52=CB57,SUMIF(BI45:BI56,$BX52,BS45:BS56),SUMIF(BI45:BI56,$BX52,BN45:BN56)))</f>
        <v>0.41101674811405797</v>
      </c>
      <c r="CB52" s="645">
        <f t="shared" si="15"/>
        <v>23</v>
      </c>
      <c r="CC52" s="645">
        <f t="shared" si="10"/>
        <v>5</v>
      </c>
    </row>
    <row r="53" spans="2:81" ht="15" customHeight="1">
      <c r="BH53" s="249"/>
      <c r="BI53" s="638" t="s">
        <v>331</v>
      </c>
      <c r="BJ53" s="638">
        <v>9</v>
      </c>
      <c r="BK53" s="638" t="s">
        <v>328</v>
      </c>
      <c r="BL53" s="825">
        <f t="shared" si="11"/>
        <v>10.794</v>
      </c>
      <c r="BM53" s="690">
        <v>26.126999999999999</v>
      </c>
      <c r="BN53" s="653">
        <f t="shared" si="12"/>
        <v>0.4131358364909864</v>
      </c>
      <c r="BO53" s="835"/>
      <c r="BP53" s="657">
        <v>0.3</v>
      </c>
      <c r="BQ53" s="846" t="str">
        <f t="shared" si="13"/>
        <v/>
      </c>
      <c r="BR53" s="690"/>
      <c r="BS53" s="653" t="str">
        <f t="shared" si="14"/>
        <v/>
      </c>
      <c r="BT53" s="845"/>
      <c r="BU53" s="657">
        <v>0.3</v>
      </c>
      <c r="BX53" s="666" t="str">
        <f t="shared" si="9"/>
        <v>Jun</v>
      </c>
      <c r="BY53" s="643">
        <f>IF(CB53=$CB57,SUMIF($BI45:$BI56,$BX53,$BR45:$BR56),SUMIF($BI45:$BI56,$BX53,$BM45:$BM56))</f>
        <v>26.126999999999999</v>
      </c>
      <c r="BZ53" s="821">
        <f>IF(IF(CB53=CB57,SUMIF(BI45:BI56,$BX53,BU45:BU56),SUMIF(BI45:BI56,$BX53,BP45:BP56))=0,NA(),IF(CB53=CB57,SUMIF(BI45:BI56,$BX53,BU45:BU56),SUMIF(BI45:BI56,$BX53,BP45:BP56)))</f>
        <v>0.3</v>
      </c>
      <c r="CA53" s="640">
        <f>IF(IF(CB53=CB57,SUMIF(BI45:BI56,$BX53,BS45:BS56),SUMIF(BI45:BI56,$BX53,BN45:BN56))=0,NA(),IF(CB53=CB57,SUMIF(BI45:BI56,$BX53,BS45:BS56),SUMIF(BI45:BI56,$BX53,BN45:BN56)))</f>
        <v>0.4131358364909864</v>
      </c>
      <c r="CB53" s="645">
        <f t="shared" si="15"/>
        <v>23</v>
      </c>
      <c r="CC53" s="645">
        <f t="shared" si="10"/>
        <v>6</v>
      </c>
    </row>
    <row r="54" spans="2:81" ht="15" customHeight="1">
      <c r="BH54" s="249"/>
      <c r="BI54" s="638" t="s">
        <v>337</v>
      </c>
      <c r="BJ54" s="638">
        <v>10</v>
      </c>
      <c r="BK54" s="638" t="s">
        <v>338</v>
      </c>
      <c r="BL54" s="825">
        <f t="shared" si="11"/>
        <v>9.2170000000000005</v>
      </c>
      <c r="BM54" s="690">
        <v>21.317</v>
      </c>
      <c r="BN54" s="653">
        <f t="shared" si="12"/>
        <v>0.43237791434066708</v>
      </c>
      <c r="BO54" s="289">
        <f>IF(SUM(BM54:BM56=0),0,SUM(BL54:BL56)/SUM(BM54:BM56))</f>
        <v>0.43392489304389165</v>
      </c>
      <c r="BP54" s="657">
        <v>0.3</v>
      </c>
      <c r="BQ54" s="846" t="str">
        <f t="shared" si="13"/>
        <v/>
      </c>
      <c r="BR54" s="690"/>
      <c r="BS54" s="653" t="str">
        <f t="shared" si="14"/>
        <v/>
      </c>
      <c r="BT54" s="289">
        <f>IF(SUM(BR54:BR56=0),0,SUM(BQ54:BQ56)/SUM(BR54:BR56))</f>
        <v>0</v>
      </c>
      <c r="BU54" s="657">
        <v>0.3</v>
      </c>
      <c r="BX54" s="666" t="str">
        <f t="shared" si="9"/>
        <v>Jul</v>
      </c>
      <c r="BY54" s="643">
        <f>IF(CB54=$CB57,SUMIF($BI45:$BI56,$BX54,$BR45:$BR56),SUMIF($BI45:$BI56,$BX54,$BM45:$BM56))</f>
        <v>21.317</v>
      </c>
      <c r="BZ54" s="821">
        <f>IF(IF(CB54=CB57,SUMIF(BI45:BI56,$BX54,BU45:BU56),SUMIF(BI45:BI56,$BX54,BP45:BP56))=0,NA(),IF(CB54=CB57,SUMIF(BI45:BI56,$BX54,BU45:BU56),SUMIF(BI45:BI56,$BX54,BP45:BP56)))</f>
        <v>0.3</v>
      </c>
      <c r="CA54" s="640">
        <f>IF(IF(CB54=CB57,SUMIF(BI45:BI56,$BX54,BS45:BS56),SUMIF(BI45:BI56,$BX54,BN45:BN56))=0,NA(),IF(CB54=CB57,SUMIF(BI45:BI56,$BX54,BS45:BS56),SUMIF(BI45:BI56,$BX54,BN45:BN56)))</f>
        <v>0.43237791434066708</v>
      </c>
      <c r="CB54" s="645">
        <f t="shared" si="15"/>
        <v>23</v>
      </c>
      <c r="CC54" s="645">
        <f t="shared" si="10"/>
        <v>7</v>
      </c>
    </row>
    <row r="55" spans="2:81" ht="15" customHeight="1">
      <c r="BH55" s="249"/>
      <c r="BI55" s="638" t="s">
        <v>343</v>
      </c>
      <c r="BJ55" s="638">
        <v>11</v>
      </c>
      <c r="BK55" s="638" t="s">
        <v>338</v>
      </c>
      <c r="BL55" s="825">
        <f t="shared" si="11"/>
        <v>10.285</v>
      </c>
      <c r="BM55" s="690">
        <v>23.876000000000001</v>
      </c>
      <c r="BN55" s="653">
        <f t="shared" si="12"/>
        <v>0.43076729770480815</v>
      </c>
      <c r="BO55" s="835"/>
      <c r="BP55" s="657">
        <v>0.3</v>
      </c>
      <c r="BQ55" s="846" t="str">
        <f t="shared" si="13"/>
        <v/>
      </c>
      <c r="BR55" s="690"/>
      <c r="BS55" s="653" t="str">
        <f t="shared" si="14"/>
        <v/>
      </c>
      <c r="BT55" s="845"/>
      <c r="BU55" s="657">
        <v>0.3</v>
      </c>
      <c r="BX55" s="666" t="str">
        <f t="shared" si="9"/>
        <v>Aug</v>
      </c>
      <c r="BY55" s="643">
        <f>IF(CB55=$CB57,SUMIF($BI45:$BI56,$BX55,$BR45:$BR56),SUMIF($BI45:$BI56,$BX55,$BM45:$BM56))</f>
        <v>23.876000000000001</v>
      </c>
      <c r="BZ55" s="821">
        <f>IF(IF(CB55=CB57,SUMIF(BI45:BI56,$BX55,BU45:BU56),SUMIF(BI45:BI56,$BX55,BP45:BP56))=0,NA(),IF(CB55=CB57,SUMIF(BI45:BI56,$BX55,BU45:BU56),SUMIF(BI45:BI56,$BX55,BP45:BP56)))</f>
        <v>0.3</v>
      </c>
      <c r="CA55" s="640">
        <f>IF(IF(CB55=CB57,SUMIF(BI45:BI56,$BX55,BS45:BS56),SUMIF(BI45:BI56,$BX55,BN45:BN56))=0,NA(),IF(CB55=CB57,SUMIF(BI45:BI56,$BX55,BS45:BS56),SUMIF(BI45:BI56,$BX55,BN45:BN56)))</f>
        <v>0.43076729770480815</v>
      </c>
      <c r="CB55" s="645">
        <f t="shared" si="15"/>
        <v>23</v>
      </c>
      <c r="CC55" s="645">
        <f t="shared" si="10"/>
        <v>8</v>
      </c>
    </row>
    <row r="56" spans="2:81" ht="15" customHeight="1">
      <c r="BH56" s="249"/>
      <c r="BI56" s="638" t="s">
        <v>344</v>
      </c>
      <c r="BJ56" s="638">
        <v>12</v>
      </c>
      <c r="BK56" s="638" t="s">
        <v>338</v>
      </c>
      <c r="BL56" s="825">
        <f t="shared" si="11"/>
        <v>13.36</v>
      </c>
      <c r="BM56" s="690">
        <v>30.539000000000001</v>
      </c>
      <c r="BN56" s="653">
        <f t="shared" si="12"/>
        <v>0.4374733946756606</v>
      </c>
      <c r="BO56" s="835"/>
      <c r="BP56" s="657">
        <v>0.3</v>
      </c>
      <c r="BQ56" s="846" t="str">
        <f t="shared" si="13"/>
        <v/>
      </c>
      <c r="BR56" s="690"/>
      <c r="BS56" s="653" t="str">
        <f t="shared" si="14"/>
        <v/>
      </c>
      <c r="BT56" s="845"/>
      <c r="BU56" s="657">
        <v>0.3</v>
      </c>
      <c r="BX56" s="666" t="str">
        <f t="shared" si="9"/>
        <v>Sep</v>
      </c>
      <c r="BY56" s="643">
        <f>IF(CB56=$CB57,SUMIF($BI45:$BI56,$BX56,$BR45:$BR56),SUMIF($BI45:$BI56,$BX56,$BM45:$BM56))</f>
        <v>30.539000000000001</v>
      </c>
      <c r="BZ56" s="821">
        <f>IF(IF(CB56=CB57,SUMIF(BI45:BI56,$BX56,BU45:BU56),SUMIF(BI45:BI56,$BX56,BP45:BP56))=0,NA(),IF(CB56=CB57,SUMIF(BI45:BI56,$BX56,BU45:BU56),SUMIF(BI45:BI56,$BX56,BP45:BP56)))</f>
        <v>0.3</v>
      </c>
      <c r="CA56" s="640">
        <f>IF(IF(CB56=CB57,SUMIF(BI45:BI56,$BX56,BS45:BS56),SUMIF(BI45:BI56,$BX56,BN45:BN56))=0,NA(),IF(CB56=CB57,SUMIF(BI45:BI56,$BX56,BS45:BS56),SUMIF(BI45:BI56,$BX56,BN45:BN56)))</f>
        <v>0.4374733946756606</v>
      </c>
      <c r="CB56" s="645">
        <f t="shared" si="15"/>
        <v>23</v>
      </c>
      <c r="CC56" s="645">
        <f>IF(CC57-1&lt;1,CC57+11,CC57-1)</f>
        <v>9</v>
      </c>
    </row>
    <row r="57" spans="2:81" ht="15" customHeight="1">
      <c r="BH57" s="249"/>
      <c r="BI57" s="277"/>
      <c r="BJ57" s="277"/>
      <c r="BK57" s="277"/>
      <c r="BL57" s="571"/>
      <c r="BM57" s="572"/>
      <c r="BN57" s="573"/>
      <c r="BO57" s="286"/>
      <c r="BP57" s="570"/>
      <c r="BQ57" s="286"/>
      <c r="BR57" s="572"/>
      <c r="BS57" s="573"/>
      <c r="BT57" s="286"/>
      <c r="BU57" s="570"/>
      <c r="BW57" s="667" t="str">
        <f>Cover!$M$34</f>
        <v>OCT FY-24</v>
      </c>
      <c r="BX57" s="666" t="str">
        <f>TEXT(CONCATENATE(CC57,"/01/20",CB57),"MMM")</f>
        <v>Oct</v>
      </c>
      <c r="BY57" s="643">
        <f>SUMIF($BI45:$BI56,$BX57,$BR45:$BR56)</f>
        <v>20.283999999999999</v>
      </c>
      <c r="BZ57" s="821">
        <f>IF(IF(CB57=CB57,SUMIF(BI45:BI56,$BX57,BU45:BU56),SUMIF(BI45:BI56,$BX57,BP45:BP56))=0,NA(),IF(CB57=CB57,SUMIF(BI45:BI56,$BX57,BU45:BU56),SUMIF(BI45:BI56,$BX57,BP45:BP56)))</f>
        <v>0.3</v>
      </c>
      <c r="CA57" s="644">
        <f>IF(SUMIF($BI45:$BI56,$BX57,$BS45:$BS56)=0,NA(),SUMIF($BI45:$BI56,$BX57,$BS45:$BS56))</f>
        <v>0.44419246696903963</v>
      </c>
      <c r="CB57" s="645">
        <f>CB38</f>
        <v>24</v>
      </c>
      <c r="CC57" s="645">
        <f>MONTH(DATEVALUE(LEFT(BW57,3)&amp;" 1"))</f>
        <v>10</v>
      </c>
    </row>
    <row r="58" spans="2:81" ht="15" customHeight="1">
      <c r="BH58" s="249"/>
      <c r="BJ58" s="277"/>
      <c r="BK58" s="277"/>
      <c r="BL58" s="277"/>
      <c r="BM58" s="277"/>
      <c r="BN58" s="277"/>
      <c r="BO58" s="277"/>
      <c r="BP58" s="277"/>
      <c r="BQ58" s="277"/>
      <c r="BR58" s="277"/>
      <c r="BS58" s="277"/>
      <c r="BT58" s="277"/>
      <c r="BY58" s="293"/>
      <c r="BZ58" s="574"/>
      <c r="CA58" s="575"/>
      <c r="CB58" s="296"/>
      <c r="CC58" s="296"/>
    </row>
    <row r="59" spans="2:81" ht="15" customHeight="1">
      <c r="BH59" s="249"/>
      <c r="BI59" s="6"/>
      <c r="BJ59" s="6"/>
      <c r="BK59" s="6"/>
      <c r="BL59" s="6"/>
      <c r="BM59" s="6"/>
      <c r="BN59" s="6"/>
      <c r="BO59" s="6"/>
      <c r="BP59" s="6"/>
      <c r="BQ59" s="6"/>
      <c r="BR59" s="6"/>
      <c r="BS59" s="6"/>
      <c r="BT59" s="6"/>
      <c r="BU59" s="6"/>
      <c r="BV59" s="6"/>
    </row>
    <row r="60" spans="2:81" ht="15" customHeight="1">
      <c r="BH60" s="249"/>
      <c r="BI60" s="54" t="s">
        <v>292</v>
      </c>
      <c r="BJ60" s="1116" t="s">
        <v>471</v>
      </c>
      <c r="BK60" s="1116"/>
      <c r="BL60" s="1116"/>
      <c r="BM60" s="1116"/>
      <c r="BN60" s="1116"/>
      <c r="BO60" s="1116"/>
      <c r="BP60" s="1116"/>
      <c r="BQ60" s="1116"/>
      <c r="BR60" s="1116"/>
      <c r="BS60" s="1116"/>
      <c r="BT60" s="1116"/>
      <c r="BU60" s="1116"/>
      <c r="BY60" s="270"/>
      <c r="BZ60" s="270"/>
      <c r="CA60" s="270"/>
      <c r="CB60" s="270"/>
      <c r="CC60" s="270"/>
    </row>
    <row r="61" spans="2:81" ht="15" customHeight="1">
      <c r="BH61" s="249"/>
      <c r="BI61" s="54" t="s">
        <v>296</v>
      </c>
      <c r="BJ61" s="283" t="s">
        <v>472</v>
      </c>
      <c r="BK61" s="283"/>
      <c r="BL61" s="283"/>
      <c r="BM61" s="283"/>
      <c r="BN61" s="283"/>
      <c r="BO61" s="283"/>
      <c r="BP61" s="283"/>
      <c r="BQ61" s="283"/>
      <c r="BR61" s="283"/>
      <c r="BS61" s="283"/>
      <c r="BT61" s="283"/>
      <c r="BU61" s="283"/>
      <c r="BW61" s="270"/>
      <c r="BX61" s="270"/>
    </row>
    <row r="62" spans="2:81" ht="15" customHeight="1">
      <c r="BH62" s="249"/>
      <c r="BI62" s="54" t="s">
        <v>300</v>
      </c>
      <c r="BJ62" s="283" t="s">
        <v>473</v>
      </c>
      <c r="BK62" s="283"/>
      <c r="BL62" s="283"/>
      <c r="BM62" s="283"/>
      <c r="BN62" s="283"/>
      <c r="BO62" s="283"/>
      <c r="BP62" s="283"/>
      <c r="BQ62" s="283"/>
      <c r="BR62" s="283"/>
      <c r="BS62" s="283"/>
      <c r="BT62" s="283"/>
      <c r="BU62" s="283"/>
      <c r="BY62" s="270"/>
      <c r="BZ62" s="270"/>
      <c r="CA62" s="270"/>
      <c r="CB62" s="270"/>
      <c r="CC62" s="270"/>
    </row>
    <row r="63" spans="2:81" ht="15" customHeight="1" thickBot="1">
      <c r="B63" s="267" t="s">
        <v>242</v>
      </c>
      <c r="C63" s="267"/>
      <c r="D63" s="267"/>
      <c r="E63" s="334"/>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E63" s="267" t="s">
        <v>242</v>
      </c>
      <c r="AF63" s="267"/>
      <c r="AG63" s="267"/>
      <c r="AH63" s="334"/>
      <c r="AI63" s="326"/>
      <c r="AJ63" s="326"/>
      <c r="AK63" s="326"/>
      <c r="AL63" s="326"/>
      <c r="AM63" s="326"/>
      <c r="AN63" s="326"/>
      <c r="AO63" s="326"/>
      <c r="AP63" s="326"/>
      <c r="AQ63" s="326"/>
      <c r="AR63" s="326"/>
      <c r="AS63" s="326"/>
      <c r="AT63" s="326"/>
      <c r="AU63" s="326"/>
      <c r="AV63" s="326"/>
      <c r="AW63" s="326"/>
      <c r="AX63" s="326"/>
      <c r="AY63" s="326"/>
      <c r="AZ63" s="326"/>
      <c r="BA63" s="326"/>
      <c r="BB63" s="326"/>
      <c r="BC63" s="326"/>
      <c r="BD63" s="326"/>
      <c r="BE63" s="326"/>
      <c r="BH63" s="249"/>
      <c r="BI63" s="54"/>
      <c r="BJ63" s="292"/>
      <c r="BK63" s="292"/>
      <c r="BL63" s="292"/>
      <c r="BM63" s="292"/>
      <c r="BN63" s="292"/>
      <c r="BO63" s="292"/>
      <c r="BP63" s="292"/>
      <c r="BQ63" s="292"/>
      <c r="BR63" s="292"/>
      <c r="BS63" s="292"/>
      <c r="BT63" s="292"/>
      <c r="BU63" s="292"/>
      <c r="BY63" s="270"/>
      <c r="BZ63" s="270"/>
      <c r="CA63" s="270"/>
      <c r="CB63" s="270"/>
      <c r="CC63" s="270"/>
    </row>
    <row r="64" spans="2:81" ht="15" customHeight="1" thickBot="1">
      <c r="B64" s="1137" t="s">
        <v>770</v>
      </c>
      <c r="C64" s="1138"/>
      <c r="D64" s="1138"/>
      <c r="E64" s="1138"/>
      <c r="F64" s="1138"/>
      <c r="G64" s="1138"/>
      <c r="H64" s="1138"/>
      <c r="I64" s="1138"/>
      <c r="J64" s="1138"/>
      <c r="K64" s="1138"/>
      <c r="L64" s="1138"/>
      <c r="M64" s="1138"/>
      <c r="N64" s="1138"/>
      <c r="O64" s="1138"/>
      <c r="P64" s="1138"/>
      <c r="Q64" s="1138"/>
      <c r="R64" s="1138"/>
      <c r="S64" s="1138"/>
      <c r="T64" s="1138"/>
      <c r="U64" s="1138"/>
      <c r="V64" s="1138"/>
      <c r="W64" s="1138"/>
      <c r="X64" s="1138"/>
      <c r="Y64" s="1138"/>
      <c r="Z64" s="1138"/>
      <c r="AA64" s="1138"/>
      <c r="AB64" s="1139"/>
      <c r="AE64" s="1137" t="s">
        <v>771</v>
      </c>
      <c r="AF64" s="1138"/>
      <c r="AG64" s="1138"/>
      <c r="AH64" s="1138"/>
      <c r="AI64" s="1138"/>
      <c r="AJ64" s="1138"/>
      <c r="AK64" s="1138"/>
      <c r="AL64" s="1138"/>
      <c r="AM64" s="1138"/>
      <c r="AN64" s="1138"/>
      <c r="AO64" s="1138"/>
      <c r="AP64" s="1138"/>
      <c r="AQ64" s="1138"/>
      <c r="AR64" s="1138"/>
      <c r="AS64" s="1138"/>
      <c r="AT64" s="1138"/>
      <c r="AU64" s="1138"/>
      <c r="AV64" s="1138"/>
      <c r="AW64" s="1138"/>
      <c r="AX64" s="1138"/>
      <c r="AY64" s="1138"/>
      <c r="AZ64" s="1138"/>
      <c r="BA64" s="1138"/>
      <c r="BB64" s="1138"/>
      <c r="BC64" s="1138"/>
      <c r="BD64" s="1138"/>
      <c r="BE64" s="1139"/>
      <c r="BI64" s="1402" t="s">
        <v>7</v>
      </c>
      <c r="BJ64" s="1403"/>
      <c r="BK64" s="1404"/>
      <c r="BL64" s="1402" t="s">
        <v>302</v>
      </c>
      <c r="BM64" s="1403"/>
      <c r="BN64" s="1403"/>
      <c r="BO64" s="1403"/>
      <c r="BP64" s="1404"/>
      <c r="BQ64" s="1402" t="s">
        <v>719</v>
      </c>
      <c r="BR64" s="1403"/>
      <c r="BS64" s="1403"/>
      <c r="BT64" s="1403"/>
      <c r="BU64" s="1404"/>
      <c r="BW64" s="1402" t="s">
        <v>303</v>
      </c>
      <c r="BX64" s="1403"/>
      <c r="BY64" s="1403"/>
      <c r="BZ64" s="1403"/>
      <c r="CA64" s="1403"/>
      <c r="CB64" s="1403"/>
      <c r="CC64" s="1404"/>
    </row>
    <row r="65" spans="2:81" ht="15" customHeight="1">
      <c r="B65" s="1140"/>
      <c r="C65" s="1141"/>
      <c r="D65" s="1141"/>
      <c r="E65" s="1141"/>
      <c r="F65" s="1141"/>
      <c r="G65" s="1141"/>
      <c r="H65" s="1141"/>
      <c r="I65" s="1141"/>
      <c r="J65" s="1141"/>
      <c r="K65" s="1141"/>
      <c r="L65" s="1141"/>
      <c r="M65" s="1141"/>
      <c r="N65" s="1141"/>
      <c r="O65" s="1141"/>
      <c r="P65" s="1141"/>
      <c r="Q65" s="1141"/>
      <c r="R65" s="1141"/>
      <c r="S65" s="1141"/>
      <c r="T65" s="1141"/>
      <c r="U65" s="1141"/>
      <c r="V65" s="1141"/>
      <c r="W65" s="1141"/>
      <c r="X65" s="1141"/>
      <c r="Y65" s="1141"/>
      <c r="Z65" s="1141"/>
      <c r="AA65" s="1141"/>
      <c r="AB65" s="1142"/>
      <c r="AE65" s="1140"/>
      <c r="AF65" s="1141"/>
      <c r="AG65" s="1141"/>
      <c r="AH65" s="1141"/>
      <c r="AI65" s="1141"/>
      <c r="AJ65" s="1141"/>
      <c r="AK65" s="1141"/>
      <c r="AL65" s="1141"/>
      <c r="AM65" s="1141"/>
      <c r="AN65" s="1141"/>
      <c r="AO65" s="1141"/>
      <c r="AP65" s="1141"/>
      <c r="AQ65" s="1141"/>
      <c r="AR65" s="1141"/>
      <c r="AS65" s="1141"/>
      <c r="AT65" s="1141"/>
      <c r="AU65" s="1141"/>
      <c r="AV65" s="1141"/>
      <c r="AW65" s="1141"/>
      <c r="AX65" s="1141"/>
      <c r="AY65" s="1141"/>
      <c r="AZ65" s="1141"/>
      <c r="BA65" s="1141"/>
      <c r="BB65" s="1141"/>
      <c r="BC65" s="1141"/>
      <c r="BD65" s="1141"/>
      <c r="BE65" s="1142"/>
      <c r="BI65" s="636" t="s">
        <v>23</v>
      </c>
      <c r="BJ65" s="636" t="s">
        <v>37</v>
      </c>
      <c r="BK65" s="636" t="s">
        <v>304</v>
      </c>
      <c r="BL65" s="637" t="s">
        <v>305</v>
      </c>
      <c r="BM65" s="637" t="s">
        <v>310</v>
      </c>
      <c r="BN65" s="637" t="s">
        <v>311</v>
      </c>
      <c r="BO65" s="278" t="s">
        <v>312</v>
      </c>
      <c r="BP65" s="637" t="s">
        <v>313</v>
      </c>
      <c r="BQ65" s="637" t="s">
        <v>305</v>
      </c>
      <c r="BR65" s="637" t="s">
        <v>715</v>
      </c>
      <c r="BS65" s="637" t="s">
        <v>716</v>
      </c>
      <c r="BT65" s="278" t="s">
        <v>717</v>
      </c>
      <c r="BU65" s="637" t="s">
        <v>718</v>
      </c>
      <c r="BW65" s="279" t="s">
        <v>314</v>
      </c>
      <c r="BX65" s="279" t="s">
        <v>23</v>
      </c>
      <c r="BY65" s="280" t="s">
        <v>315</v>
      </c>
      <c r="BZ65" s="279" t="s">
        <v>122</v>
      </c>
      <c r="CA65" s="279" t="s">
        <v>316</v>
      </c>
      <c r="CB65" s="279" t="s">
        <v>317</v>
      </c>
      <c r="CC65" s="279" t="s">
        <v>318</v>
      </c>
    </row>
    <row r="66" spans="2:81" ht="15" customHeight="1">
      <c r="B66" s="1140"/>
      <c r="C66" s="1141"/>
      <c r="D66" s="1141"/>
      <c r="E66" s="1141"/>
      <c r="F66" s="1141"/>
      <c r="G66" s="1141"/>
      <c r="H66" s="1141"/>
      <c r="I66" s="1141"/>
      <c r="J66" s="1141"/>
      <c r="K66" s="1141"/>
      <c r="L66" s="1141"/>
      <c r="M66" s="1141"/>
      <c r="N66" s="1141"/>
      <c r="O66" s="1141"/>
      <c r="P66" s="1141"/>
      <c r="Q66" s="1141"/>
      <c r="R66" s="1141"/>
      <c r="S66" s="1141"/>
      <c r="T66" s="1141"/>
      <c r="U66" s="1141"/>
      <c r="V66" s="1141"/>
      <c r="W66" s="1141"/>
      <c r="X66" s="1141"/>
      <c r="Y66" s="1141"/>
      <c r="Z66" s="1141"/>
      <c r="AA66" s="1141"/>
      <c r="AB66" s="1142"/>
      <c r="AE66" s="1140"/>
      <c r="AF66" s="1141"/>
      <c r="AG66" s="1141"/>
      <c r="AH66" s="1141"/>
      <c r="AI66" s="1141"/>
      <c r="AJ66" s="1141"/>
      <c r="AK66" s="1141"/>
      <c r="AL66" s="1141"/>
      <c r="AM66" s="1141"/>
      <c r="AN66" s="1141"/>
      <c r="AO66" s="1141"/>
      <c r="AP66" s="1141"/>
      <c r="AQ66" s="1141"/>
      <c r="AR66" s="1141"/>
      <c r="AS66" s="1141"/>
      <c r="AT66" s="1141"/>
      <c r="AU66" s="1141"/>
      <c r="AV66" s="1141"/>
      <c r="AW66" s="1141"/>
      <c r="AX66" s="1141"/>
      <c r="AY66" s="1141"/>
      <c r="AZ66" s="1141"/>
      <c r="BA66" s="1141"/>
      <c r="BB66" s="1141"/>
      <c r="BC66" s="1141"/>
      <c r="BD66" s="1141"/>
      <c r="BE66" s="1142"/>
      <c r="BI66" s="638" t="s">
        <v>319</v>
      </c>
      <c r="BJ66" s="638">
        <v>1</v>
      </c>
      <c r="BK66" s="638" t="s">
        <v>320</v>
      </c>
      <c r="BL66" s="853">
        <f>IF(BM66="","",BN66*BM66)</f>
        <v>3.3221018518518525E-2</v>
      </c>
      <c r="BM66" s="689">
        <v>14.872</v>
      </c>
      <c r="BN66" s="847">
        <v>2.2337962962962967E-3</v>
      </c>
      <c r="BO66" s="849">
        <f>IF(SUM(BM66:BM68=0),0,SUM(BL66:BL68)/SUM(BM66:BM68))</f>
        <v>2.1485352960736951E-3</v>
      </c>
      <c r="BP66" s="851">
        <v>6.9444444444444447E-4</v>
      </c>
      <c r="BQ66" s="853">
        <f t="shared" ref="BQ66:BQ77" si="16">IF(BR66="","",BS66*BR66)</f>
        <v>9.2583912037037044E-3</v>
      </c>
      <c r="BR66" s="689">
        <v>22.855</v>
      </c>
      <c r="BS66" s="960">
        <v>4.0509259259259258E-4</v>
      </c>
      <c r="BT66" s="849">
        <f>IF(SUM(BR66:BR68=0),0,SUM(BQ66:BQ68)/SUM(BR66:BR68))</f>
        <v>4.0509259259259264E-4</v>
      </c>
      <c r="BU66" s="851">
        <v>6.9444444444444447E-4</v>
      </c>
      <c r="BX66" s="666" t="str">
        <f t="shared" ref="BX66:BX77" si="17">TEXT(CONCATENATE(CC66,"/01/20",CB66),"MMM")</f>
        <v>Oct</v>
      </c>
      <c r="BY66" s="643">
        <f>IF(CB66=$CB78,SUMIF($BI66:$BI77,$BX66,$BR66:$BR77),SUMIF($BI66:$BI77,$BX66,$BM66:$BM77))</f>
        <v>14.872</v>
      </c>
      <c r="BZ66" s="877">
        <f>IF(IF(CB66=CB78,SUMIF(BI66:BI77,$BX66,BU66:BU77),SUMIF(BI66:BI77,$BX66,BP66:BP77))=0,NA(),IF(CB66=CB78,SUMIF(BI66:BI77,$BX66,BU66:BU77),SUMIF(BI66:BI77,$BX66,BP66:BP77)))</f>
        <v>6.9444444444444447E-4</v>
      </c>
      <c r="CA66" s="876">
        <f>IF(IF(CB66=CB78,SUMIF(BI66:BI77,$BX66,BS66:BS77),SUMIF(BI66:BI77,$BX66,BN66:BN77))=0,NA(),IF(CB66=CB78,SUMIF(BI66:BI77,$BX66,BS66:BS77),SUMIF(BI66:BI77,$BX66,BN66:BN77)))</f>
        <v>2.2337962962962967E-3</v>
      </c>
      <c r="CB66" s="645">
        <f>CB45</f>
        <v>23</v>
      </c>
      <c r="CC66" s="645">
        <f t="shared" ref="CC66:CC76" si="18">IF(CC67-1&lt;1,CC67+11,CC67-1)</f>
        <v>10</v>
      </c>
    </row>
    <row r="67" spans="2:81" ht="15" customHeight="1">
      <c r="B67" s="1143"/>
      <c r="C67" s="1144"/>
      <c r="D67" s="1144"/>
      <c r="E67" s="1144"/>
      <c r="F67" s="1144"/>
      <c r="G67" s="1144"/>
      <c r="H67" s="1144"/>
      <c r="I67" s="1144"/>
      <c r="J67" s="1144"/>
      <c r="K67" s="1144"/>
      <c r="L67" s="1144"/>
      <c r="M67" s="1144"/>
      <c r="N67" s="1144"/>
      <c r="O67" s="1144"/>
      <c r="P67" s="1144"/>
      <c r="Q67" s="1144"/>
      <c r="R67" s="1144"/>
      <c r="S67" s="1144"/>
      <c r="T67" s="1144"/>
      <c r="U67" s="1144"/>
      <c r="V67" s="1144"/>
      <c r="W67" s="1144"/>
      <c r="X67" s="1144"/>
      <c r="Y67" s="1144"/>
      <c r="Z67" s="1144"/>
      <c r="AA67" s="1144"/>
      <c r="AB67" s="1145"/>
      <c r="AE67" s="1143"/>
      <c r="AF67" s="1144"/>
      <c r="AG67" s="1144"/>
      <c r="AH67" s="1144"/>
      <c r="AI67" s="1144"/>
      <c r="AJ67" s="1144"/>
      <c r="AK67" s="1144"/>
      <c r="AL67" s="1144"/>
      <c r="AM67" s="1144"/>
      <c r="AN67" s="1144"/>
      <c r="AO67" s="1144"/>
      <c r="AP67" s="1144"/>
      <c r="AQ67" s="1144"/>
      <c r="AR67" s="1144"/>
      <c r="AS67" s="1144"/>
      <c r="AT67" s="1144"/>
      <c r="AU67" s="1144"/>
      <c r="AV67" s="1144"/>
      <c r="AW67" s="1144"/>
      <c r="AX67" s="1144"/>
      <c r="AY67" s="1144"/>
      <c r="AZ67" s="1144"/>
      <c r="BA67" s="1144"/>
      <c r="BB67" s="1144"/>
      <c r="BC67" s="1144"/>
      <c r="BD67" s="1144"/>
      <c r="BE67" s="1145"/>
      <c r="BI67" s="638" t="s">
        <v>321</v>
      </c>
      <c r="BJ67" s="638">
        <v>2</v>
      </c>
      <c r="BK67" s="638" t="s">
        <v>320</v>
      </c>
      <c r="BL67" s="853">
        <f t="shared" ref="BL67:BL77" si="19">IF(BM67="","",BN67*BM67)</f>
        <v>3.2999999999999995E-2</v>
      </c>
      <c r="BM67" s="689">
        <v>17.82</v>
      </c>
      <c r="BN67" s="847">
        <v>1.8518518518518517E-3</v>
      </c>
      <c r="BO67" s="852"/>
      <c r="BP67" s="851">
        <v>6.9444444444444447E-4</v>
      </c>
      <c r="BQ67" s="853" t="str">
        <f t="shared" si="16"/>
        <v/>
      </c>
      <c r="BR67" s="689"/>
      <c r="BS67" s="960"/>
      <c r="BT67" s="850"/>
      <c r="BU67" s="851">
        <v>6.9444444444444447E-4</v>
      </c>
      <c r="BX67" s="666" t="str">
        <f t="shared" si="17"/>
        <v>Nov</v>
      </c>
      <c r="BY67" s="643">
        <f>IF(CB67=$CB78,SUMIF($BI66:$BI77,$BX67,$BR66:$BR77),SUMIF($BI66:$BI77,$BX67,$BM66:$BM77))</f>
        <v>17.82</v>
      </c>
      <c r="BZ67" s="877">
        <f>IF(IF(CB67=CB78,SUMIF(BI66:BI77,$BX67,BU66:BU77),SUMIF(BI66:BI77,$BX67,BP66:BP77))=0,NA(),IF(CB67=CB78,SUMIF(BI66:BI77,$BX67,BU66:BU77),SUMIF(BI66:BI77,$BX67,BP66:BP77)))</f>
        <v>6.9444444444444447E-4</v>
      </c>
      <c r="CA67" s="876">
        <f>IF(IF(CB67=CB78,SUMIF(BI66:BI77,$BX67,BS66:BS77),SUMIF(BI66:BI77,$BX67,BN66:BN77))=0,NA(),IF(CB67=CB78,SUMIF(BI66:BI77,$BX67,BS66:BS77),SUMIF(BI66:BI77,$BX67,BN66:BN77)))</f>
        <v>1.8518518518518517E-3</v>
      </c>
      <c r="CB67" s="645">
        <f t="shared" ref="CB67:CB77" si="20">CB46</f>
        <v>23</v>
      </c>
      <c r="CC67" s="645">
        <f t="shared" si="18"/>
        <v>11</v>
      </c>
    </row>
    <row r="68" spans="2:81" ht="15" customHeight="1">
      <c r="BI68" s="638" t="s">
        <v>322</v>
      </c>
      <c r="BJ68" s="638">
        <v>3</v>
      </c>
      <c r="BK68" s="638" t="s">
        <v>320</v>
      </c>
      <c r="BL68" s="853">
        <f t="shared" si="19"/>
        <v>4.9602222222222228E-2</v>
      </c>
      <c r="BM68" s="689">
        <v>21.216000000000001</v>
      </c>
      <c r="BN68" s="847">
        <v>2.3379629629629631E-3</v>
      </c>
      <c r="BO68" s="852"/>
      <c r="BP68" s="851">
        <v>6.9444444444444447E-4</v>
      </c>
      <c r="BQ68" s="853" t="str">
        <f t="shared" si="16"/>
        <v/>
      </c>
      <c r="BR68" s="690"/>
      <c r="BS68" s="960"/>
      <c r="BT68" s="850"/>
      <c r="BU68" s="851">
        <v>6.9444444444444447E-4</v>
      </c>
      <c r="BX68" s="666" t="str">
        <f t="shared" si="17"/>
        <v>Dec</v>
      </c>
      <c r="BY68" s="643">
        <f>IF(CB68=$CB78,SUMIF($BI66:$BI77,$BX68,$BR66:$BR77),SUMIF($BI66:$BI77,$BX68,$BM66:$BM77))</f>
        <v>21.216000000000001</v>
      </c>
      <c r="BZ68" s="877">
        <f>IF(IF(CB68=CB78,SUMIF(BI66:BI77,$BX68,BU66:BU77),SUMIF(BI66:BI77,$BX68,BP66:BP77))=0,NA(),IF(CB68=CB78,SUMIF(BI66:BI77,$BX68,BU66:BU77),SUMIF(BI66:BI77,$BX68,BP66:BP77)))</f>
        <v>6.9444444444444447E-4</v>
      </c>
      <c r="CA68" s="876">
        <f>IF(IF(CB68=CB78,SUMIF(BI66:BI77,$BX68,BS66:BS77),SUMIF(BI66:BI77,$BX68,BN66:BN77))=0,NA(),IF(CB68=CB78,SUMIF(BI66:BI77,$BX68,BS66:BS77),SUMIF(BI66:BI77,$BX68,BN66:BN77)))</f>
        <v>2.3379629629629631E-3</v>
      </c>
      <c r="CB68" s="645">
        <f t="shared" si="20"/>
        <v>23</v>
      </c>
      <c r="CC68" s="645">
        <f t="shared" si="18"/>
        <v>12</v>
      </c>
    </row>
    <row r="69" spans="2:81" ht="15" customHeight="1">
      <c r="BI69" s="638" t="s">
        <v>323</v>
      </c>
      <c r="BJ69" s="638">
        <v>4</v>
      </c>
      <c r="BK69" s="638" t="s">
        <v>324</v>
      </c>
      <c r="BL69" s="853">
        <f t="shared" si="19"/>
        <v>1.2423125E-2</v>
      </c>
      <c r="BM69" s="689">
        <v>19.876999999999999</v>
      </c>
      <c r="BN69" s="847">
        <v>6.2500000000000001E-4</v>
      </c>
      <c r="BO69" s="849">
        <f>IF(SUM(BM69:BM71=0),0,SUM(BL69:BL71)/SUM(BM69:BM71))</f>
        <v>3.6088605532580718E-4</v>
      </c>
      <c r="BP69" s="851">
        <v>6.9444444444444447E-4</v>
      </c>
      <c r="BQ69" s="853" t="str">
        <f t="shared" si="16"/>
        <v/>
      </c>
      <c r="BR69" s="689"/>
      <c r="BS69" s="960"/>
      <c r="BT69" s="849">
        <f>IF(SUM(BR69:BR71=0),0,SUM(BQ69:BQ71)/SUM(BR69:BR71))</f>
        <v>0</v>
      </c>
      <c r="BU69" s="851">
        <v>6.9444444444444447E-4</v>
      </c>
      <c r="BX69" s="666" t="str">
        <f t="shared" si="17"/>
        <v>Jan</v>
      </c>
      <c r="BY69" s="643">
        <f>IF(CB69=$CB78,SUMIF($BI66:$BI77,$BX69,$BR66:$BR77),SUMIF($BI66:$BI77,$BX69,$BM66:$BM77))</f>
        <v>19.876999999999999</v>
      </c>
      <c r="BZ69" s="877">
        <f>IF(IF(CB69=CB78,SUMIF(BI66:BI77,$BX69,BU66:BU77),SUMIF(BI66:BI77,$BX69,BP66:BP77))=0,NA(),IF(CB69=CB78,SUMIF(BI66:BI77,$BX69,BU66:BU77),SUMIF(BI66:BI77,$BX69,BP66:BP77)))</f>
        <v>6.9444444444444447E-4</v>
      </c>
      <c r="CA69" s="876">
        <f>IF(IF(CB69=CB78,SUMIF(BI66:BI77,$BX69,BS66:BS77),SUMIF(BI66:BI77,$BX69,BN66:BN77))=0,NA(),IF(CB69=CB78,SUMIF(BI66:BI77,$BX69,BS66:BS77),SUMIF(BI66:BI77,$BX69,BN66:BN77)))</f>
        <v>6.2500000000000001E-4</v>
      </c>
      <c r="CB69" s="645">
        <f t="shared" si="20"/>
        <v>23</v>
      </c>
      <c r="CC69" s="645">
        <f t="shared" si="18"/>
        <v>1</v>
      </c>
    </row>
    <row r="70" spans="2:81" ht="15" customHeight="1">
      <c r="BI70" s="638" t="s">
        <v>325</v>
      </c>
      <c r="BJ70" s="638">
        <v>5</v>
      </c>
      <c r="BK70" s="638" t="s">
        <v>324</v>
      </c>
      <c r="BL70" s="853">
        <f t="shared" si="19"/>
        <v>7.924652777777777E-3</v>
      </c>
      <c r="BM70" s="690">
        <v>23.61</v>
      </c>
      <c r="BN70" s="848">
        <v>3.3564814814814812E-4</v>
      </c>
      <c r="BO70" s="852"/>
      <c r="BP70" s="851">
        <v>6.9444444444444447E-4</v>
      </c>
      <c r="BQ70" s="853" t="str">
        <f t="shared" si="16"/>
        <v/>
      </c>
      <c r="BR70" s="690"/>
      <c r="BS70" s="695"/>
      <c r="BT70" s="850"/>
      <c r="BU70" s="851">
        <v>6.9444444444444447E-4</v>
      </c>
      <c r="BX70" s="666" t="str">
        <f t="shared" si="17"/>
        <v>Feb</v>
      </c>
      <c r="BY70" s="643">
        <f>IF(CB70=$CB78,SUMIF($BI66:$BI77,$BX70,$BR66:$BR77),SUMIF($BI66:$BI77,$BX70,$BM66:$BM77))</f>
        <v>23.61</v>
      </c>
      <c r="BZ70" s="877">
        <f>IF(IF(CB70=CB78,SUMIF(BI66:BI77,$BX70,BU66:BU77),SUMIF(BI66:BI77,$BX70,BP66:BP77))=0,NA(),IF(CB70=CB78,SUMIF(BI66:BI77,$BX70,BU66:BU77),SUMIF(BI66:BI77,$BX70,BP66:BP77)))</f>
        <v>6.9444444444444447E-4</v>
      </c>
      <c r="CA70" s="876">
        <f>IF(IF(CB70=CB78,SUMIF(BI66:BI77,$BX70,BS66:BS77),SUMIF(BI66:BI77,$BX70,BN66:BN77))=0,NA(),IF(CB70=CB78,SUMIF(BI66:BI77,$BX70,BS66:BS77),SUMIF(BI66:BI77,$BX70,BN66:BN77)))</f>
        <v>3.3564814814814812E-4</v>
      </c>
      <c r="CB70" s="645">
        <f t="shared" si="20"/>
        <v>23</v>
      </c>
      <c r="CC70" s="645">
        <f t="shared" si="18"/>
        <v>2</v>
      </c>
    </row>
    <row r="71" spans="2:81" ht="15" customHeight="1">
      <c r="BI71" s="638" t="s">
        <v>326</v>
      </c>
      <c r="BJ71" s="638">
        <v>6</v>
      </c>
      <c r="BK71" s="638" t="s">
        <v>324</v>
      </c>
      <c r="BL71" s="853">
        <f t="shared" si="19"/>
        <v>6.355625000000001E-3</v>
      </c>
      <c r="BM71" s="690">
        <v>30.507000000000001</v>
      </c>
      <c r="BN71" s="848">
        <v>2.0833333333333335E-4</v>
      </c>
      <c r="BO71" s="852"/>
      <c r="BP71" s="851">
        <v>6.9444444444444447E-4</v>
      </c>
      <c r="BQ71" s="853" t="str">
        <f t="shared" si="16"/>
        <v/>
      </c>
      <c r="BR71" s="690"/>
      <c r="BS71" s="695"/>
      <c r="BT71" s="850"/>
      <c r="BU71" s="851">
        <v>6.9444444444444447E-4</v>
      </c>
      <c r="BX71" s="666" t="str">
        <f t="shared" si="17"/>
        <v>Mar</v>
      </c>
      <c r="BY71" s="643">
        <f>IF(CB71=$CB78,SUMIF($BI66:$BI77,$BX71,$BR66:$BR77),SUMIF($BI66:$BI77,$BX71,$BM66:$BM77))</f>
        <v>30.507000000000001</v>
      </c>
      <c r="BZ71" s="877">
        <f>IF(IF(CB71=CB78,SUMIF(BI66:BI77,$BX71,BU66:BU77),SUMIF(BI66:BI77,$BX71,BP66:BP77))=0,NA(),IF(CB71=CB78,SUMIF(BI66:BI77,$BX71,BU66:BU77),SUMIF(BI66:BI77,$BX71,BP66:BP77)))</f>
        <v>6.9444444444444447E-4</v>
      </c>
      <c r="CA71" s="876">
        <f>IF(IF(CB71=CB78,SUMIF(BI66:BI77,$BX71,BS66:BS77),SUMIF(BI66:BI77,$BX71,BN66:BN77))=0,NA(),IF(CB71=CB78,SUMIF(BI66:BI77,$BX71,BS66:BS77),SUMIF(BI66:BI77,$BX71,BN66:BN77)))</f>
        <v>2.0833333333333335E-4</v>
      </c>
      <c r="CB71" s="645">
        <f t="shared" si="20"/>
        <v>23</v>
      </c>
      <c r="CC71" s="645">
        <f t="shared" si="18"/>
        <v>3</v>
      </c>
    </row>
    <row r="72" spans="2:81" ht="15" customHeight="1">
      <c r="BI72" s="638" t="s">
        <v>327</v>
      </c>
      <c r="BJ72" s="638">
        <v>7</v>
      </c>
      <c r="BK72" s="638" t="s">
        <v>328</v>
      </c>
      <c r="BL72" s="853">
        <f t="shared" si="19"/>
        <v>5.0145486111111111E-3</v>
      </c>
      <c r="BM72" s="690">
        <v>22.803000000000001</v>
      </c>
      <c r="BN72" s="848">
        <v>2.199074074074074E-4</v>
      </c>
      <c r="BO72" s="849">
        <f>IF(SUM(BM72:BM74=0),0,SUM(BL72:BL74)/SUM(BM72:BM74))</f>
        <v>2.5302023050335383E-4</v>
      </c>
      <c r="BP72" s="851">
        <v>6.9444444444444447E-4</v>
      </c>
      <c r="BQ72" s="853" t="str">
        <f t="shared" si="16"/>
        <v/>
      </c>
      <c r="BR72" s="690"/>
      <c r="BS72" s="695"/>
      <c r="BT72" s="849">
        <f>IF(SUM(BR72:BR74=0),0,SUM(BQ72:BQ74)/SUM(BR72:BR74))</f>
        <v>0</v>
      </c>
      <c r="BU72" s="851">
        <v>6.9444444444444447E-4</v>
      </c>
      <c r="BX72" s="666" t="str">
        <f t="shared" si="17"/>
        <v>Apr</v>
      </c>
      <c r="BY72" s="643">
        <f>IF(CB72=$CB78,SUMIF($BI66:$BI77,$BX72,$BR66:$BR77),SUMIF($BI66:$BI77,$BX72,$BM66:$BM77))</f>
        <v>22.803000000000001</v>
      </c>
      <c r="BZ72" s="877">
        <f>IF(IF(CB72=CB78,SUMIF(BI66:BI77,$BX72,BU66:BU77),SUMIF(BI66:BI77,$BX72,BP66:BP77))=0,NA(),IF(CB72=CB78,SUMIF(BI66:BI77,$BX72,BU66:BU77),SUMIF(BI66:BI77,$BX72,BP66:BP77)))</f>
        <v>6.9444444444444447E-4</v>
      </c>
      <c r="CA72" s="876">
        <f>IF(IF(CB72=CB78,SUMIF(BI66:BI77,$BX72,BS66:BS77),SUMIF(BI66:BI77,$BX72,BN66:BN77))=0,NA(),IF(CB72=CB78,SUMIF(BI66:BI77,$BX72,BS66:BS77),SUMIF(BI66:BI77,$BX72,BN66:BN77)))</f>
        <v>2.199074074074074E-4</v>
      </c>
      <c r="CB72" s="645">
        <f t="shared" si="20"/>
        <v>23</v>
      </c>
      <c r="CC72" s="645">
        <f t="shared" si="18"/>
        <v>4</v>
      </c>
    </row>
    <row r="73" spans="2:81" ht="15" customHeight="1">
      <c r="BI73" s="638" t="s">
        <v>329</v>
      </c>
      <c r="BJ73" s="638">
        <v>8</v>
      </c>
      <c r="BK73" s="638" t="s">
        <v>328</v>
      </c>
      <c r="BL73" s="853">
        <f t="shared" si="19"/>
        <v>3.9525925925925926E-3</v>
      </c>
      <c r="BM73" s="690">
        <v>21.344000000000001</v>
      </c>
      <c r="BN73" s="848">
        <v>1.8518518518518518E-4</v>
      </c>
      <c r="BO73" s="852"/>
      <c r="BP73" s="851">
        <v>6.9444444444444447E-4</v>
      </c>
      <c r="BQ73" s="853" t="str">
        <f t="shared" si="16"/>
        <v/>
      </c>
      <c r="BR73" s="690"/>
      <c r="BS73" s="695"/>
      <c r="BT73" s="850"/>
      <c r="BU73" s="851">
        <v>6.9444444444444447E-4</v>
      </c>
      <c r="BX73" s="666" t="str">
        <f t="shared" si="17"/>
        <v>May</v>
      </c>
      <c r="BY73" s="643">
        <f>IF(CB73=$CB78,SUMIF($BI66:$BI77,$BX73,$BR66:$BR77),SUMIF($BI66:$BI77,$BX73,$BM66:$BM77))</f>
        <v>21.344000000000001</v>
      </c>
      <c r="BZ73" s="877">
        <f>IF(IF(CB73=CB78,SUMIF(BI66:BI77,$BX73,BU66:BU77),SUMIF(BI66:BI77,$BX73,BP66:BP77))=0,NA(),IF(CB73=CB78,SUMIF(BI66:BI77,$BX73,BU66:BU77),SUMIF(BI66:BI77,$BX73,BP66:BP77)))</f>
        <v>6.9444444444444447E-4</v>
      </c>
      <c r="CA73" s="876">
        <f>IF(IF(CB73=CB78,SUMIF(BI66:BI77,$BX73,BS66:BS77),SUMIF(BI66:BI77,$BX73,BN66:BN77))=0,NA(),IF(CB73=CB78,SUMIF(BI66:BI77,$BX73,BS66:BS77),SUMIF(BI66:BI77,$BX73,BN66:BN77)))</f>
        <v>1.8518518518518518E-4</v>
      </c>
      <c r="CB73" s="645">
        <f t="shared" si="20"/>
        <v>23</v>
      </c>
      <c r="CC73" s="645">
        <f t="shared" si="18"/>
        <v>5</v>
      </c>
    </row>
    <row r="74" spans="2:81" ht="15" customHeight="1">
      <c r="BI74" s="638" t="s">
        <v>331</v>
      </c>
      <c r="BJ74" s="638">
        <v>9</v>
      </c>
      <c r="BK74" s="638" t="s">
        <v>328</v>
      </c>
      <c r="BL74" s="853">
        <f t="shared" si="19"/>
        <v>8.9487152777777777E-3</v>
      </c>
      <c r="BM74" s="690">
        <v>26.661000000000001</v>
      </c>
      <c r="BN74" s="848">
        <v>3.3564814814814812E-4</v>
      </c>
      <c r="BO74" s="852"/>
      <c r="BP74" s="851">
        <v>6.9444444444444447E-4</v>
      </c>
      <c r="BQ74" s="853" t="str">
        <f t="shared" si="16"/>
        <v/>
      </c>
      <c r="BR74" s="690"/>
      <c r="BS74" s="695"/>
      <c r="BT74" s="850"/>
      <c r="BU74" s="851">
        <v>6.9444444444444447E-4</v>
      </c>
      <c r="BX74" s="666" t="str">
        <f t="shared" si="17"/>
        <v>Jun</v>
      </c>
      <c r="BY74" s="643">
        <f>IF(CB74=$CB78,SUMIF($BI66:$BI77,$BX74,$BR66:$BR77),SUMIF($BI66:$BI77,$BX74,$BM66:$BM77))</f>
        <v>26.661000000000001</v>
      </c>
      <c r="BZ74" s="877">
        <f>IF(IF(CB74=CB78,SUMIF(BI66:BI77,$BX74,BU66:BU77),SUMIF(BI66:BI77,$BX74,BP66:BP77))=0,NA(),IF(CB74=CB78,SUMIF(BI66:BI77,$BX74,BU66:BU77),SUMIF(BI66:BI77,$BX74,BP66:BP77)))</f>
        <v>6.9444444444444447E-4</v>
      </c>
      <c r="CA74" s="876">
        <f>IF(IF(CB74=CB78,SUMIF(BI66:BI77,$BX74,BS66:BS77),SUMIF(BI66:BI77,$BX74,BN66:BN77))=0,NA(),IF(CB74=CB78,SUMIF(BI66:BI77,$BX74,BS66:BS77),SUMIF(BI66:BI77,$BX74,BN66:BN77)))</f>
        <v>3.3564814814814812E-4</v>
      </c>
      <c r="CB74" s="645">
        <f t="shared" si="20"/>
        <v>23</v>
      </c>
      <c r="CC74" s="645">
        <f t="shared" si="18"/>
        <v>6</v>
      </c>
    </row>
    <row r="75" spans="2:81" ht="15" customHeight="1">
      <c r="BI75" s="638" t="s">
        <v>337</v>
      </c>
      <c r="BJ75" s="638">
        <v>10</v>
      </c>
      <c r="BK75" s="638" t="s">
        <v>338</v>
      </c>
      <c r="BL75" s="853">
        <f t="shared" si="19"/>
        <v>8.0322222222222218E-3</v>
      </c>
      <c r="BM75" s="690">
        <v>21.687000000000001</v>
      </c>
      <c r="BN75" s="848">
        <v>3.7037037037037035E-4</v>
      </c>
      <c r="BO75" s="849">
        <f>IF(SUM(BM75:BM77=0),0,SUM(BL75:BL77)/SUM(BM75:BM77))</f>
        <v>3.393435955567197E-4</v>
      </c>
      <c r="BP75" s="851">
        <v>6.9444444444444447E-4</v>
      </c>
      <c r="BQ75" s="853" t="str">
        <f t="shared" si="16"/>
        <v/>
      </c>
      <c r="BR75" s="690"/>
      <c r="BS75" s="695"/>
      <c r="BT75" s="849">
        <f>IF(SUM(BR75:BR77=0),0,SUM(BQ75:BQ77)/SUM(BR75:BR77))</f>
        <v>0</v>
      </c>
      <c r="BU75" s="851">
        <v>6.9444444444444447E-4</v>
      </c>
      <c r="BX75" s="666" t="str">
        <f t="shared" si="17"/>
        <v>Jul</v>
      </c>
      <c r="BY75" s="643">
        <f>IF(CB75=$CB78,SUMIF($BI66:$BI77,$BX75,$BR66:$BR77),SUMIF($BI66:$BI77,$BX75,$BM66:$BM77))</f>
        <v>21.687000000000001</v>
      </c>
      <c r="BZ75" s="877">
        <f>IF(IF(CB75=CB78,SUMIF(BI66:BI77,$BX75,BU66:BU77),SUMIF(BI66:BI77,$BX75,BP66:BP77))=0,NA(),IF(CB75=CB78,SUMIF(BI66:BI77,$BX75,BU66:BU77),SUMIF(BI66:BI77,$BX75,BP66:BP77)))</f>
        <v>6.9444444444444447E-4</v>
      </c>
      <c r="CA75" s="876">
        <f>IF(IF(CB75=CB78,SUMIF(BI66:BI77,$BX75,BS66:BS77),SUMIF(BI66:BI77,$BX75,BN66:BN77))=0,NA(),IF(CB75=CB78,SUMIF(BI66:BI77,$BX75,BS66:BS77),SUMIF(BI66:BI77,$BX75,BN66:BN77)))</f>
        <v>3.7037037037037035E-4</v>
      </c>
      <c r="CB75" s="645">
        <f t="shared" si="20"/>
        <v>23</v>
      </c>
      <c r="CC75" s="645">
        <f t="shared" si="18"/>
        <v>7</v>
      </c>
    </row>
    <row r="76" spans="2:81" ht="15" customHeight="1">
      <c r="BI76" s="638" t="s">
        <v>343</v>
      </c>
      <c r="BJ76" s="638">
        <v>11</v>
      </c>
      <c r="BK76" s="638" t="s">
        <v>338</v>
      </c>
      <c r="BL76" s="853">
        <f t="shared" si="19"/>
        <v>5.8951851851851847E-3</v>
      </c>
      <c r="BM76" s="690">
        <v>23.152000000000001</v>
      </c>
      <c r="BN76" s="848">
        <v>2.5462962962962961E-4</v>
      </c>
      <c r="BO76" s="852"/>
      <c r="BP76" s="851">
        <v>6.9444444444444447E-4</v>
      </c>
      <c r="BQ76" s="853" t="str">
        <f t="shared" si="16"/>
        <v/>
      </c>
      <c r="BR76" s="690"/>
      <c r="BS76" s="695"/>
      <c r="BT76" s="850"/>
      <c r="BU76" s="851">
        <v>6.9444444444444447E-4</v>
      </c>
      <c r="BX76" s="666" t="str">
        <f t="shared" si="17"/>
        <v>Aug</v>
      </c>
      <c r="BY76" s="643">
        <f>IF(CB76=$CB78,SUMIF($BI66:$BI77,$BX76,$BR66:$BR77),SUMIF($BI66:$BI77,$BX76,$BM66:$BM77))</f>
        <v>23.152000000000001</v>
      </c>
      <c r="BZ76" s="877">
        <f>IF(IF(CB76=CB78,SUMIF(BI66:BI77,$BX76,BU66:BU77),SUMIF(BI66:BI77,$BX76,BP66:BP77))=0,NA(),IF(CB76=CB78,SUMIF(BI66:BI77,$BX76,BU66:BU77),SUMIF(BI66:BI77,$BX76,BP66:BP77)))</f>
        <v>6.9444444444444447E-4</v>
      </c>
      <c r="CA76" s="876">
        <f>IF(IF(CB76=CB78,SUMIF(BI66:BI77,$BX76,BS66:BS77),SUMIF(BI66:BI77,$BX76,BN66:BN77))=0,NA(),IF(CB76=CB78,SUMIF(BI66:BI77,$BX76,BS66:BS77),SUMIF(BI66:BI77,$BX76,BN66:BN77)))</f>
        <v>2.5462962962962961E-4</v>
      </c>
      <c r="CB76" s="645">
        <f t="shared" si="20"/>
        <v>23</v>
      </c>
      <c r="CC76" s="645">
        <f t="shared" si="18"/>
        <v>8</v>
      </c>
    </row>
    <row r="77" spans="2:81" ht="15" customHeight="1">
      <c r="BI77" s="638" t="s">
        <v>344</v>
      </c>
      <c r="BJ77" s="638">
        <v>12</v>
      </c>
      <c r="BK77" s="638" t="s">
        <v>338</v>
      </c>
      <c r="BL77" s="853">
        <f t="shared" si="19"/>
        <v>1.1551527777777779E-2</v>
      </c>
      <c r="BM77" s="690">
        <v>30.244</v>
      </c>
      <c r="BN77" s="848">
        <v>3.8194444444444446E-4</v>
      </c>
      <c r="BO77" s="852"/>
      <c r="BP77" s="851">
        <v>6.9444444444444447E-4</v>
      </c>
      <c r="BQ77" s="853" t="str">
        <f t="shared" si="16"/>
        <v/>
      </c>
      <c r="BR77" s="690"/>
      <c r="BS77" s="695"/>
      <c r="BT77" s="850"/>
      <c r="BU77" s="851">
        <v>6.9444444444444447E-4</v>
      </c>
      <c r="BX77" s="666" t="str">
        <f t="shared" si="17"/>
        <v>Sep</v>
      </c>
      <c r="BY77" s="643">
        <f>IF(CB77=$CB78,SUMIF($BI66:$BI77,$BX77,$BR66:$BR77),SUMIF($BI66:$BI77,$BX77,$BM66:$BM77))</f>
        <v>30.244</v>
      </c>
      <c r="BZ77" s="877">
        <f>IF(IF(CB77=CB78,SUMIF(BI66:BI77,$BX77,BU66:BU77),SUMIF(BI66:BI77,$BX77,BP66:BP77))=0,NA(),IF(CB77=CB78,SUMIF(BI66:BI77,$BX77,BU66:BU77),SUMIF(BI66:BI77,$BX77,BP66:BP77)))</f>
        <v>6.9444444444444447E-4</v>
      </c>
      <c r="CA77" s="876">
        <f>IF(IF(CB77=CB78,SUMIF(BI66:BI77,$BX77,BS66:BS77),SUMIF(BI66:BI77,$BX77,BN66:BN77))=0,NA(),IF(CB77=CB78,SUMIF(BI66:BI77,$BX77,BS66:BS77),SUMIF(BI66:BI77,$BX77,BN66:BN77)))</f>
        <v>3.8194444444444446E-4</v>
      </c>
      <c r="CB77" s="645">
        <f t="shared" si="20"/>
        <v>23</v>
      </c>
      <c r="CC77" s="645">
        <f>IF(CC78-1&lt;1,CC78+11,CC78-1)</f>
        <v>9</v>
      </c>
    </row>
    <row r="78" spans="2:81" ht="15" customHeight="1">
      <c r="BJ78" s="277"/>
      <c r="BK78" s="277"/>
      <c r="BL78" s="277"/>
      <c r="BM78" s="277"/>
      <c r="BN78" s="277"/>
      <c r="BO78" s="277"/>
      <c r="BP78" s="277"/>
      <c r="BQ78" s="277"/>
      <c r="BR78" s="277"/>
      <c r="BS78" s="277"/>
      <c r="BT78" s="277"/>
      <c r="BW78" s="667" t="str">
        <f>Cover!$M$34</f>
        <v>OCT FY-24</v>
      </c>
      <c r="BX78" s="666" t="str">
        <f>TEXT(CONCATENATE(CC78,"/01/20",CB78),"MMM")</f>
        <v>Oct</v>
      </c>
      <c r="BY78" s="643">
        <f>SUMIF($BI66:$BI77,$BX78,$BR66:$BR77)</f>
        <v>22.855</v>
      </c>
      <c r="BZ78" s="877">
        <f>IF(IF(CB78=CB78,SUMIF(BI66:BI77,$BX78,BU66:BU77),SUMIF(BI66:BI77,$BX78,BP66:BP77))=0,NA(),IF(CB78=CB78,SUMIF(BI66:BI77,$BX78,BU66:BU77),SUMIF(BI66:BI77,$BX78,BP66:BP77)))</f>
        <v>6.9444444444444447E-4</v>
      </c>
      <c r="CA78" s="876">
        <f>IF(SUMIF($BI66:$BI77,$BX78,$BS66:$BS77)=0,NA(),SUMIF($BI66:$BI77,$BX78,$BS66:$BS77))</f>
        <v>4.0509259259259258E-4</v>
      </c>
      <c r="CB78" s="645">
        <f>CB57</f>
        <v>24</v>
      </c>
      <c r="CC78" s="645">
        <f>MONTH(DATEVALUE(LEFT(BW78,3)&amp;" 1"))</f>
        <v>10</v>
      </c>
    </row>
    <row r="79" spans="2:81" ht="15" customHeight="1">
      <c r="BI79" s="6"/>
      <c r="BJ79" s="6"/>
      <c r="BK79" s="6"/>
      <c r="BL79" s="6"/>
      <c r="BM79" s="6"/>
      <c r="BN79" s="6"/>
      <c r="BO79" s="6"/>
      <c r="BP79" s="6"/>
      <c r="BQ79" s="6"/>
      <c r="BR79" s="6"/>
      <c r="BS79" s="6"/>
      <c r="BT79" s="6"/>
      <c r="BU79" s="6"/>
      <c r="BV79" s="6"/>
    </row>
    <row r="80" spans="2:81" ht="15" customHeight="1">
      <c r="BI80" s="54" t="s">
        <v>292</v>
      </c>
      <c r="BJ80" s="287" t="s">
        <v>474</v>
      </c>
      <c r="BK80" s="287"/>
      <c r="BL80" s="287"/>
      <c r="BM80" s="287"/>
      <c r="BN80" s="287"/>
      <c r="BO80" s="287"/>
      <c r="BP80" s="287"/>
      <c r="BQ80" s="287"/>
      <c r="BR80" s="287"/>
      <c r="BS80" s="287"/>
      <c r="BT80" s="287"/>
      <c r="BU80" s="287"/>
    </row>
    <row r="81" spans="2:81" ht="15" customHeight="1">
      <c r="BI81" s="54" t="s">
        <v>296</v>
      </c>
      <c r="BJ81" s="283" t="s">
        <v>475</v>
      </c>
      <c r="BK81" s="283"/>
      <c r="BL81" s="283"/>
      <c r="BM81" s="283"/>
      <c r="BN81" s="283"/>
      <c r="BO81" s="283"/>
      <c r="BP81" s="283"/>
      <c r="BQ81" s="283"/>
      <c r="BR81" s="283"/>
      <c r="BS81" s="283"/>
      <c r="BT81" s="283"/>
      <c r="BU81" s="283"/>
    </row>
    <row r="82" spans="2:81" ht="15" customHeight="1" thickBot="1">
      <c r="BI82" s="54" t="s">
        <v>300</v>
      </c>
      <c r="BJ82" s="283" t="s">
        <v>476</v>
      </c>
      <c r="BK82" s="283"/>
      <c r="BL82" s="283"/>
      <c r="BM82" s="283"/>
      <c r="BN82" s="283"/>
      <c r="BO82" s="283"/>
      <c r="BP82" s="283"/>
      <c r="BQ82" s="283"/>
      <c r="BR82" s="283"/>
      <c r="BS82" s="283"/>
      <c r="BT82" s="283"/>
      <c r="BU82" s="283"/>
    </row>
    <row r="83" spans="2:81" ht="15" customHeight="1" thickBot="1">
      <c r="BI83" s="1402" t="s">
        <v>7</v>
      </c>
      <c r="BJ83" s="1403"/>
      <c r="BK83" s="1404"/>
      <c r="BL83" s="1402" t="s">
        <v>302</v>
      </c>
      <c r="BM83" s="1403"/>
      <c r="BN83" s="1403"/>
      <c r="BO83" s="1403"/>
      <c r="BP83" s="1404"/>
      <c r="BQ83" s="1402" t="s">
        <v>719</v>
      </c>
      <c r="BR83" s="1403"/>
      <c r="BS83" s="1403"/>
      <c r="BT83" s="1403"/>
      <c r="BU83" s="1404"/>
      <c r="BW83" s="567" t="s">
        <v>303</v>
      </c>
      <c r="BX83" s="568"/>
      <c r="BY83" s="568"/>
      <c r="BZ83" s="568"/>
      <c r="CA83" s="568"/>
      <c r="CB83" s="568"/>
      <c r="CC83" s="569"/>
    </row>
    <row r="84" spans="2:81" ht="15" customHeight="1">
      <c r="BI84" s="636" t="s">
        <v>23</v>
      </c>
      <c r="BJ84" s="636" t="s">
        <v>37</v>
      </c>
      <c r="BK84" s="636" t="s">
        <v>304</v>
      </c>
      <c r="BL84" s="637" t="s">
        <v>305</v>
      </c>
      <c r="BM84" s="637" t="s">
        <v>310</v>
      </c>
      <c r="BN84" s="637" t="s">
        <v>311</v>
      </c>
      <c r="BO84" s="278" t="s">
        <v>312</v>
      </c>
      <c r="BP84" s="637" t="s">
        <v>313</v>
      </c>
      <c r="BQ84" s="637" t="s">
        <v>305</v>
      </c>
      <c r="BR84" s="637" t="s">
        <v>715</v>
      </c>
      <c r="BS84" s="637" t="s">
        <v>716</v>
      </c>
      <c r="BT84" s="278" t="s">
        <v>717</v>
      </c>
      <c r="BU84" s="637" t="s">
        <v>718</v>
      </c>
      <c r="BW84" s="279" t="s">
        <v>314</v>
      </c>
      <c r="BX84" s="279" t="s">
        <v>23</v>
      </c>
      <c r="BY84" s="280" t="s">
        <v>315</v>
      </c>
      <c r="BZ84" s="279" t="s">
        <v>122</v>
      </c>
      <c r="CA84" s="279" t="s">
        <v>316</v>
      </c>
      <c r="CB84" s="279" t="s">
        <v>317</v>
      </c>
      <c r="CC84" s="279" t="s">
        <v>318</v>
      </c>
    </row>
    <row r="85" spans="2:81" ht="15" customHeight="1">
      <c r="BI85" s="638" t="s">
        <v>319</v>
      </c>
      <c r="BJ85" s="638">
        <v>1</v>
      </c>
      <c r="BK85" s="638" t="s">
        <v>320</v>
      </c>
      <c r="BL85" s="690">
        <v>4.2110000000000003</v>
      </c>
      <c r="BM85" s="689">
        <v>26.504999999999999</v>
      </c>
      <c r="BN85" s="653">
        <f>IF(BM85="","",BL85/BM85)</f>
        <v>0.15887568383323902</v>
      </c>
      <c r="BO85" s="289">
        <f>IF(SUM(BM85:BM87=0),0,SUM(BL85:BL87)/SUM(BM85:BM87))</f>
        <v>0.1692135116830342</v>
      </c>
      <c r="BP85" s="821">
        <v>0.05</v>
      </c>
      <c r="BQ85" s="690">
        <v>1.0449999999999999</v>
      </c>
      <c r="BR85" s="689">
        <v>25.474</v>
      </c>
      <c r="BS85" s="842">
        <f>IF(BR85="","",BQ85/BR85)</f>
        <v>4.1022218732825626E-2</v>
      </c>
      <c r="BT85" s="289">
        <f>IF(SUM(BR85:BR87=0),0,SUM(BQ85:BQ87)/SUM(BR85:BR87))</f>
        <v>4.1022218732825626E-2</v>
      </c>
      <c r="BU85" s="821">
        <v>0.05</v>
      </c>
      <c r="BX85" s="666" t="str">
        <f t="shared" ref="BX85:BX96" si="21">TEXT(CONCATENATE(CC85,"/01/20",CB85),"MMM")</f>
        <v>Oct</v>
      </c>
      <c r="BY85" s="643">
        <f>IF(CB85=$CB97,SUMIF($BI85:$BI96,$BX85,$BR85:$BR96),SUMIF($BI85:$BI96,$BX85,$BM85:$BM96))</f>
        <v>26.504999999999999</v>
      </c>
      <c r="BZ85" s="821">
        <f>IF(IF(CB85=CB97,SUMIF(BI85:BI96,$BX85,BU85:BU96),SUMIF(BI85:BI96,$BX85,BP85:BP96))=0,NA(),IF(CB85=CB97,SUMIF(BI85:BI96,$BX85,BU85:BU96),SUMIF(BI85:BI96,$BX85,BP85:BP96)))</f>
        <v>0.05</v>
      </c>
      <c r="CA85" s="644">
        <f>IF(IF(CB85=CB97,SUMIF(BI85:BI96,$BX85,BS85:BS96),SUMIF(BI85:BI96,$BX85,BN85:BN96))=0,NA(),IF(CB85=CB97,SUMIF(BI85:BI96,$BX85,BS85:BS96),SUMIF(BI85:BI96,$BX85,BN85:BN96)))</f>
        <v>0.15887568383323902</v>
      </c>
      <c r="CB85" s="645">
        <f>CB66</f>
        <v>23</v>
      </c>
      <c r="CC85" s="645">
        <f t="shared" ref="CC85:CC95" si="22">IF(CC86-1&lt;1,CC86+11,CC86-1)</f>
        <v>10</v>
      </c>
    </row>
    <row r="86" spans="2:81" ht="15" customHeight="1">
      <c r="B86" s="267" t="s">
        <v>242</v>
      </c>
      <c r="C86" s="267"/>
      <c r="D86" s="267"/>
      <c r="E86" s="334"/>
      <c r="F86" s="326"/>
      <c r="G86" s="326"/>
      <c r="H86" s="326"/>
      <c r="I86" s="326"/>
      <c r="J86" s="326"/>
      <c r="K86" s="326"/>
      <c r="L86" s="326"/>
      <c r="M86" s="326"/>
      <c r="N86" s="326"/>
      <c r="O86" s="326"/>
      <c r="P86" s="326"/>
      <c r="Q86" s="326"/>
      <c r="R86" s="326"/>
      <c r="S86" s="326"/>
      <c r="T86" s="326"/>
      <c r="U86" s="326"/>
      <c r="V86" s="326"/>
      <c r="W86" s="326"/>
      <c r="X86" s="326"/>
      <c r="Y86" s="326"/>
      <c r="Z86" s="326"/>
      <c r="AA86" s="326"/>
      <c r="AB86" s="326"/>
      <c r="AE86" s="267" t="s">
        <v>242</v>
      </c>
      <c r="AF86" s="267"/>
      <c r="AG86" s="267"/>
      <c r="AH86" s="334"/>
      <c r="AI86" s="326"/>
      <c r="AJ86" s="326"/>
      <c r="AK86" s="326"/>
      <c r="AL86" s="326"/>
      <c r="AM86" s="326"/>
      <c r="AN86" s="326"/>
      <c r="AO86" s="326"/>
      <c r="AP86" s="326"/>
      <c r="AQ86" s="326"/>
      <c r="AR86" s="326"/>
      <c r="AS86" s="326"/>
      <c r="AT86" s="326"/>
      <c r="AU86" s="326"/>
      <c r="AV86" s="326"/>
      <c r="AW86" s="326"/>
      <c r="AX86" s="326"/>
      <c r="AY86" s="326"/>
      <c r="AZ86" s="326"/>
      <c r="BA86" s="326"/>
      <c r="BB86" s="326"/>
      <c r="BC86" s="326"/>
      <c r="BD86" s="326"/>
      <c r="BE86" s="326"/>
      <c r="BI86" s="638" t="s">
        <v>321</v>
      </c>
      <c r="BJ86" s="638">
        <v>2</v>
      </c>
      <c r="BK86" s="638" t="s">
        <v>320</v>
      </c>
      <c r="BL86" s="690">
        <v>4.5369999999999999</v>
      </c>
      <c r="BM86" s="689">
        <v>29.207000000000001</v>
      </c>
      <c r="BN86" s="653">
        <f t="shared" ref="BN86:BN96" si="23">IF(BM86="","",BL86/BM86)</f>
        <v>0.15533947341390761</v>
      </c>
      <c r="BO86" s="835"/>
      <c r="BP86" s="821">
        <v>0.05</v>
      </c>
      <c r="BQ86" s="690"/>
      <c r="BR86" s="689"/>
      <c r="BS86" s="842" t="str">
        <f t="shared" ref="BS86:BS96" si="24">IF(BR86="","",BQ86/BR86)</f>
        <v/>
      </c>
      <c r="BT86" s="835"/>
      <c r="BU86" s="821">
        <v>0.05</v>
      </c>
      <c r="BX86" s="666" t="str">
        <f t="shared" si="21"/>
        <v>Nov</v>
      </c>
      <c r="BY86" s="643">
        <f>IF(CB86=$CB97,SUMIF($BI85:$BI96,$BX86,$BR85:$BR96),SUMIF($BI85:$BI96,$BX86,$BM85:$BM96))</f>
        <v>29.207000000000001</v>
      </c>
      <c r="BZ86" s="821">
        <f>IF(IF(CB86=CB97,SUMIF(BI85:BI96,$BX86,BU85:BU96),SUMIF(BI85:BI96,$BX86,BP85:BP96))=0,NA(),IF(CB86=CB97,SUMIF(BI85:BI96,$BX86,BU85:BU96),SUMIF(BI85:BI96,$BX86,BP85:BP96)))</f>
        <v>0.05</v>
      </c>
      <c r="CA86" s="644">
        <f>IF(IF(CB86=CB97,SUMIF(BI85:BI96,$BX86,BS85:BS96),SUMIF(BI85:BI96,$BX86,BN85:BN96))=0,NA(),IF(CB86=CB97,SUMIF(BI85:BI96,$BX86,BS85:BS96),SUMIF(BI85:BI96,$BX86,BN85:BN96)))</f>
        <v>0.15533947341390761</v>
      </c>
      <c r="CB86" s="645">
        <f t="shared" ref="CB86:CB97" si="25">CB67</f>
        <v>23</v>
      </c>
      <c r="CC86" s="645">
        <f t="shared" si="22"/>
        <v>11</v>
      </c>
    </row>
    <row r="87" spans="2:81" ht="15" customHeight="1">
      <c r="B87" s="1137" t="s">
        <v>772</v>
      </c>
      <c r="C87" s="1138"/>
      <c r="D87" s="1138"/>
      <c r="E87" s="1138"/>
      <c r="F87" s="1138"/>
      <c r="G87" s="1138"/>
      <c r="H87" s="1138"/>
      <c r="I87" s="1138"/>
      <c r="J87" s="1138"/>
      <c r="K87" s="1138"/>
      <c r="L87" s="1138"/>
      <c r="M87" s="1138"/>
      <c r="N87" s="1138"/>
      <c r="O87" s="1138"/>
      <c r="P87" s="1138"/>
      <c r="Q87" s="1138"/>
      <c r="R87" s="1138"/>
      <c r="S87" s="1138"/>
      <c r="T87" s="1138"/>
      <c r="U87" s="1138"/>
      <c r="V87" s="1138"/>
      <c r="W87" s="1138"/>
      <c r="X87" s="1138"/>
      <c r="Y87" s="1138"/>
      <c r="Z87" s="1138"/>
      <c r="AA87" s="1138"/>
      <c r="AB87" s="1139"/>
      <c r="AE87" s="1137" t="s">
        <v>773</v>
      </c>
      <c r="AF87" s="1138"/>
      <c r="AG87" s="1138"/>
      <c r="AH87" s="1138"/>
      <c r="AI87" s="1138"/>
      <c r="AJ87" s="1138"/>
      <c r="AK87" s="1138"/>
      <c r="AL87" s="1138"/>
      <c r="AM87" s="1138"/>
      <c r="AN87" s="1138"/>
      <c r="AO87" s="1138"/>
      <c r="AP87" s="1138"/>
      <c r="AQ87" s="1138"/>
      <c r="AR87" s="1138"/>
      <c r="AS87" s="1138"/>
      <c r="AT87" s="1138"/>
      <c r="AU87" s="1138"/>
      <c r="AV87" s="1138"/>
      <c r="AW87" s="1138"/>
      <c r="AX87" s="1138"/>
      <c r="AY87" s="1138"/>
      <c r="AZ87" s="1138"/>
      <c r="BA87" s="1138"/>
      <c r="BB87" s="1138"/>
      <c r="BC87" s="1138"/>
      <c r="BD87" s="1138"/>
      <c r="BE87" s="1139"/>
      <c r="BI87" s="638" t="s">
        <v>322</v>
      </c>
      <c r="BJ87" s="638">
        <v>3</v>
      </c>
      <c r="BK87" s="638" t="s">
        <v>320</v>
      </c>
      <c r="BL87" s="690">
        <v>7.242</v>
      </c>
      <c r="BM87" s="689">
        <v>38.783999999999999</v>
      </c>
      <c r="BN87" s="653">
        <f t="shared" si="23"/>
        <v>0.18672648514851486</v>
      </c>
      <c r="BO87" s="835"/>
      <c r="BP87" s="821">
        <v>0.05</v>
      </c>
      <c r="BQ87" s="690"/>
      <c r="BR87" s="689"/>
      <c r="BS87" s="842" t="str">
        <f t="shared" si="24"/>
        <v/>
      </c>
      <c r="BT87" s="835"/>
      <c r="BU87" s="821">
        <v>0.05</v>
      </c>
      <c r="BX87" s="666" t="str">
        <f t="shared" si="21"/>
        <v>Dec</v>
      </c>
      <c r="BY87" s="643">
        <f>IF(CB87=$CB97,SUMIF($BI85:$BI96,$BX87,$BR85:$BR96),SUMIF($BI85:$BI96,$BX87,$BM85:$BM96))</f>
        <v>38.783999999999999</v>
      </c>
      <c r="BZ87" s="821">
        <f>IF(IF(CB87=CB97,SUMIF(BI85:BI96,$BX87,BU85:BU96),SUMIF(BI85:BI96,$BX87,BP85:BP96))=0,NA(),IF(CB87=CB97,SUMIF(BI85:BI96,$BX87,BU85:BU96),SUMIF(BI85:BI96,$BX87,BP85:BP96)))</f>
        <v>0.05</v>
      </c>
      <c r="CA87" s="644">
        <f>IF(IF(CB87=CB97,SUMIF(BI85:BI96,$BX87,BS85:BS96),SUMIF(BI85:BI96,$BX87,BN85:BN96))=0,NA(),IF(CB87=CB97,SUMIF(BI85:BI96,$BX87,BS85:BS96),SUMIF(BI85:BI96,$BX87,BN85:BN96)))</f>
        <v>0.18672648514851486</v>
      </c>
      <c r="CB87" s="645">
        <f t="shared" si="25"/>
        <v>23</v>
      </c>
      <c r="CC87" s="645">
        <f t="shared" si="22"/>
        <v>12</v>
      </c>
    </row>
    <row r="88" spans="2:81" ht="15" customHeight="1">
      <c r="B88" s="1140"/>
      <c r="C88" s="1141"/>
      <c r="D88" s="1141"/>
      <c r="E88" s="1141"/>
      <c r="F88" s="1141"/>
      <c r="G88" s="1141"/>
      <c r="H88" s="1141"/>
      <c r="I88" s="1141"/>
      <c r="J88" s="1141"/>
      <c r="K88" s="1141"/>
      <c r="L88" s="1141"/>
      <c r="M88" s="1141"/>
      <c r="N88" s="1141"/>
      <c r="O88" s="1141"/>
      <c r="P88" s="1141"/>
      <c r="Q88" s="1141"/>
      <c r="R88" s="1141"/>
      <c r="S88" s="1141"/>
      <c r="T88" s="1141"/>
      <c r="U88" s="1141"/>
      <c r="V88" s="1141"/>
      <c r="W88" s="1141"/>
      <c r="X88" s="1141"/>
      <c r="Y88" s="1141"/>
      <c r="Z88" s="1141"/>
      <c r="AA88" s="1141"/>
      <c r="AB88" s="1142"/>
      <c r="AE88" s="1140"/>
      <c r="AF88" s="1141"/>
      <c r="AG88" s="1141"/>
      <c r="AH88" s="1141"/>
      <c r="AI88" s="1141"/>
      <c r="AJ88" s="1141"/>
      <c r="AK88" s="1141"/>
      <c r="AL88" s="1141"/>
      <c r="AM88" s="1141"/>
      <c r="AN88" s="1141"/>
      <c r="AO88" s="1141"/>
      <c r="AP88" s="1141"/>
      <c r="AQ88" s="1141"/>
      <c r="AR88" s="1141"/>
      <c r="AS88" s="1141"/>
      <c r="AT88" s="1141"/>
      <c r="AU88" s="1141"/>
      <c r="AV88" s="1141"/>
      <c r="AW88" s="1141"/>
      <c r="AX88" s="1141"/>
      <c r="AY88" s="1141"/>
      <c r="AZ88" s="1141"/>
      <c r="BA88" s="1141"/>
      <c r="BB88" s="1141"/>
      <c r="BC88" s="1141"/>
      <c r="BD88" s="1141"/>
      <c r="BE88" s="1142"/>
      <c r="BI88" s="638" t="s">
        <v>323</v>
      </c>
      <c r="BJ88" s="638">
        <v>4</v>
      </c>
      <c r="BK88" s="638" t="s">
        <v>324</v>
      </c>
      <c r="BL88" s="690">
        <v>1.9339999999999999</v>
      </c>
      <c r="BM88" s="689">
        <v>24.552</v>
      </c>
      <c r="BN88" s="653">
        <f t="shared" si="23"/>
        <v>7.8771586836102969E-2</v>
      </c>
      <c r="BO88" s="289">
        <f>IF(SUM(BM88:BM90=0),0,SUM(BL88:BL90)/SUM(BM88:BM90))</f>
        <v>4.7243810302928228E-2</v>
      </c>
      <c r="BP88" s="821">
        <v>0.05</v>
      </c>
      <c r="BQ88" s="690"/>
      <c r="BR88" s="689"/>
      <c r="BS88" s="842" t="str">
        <f t="shared" si="24"/>
        <v/>
      </c>
      <c r="BT88" s="289">
        <f>IF(SUM(BR88:BR90=0),0,SUM(BQ88:BQ90)/SUM(BR88:BR90))</f>
        <v>0</v>
      </c>
      <c r="BU88" s="821">
        <v>0.05</v>
      </c>
      <c r="BX88" s="666" t="str">
        <f t="shared" si="21"/>
        <v>Jan</v>
      </c>
      <c r="BY88" s="643">
        <f>IF(CB88=$CB97,SUMIF($BI85:$BI96,$BX88,$BR85:$BR96),SUMIF($BI85:$BI96,$BX88,$BM85:$BM96))</f>
        <v>24.552</v>
      </c>
      <c r="BZ88" s="821">
        <f>IF(IF(CB88=CB97,SUMIF(BI85:BI96,$BX88,BU85:BU96),SUMIF(BI85:BI96,$BX88,BP85:BP96))=0,NA(),IF(CB88=CB97,SUMIF(BI85:BI96,$BX88,BU85:BU96),SUMIF(BI85:BI96,$BX88,BP85:BP96)))</f>
        <v>0.05</v>
      </c>
      <c r="CA88" s="644">
        <f>IF(IF(CB88=CB97,SUMIF(BI85:BI96,$BX88,BS85:BS96),SUMIF(BI85:BI96,$BX88,BN85:BN96))=0,NA(),IF(CB88=CB97,SUMIF(BI85:BI96,$BX88,BS85:BS96),SUMIF(BI85:BI96,$BX88,BN85:BN96)))</f>
        <v>7.8771586836102969E-2</v>
      </c>
      <c r="CB88" s="645">
        <f t="shared" si="25"/>
        <v>23</v>
      </c>
      <c r="CC88" s="645">
        <f t="shared" si="22"/>
        <v>1</v>
      </c>
    </row>
    <row r="89" spans="2:81" ht="15" customHeight="1">
      <c r="B89" s="1140"/>
      <c r="C89" s="1141"/>
      <c r="D89" s="1141"/>
      <c r="E89" s="1141"/>
      <c r="F89" s="1141"/>
      <c r="G89" s="1141"/>
      <c r="H89" s="1141"/>
      <c r="I89" s="1141"/>
      <c r="J89" s="1141"/>
      <c r="K89" s="1141"/>
      <c r="L89" s="1141"/>
      <c r="M89" s="1141"/>
      <c r="N89" s="1141"/>
      <c r="O89" s="1141"/>
      <c r="P89" s="1141"/>
      <c r="Q89" s="1141"/>
      <c r="R89" s="1141"/>
      <c r="S89" s="1141"/>
      <c r="T89" s="1141"/>
      <c r="U89" s="1141"/>
      <c r="V89" s="1141"/>
      <c r="W89" s="1141"/>
      <c r="X89" s="1141"/>
      <c r="Y89" s="1141"/>
      <c r="Z89" s="1141"/>
      <c r="AA89" s="1141"/>
      <c r="AB89" s="1142"/>
      <c r="AE89" s="1140"/>
      <c r="AF89" s="1141"/>
      <c r="AG89" s="1141"/>
      <c r="AH89" s="1141"/>
      <c r="AI89" s="1141"/>
      <c r="AJ89" s="1141"/>
      <c r="AK89" s="1141"/>
      <c r="AL89" s="1141"/>
      <c r="AM89" s="1141"/>
      <c r="AN89" s="1141"/>
      <c r="AO89" s="1141"/>
      <c r="AP89" s="1141"/>
      <c r="AQ89" s="1141"/>
      <c r="AR89" s="1141"/>
      <c r="AS89" s="1141"/>
      <c r="AT89" s="1141"/>
      <c r="AU89" s="1141"/>
      <c r="AV89" s="1141"/>
      <c r="AW89" s="1141"/>
      <c r="AX89" s="1141"/>
      <c r="AY89" s="1141"/>
      <c r="AZ89" s="1141"/>
      <c r="BA89" s="1141"/>
      <c r="BB89" s="1141"/>
      <c r="BC89" s="1141"/>
      <c r="BD89" s="1141"/>
      <c r="BE89" s="1142"/>
      <c r="BI89" s="638" t="s">
        <v>325</v>
      </c>
      <c r="BJ89" s="638">
        <v>5</v>
      </c>
      <c r="BK89" s="638" t="s">
        <v>324</v>
      </c>
      <c r="BL89" s="690">
        <v>1.1220000000000001</v>
      </c>
      <c r="BM89" s="690">
        <v>26.137</v>
      </c>
      <c r="BN89" s="653">
        <f t="shared" si="23"/>
        <v>4.2927650457206264E-2</v>
      </c>
      <c r="BO89" s="835"/>
      <c r="BP89" s="821">
        <v>0.05</v>
      </c>
      <c r="BQ89" s="690"/>
      <c r="BR89" s="689"/>
      <c r="BS89" s="842" t="str">
        <f t="shared" si="24"/>
        <v/>
      </c>
      <c r="BT89" s="835"/>
      <c r="BU89" s="821">
        <v>0.05</v>
      </c>
      <c r="BX89" s="666" t="str">
        <f t="shared" si="21"/>
        <v>Feb</v>
      </c>
      <c r="BY89" s="643">
        <f>IF(CB89=$CB97,SUMIF($BI85:$BI96,$BX89,$BR85:$BR96),SUMIF($BI85:$BI96,$BX89,$BM85:$BM96))</f>
        <v>26.137</v>
      </c>
      <c r="BZ89" s="821">
        <f>IF(IF(CB89=CB97,SUMIF(BI85:BI96,$BX89,BU85:BU96),SUMIF(BI85:BI96,$BX89,BP85:BP96))=0,NA(),IF(CB89=CB97,SUMIF(BI85:BI96,$BX89,BU85:BU96),SUMIF(BI85:BI96,$BX89,BP85:BP96)))</f>
        <v>0.05</v>
      </c>
      <c r="CA89" s="644">
        <f>IF(IF(CB89=CB97,SUMIF(BI85:BI96,$BX89,BS85:BS96),SUMIF(BI85:BI96,$BX89,BN85:BN96))=0,NA(),IF(CB89=CB97,SUMIF(BI85:BI96,$BX89,BS85:BS96),SUMIF(BI85:BI96,$BX89,BN85:BN96)))</f>
        <v>4.2927650457206264E-2</v>
      </c>
      <c r="CB89" s="645">
        <f t="shared" si="25"/>
        <v>23</v>
      </c>
      <c r="CC89" s="645">
        <f t="shared" si="22"/>
        <v>2</v>
      </c>
    </row>
    <row r="90" spans="2:81" ht="15" customHeight="1">
      <c r="B90" s="1143"/>
      <c r="C90" s="1144"/>
      <c r="D90" s="1144"/>
      <c r="E90" s="1144"/>
      <c r="F90" s="1144"/>
      <c r="G90" s="1144"/>
      <c r="H90" s="1144"/>
      <c r="I90" s="1144"/>
      <c r="J90" s="1144"/>
      <c r="K90" s="1144"/>
      <c r="L90" s="1144"/>
      <c r="M90" s="1144"/>
      <c r="N90" s="1144"/>
      <c r="O90" s="1144"/>
      <c r="P90" s="1144"/>
      <c r="Q90" s="1144"/>
      <c r="R90" s="1144"/>
      <c r="S90" s="1144"/>
      <c r="T90" s="1144"/>
      <c r="U90" s="1144"/>
      <c r="V90" s="1144"/>
      <c r="W90" s="1144"/>
      <c r="X90" s="1144"/>
      <c r="Y90" s="1144"/>
      <c r="Z90" s="1144"/>
      <c r="AA90" s="1144"/>
      <c r="AB90" s="1145"/>
      <c r="AE90" s="1143"/>
      <c r="AF90" s="1144"/>
      <c r="AG90" s="1144"/>
      <c r="AH90" s="1144"/>
      <c r="AI90" s="1144"/>
      <c r="AJ90" s="1144"/>
      <c r="AK90" s="1144"/>
      <c r="AL90" s="1144"/>
      <c r="AM90" s="1144"/>
      <c r="AN90" s="1144"/>
      <c r="AO90" s="1144"/>
      <c r="AP90" s="1144"/>
      <c r="AQ90" s="1144"/>
      <c r="AR90" s="1144"/>
      <c r="AS90" s="1144"/>
      <c r="AT90" s="1144"/>
      <c r="AU90" s="1144"/>
      <c r="AV90" s="1144"/>
      <c r="AW90" s="1144"/>
      <c r="AX90" s="1144"/>
      <c r="AY90" s="1144"/>
      <c r="AZ90" s="1144"/>
      <c r="BA90" s="1144"/>
      <c r="BB90" s="1144"/>
      <c r="BC90" s="1144"/>
      <c r="BD90" s="1144"/>
      <c r="BE90" s="1145"/>
      <c r="BI90" s="638" t="s">
        <v>326</v>
      </c>
      <c r="BJ90" s="638">
        <v>6</v>
      </c>
      <c r="BK90" s="638" t="s">
        <v>324</v>
      </c>
      <c r="BL90" s="690">
        <v>0.871</v>
      </c>
      <c r="BM90" s="690">
        <v>32.433</v>
      </c>
      <c r="BN90" s="653">
        <f t="shared" si="23"/>
        <v>2.6855363364474454E-2</v>
      </c>
      <c r="BO90" s="835"/>
      <c r="BP90" s="821">
        <v>0.05</v>
      </c>
      <c r="BQ90" s="690"/>
      <c r="BR90" s="690"/>
      <c r="BS90" s="842" t="str">
        <f t="shared" si="24"/>
        <v/>
      </c>
      <c r="BT90" s="835"/>
      <c r="BU90" s="821">
        <v>0.05</v>
      </c>
      <c r="BX90" s="666" t="str">
        <f t="shared" si="21"/>
        <v>Mar</v>
      </c>
      <c r="BY90" s="643">
        <f>IF(CB90=$CB97,SUMIF($BI85:$BI96,$BX90,$BR85:$BR96),SUMIF($BI85:$BI96,$BX90,$BM85:$BM96))</f>
        <v>32.433</v>
      </c>
      <c r="BZ90" s="821">
        <f>IF(IF(CB90=CB97,SUMIF(BI85:BI96,$BX90,BU85:BU96),SUMIF(BI85:BI96,$BX90,BP85:BP96))=0,NA(),IF(CB90=CB97,SUMIF(BI85:BI96,$BX90,BU85:BU96),SUMIF(BI85:BI96,$BX90,BP85:BP96)))</f>
        <v>0.05</v>
      </c>
      <c r="CA90" s="644">
        <f>IF(IF(CB90=CB97,SUMIF(BI85:BI96,$BX90,BS85:BS96),SUMIF(BI85:BI96,$BX90,BN85:BN96))=0,NA(),IF(CB90=CB97,SUMIF(BI85:BI96,$BX90,BS85:BS96),SUMIF(BI85:BI96,$BX90,BN85:BN96)))</f>
        <v>2.6855363364474454E-2</v>
      </c>
      <c r="CB90" s="645">
        <f t="shared" si="25"/>
        <v>23</v>
      </c>
      <c r="CC90" s="645">
        <f t="shared" si="22"/>
        <v>3</v>
      </c>
    </row>
    <row r="91" spans="2:81" ht="15" customHeight="1">
      <c r="BI91" s="638" t="s">
        <v>327</v>
      </c>
      <c r="BJ91" s="638">
        <v>7</v>
      </c>
      <c r="BK91" s="638" t="s">
        <v>328</v>
      </c>
      <c r="BL91" s="690">
        <v>0.68300000000000005</v>
      </c>
      <c r="BM91" s="690">
        <v>24.289000000000001</v>
      </c>
      <c r="BN91" s="653">
        <f t="shared" si="23"/>
        <v>2.8119724978385278E-2</v>
      </c>
      <c r="BO91" s="289">
        <f>IF(SUM(BM91:BM93=0),0,SUM(BL91:BL93)/SUM(BM91:BM93))</f>
        <v>3.0981180147879647E-2</v>
      </c>
      <c r="BP91" s="821">
        <v>0.05</v>
      </c>
      <c r="BQ91" s="690"/>
      <c r="BR91" s="690"/>
      <c r="BS91" s="842" t="str">
        <f t="shared" si="24"/>
        <v/>
      </c>
      <c r="BT91" s="289">
        <f>IF(SUM(BR91:BR93=0),0,SUM(BQ91:BQ93)/SUM(BR91:BR93))</f>
        <v>0</v>
      </c>
      <c r="BU91" s="821">
        <v>0.05</v>
      </c>
      <c r="BX91" s="666" t="str">
        <f t="shared" si="21"/>
        <v>Apr</v>
      </c>
      <c r="BY91" s="643">
        <f>IF(CB91=$CB97,SUMIF($BI85:$BI96,$BX91,$BR85:$BR96),SUMIF($BI85:$BI96,$BX91,$BM85:$BM96))</f>
        <v>24.289000000000001</v>
      </c>
      <c r="BZ91" s="821">
        <f>IF(IF(CB91=CB97,SUMIF(BI85:BI96,$BX91,BU85:BU96),SUMIF(BI85:BI96,$BX91,BP85:BP96))=0,NA(),IF(CB91=CB97,SUMIF(BI85:BI96,$BX91,BU85:BU96),SUMIF(BI85:BI96,$BX91,BP85:BP96)))</f>
        <v>0.05</v>
      </c>
      <c r="CA91" s="644">
        <f>IF(IF(CB91=CB97,SUMIF(BI85:BI96,$BX91,BS85:BS96),SUMIF(BI85:BI96,$BX91,BN85:BN96))=0,NA(),IF(CB91=CB97,SUMIF(BI85:BI96,$BX91,BS85:BS96),SUMIF(BI85:BI96,$BX91,BN85:BN96)))</f>
        <v>2.8119724978385278E-2</v>
      </c>
      <c r="CB91" s="645">
        <f t="shared" si="25"/>
        <v>23</v>
      </c>
      <c r="CC91" s="645">
        <f t="shared" si="22"/>
        <v>4</v>
      </c>
    </row>
    <row r="92" spans="2:81" ht="15" customHeight="1">
      <c r="BI92" s="638" t="s">
        <v>329</v>
      </c>
      <c r="BJ92" s="638">
        <v>8</v>
      </c>
      <c r="BK92" s="638" t="s">
        <v>328</v>
      </c>
      <c r="BL92" s="690">
        <v>0.53</v>
      </c>
      <c r="BM92" s="690">
        <v>22.440999999999999</v>
      </c>
      <c r="BN92" s="653">
        <f t="shared" si="23"/>
        <v>2.361748585178914E-2</v>
      </c>
      <c r="BO92" s="835"/>
      <c r="BP92" s="821">
        <v>0.05</v>
      </c>
      <c r="BQ92" s="690"/>
      <c r="BR92" s="690"/>
      <c r="BS92" s="842" t="str">
        <f t="shared" si="24"/>
        <v/>
      </c>
      <c r="BT92" s="835"/>
      <c r="BU92" s="821">
        <v>0.05</v>
      </c>
      <c r="BX92" s="666" t="str">
        <f t="shared" si="21"/>
        <v>May</v>
      </c>
      <c r="BY92" s="643">
        <f>IF(CB92=$CB97,SUMIF($BI85:$BI96,$BX92,$BR85:$BR96),SUMIF($BI85:$BI96,$BX92,$BM85:$BM96))</f>
        <v>22.440999999999999</v>
      </c>
      <c r="BZ92" s="821">
        <f>IF(IF(CB92=CB97,SUMIF(BI85:BI96,$BX92,BU85:BU96),SUMIF(BI85:BI96,$BX92,BP85:BP96))=0,NA(),IF(CB92=CB97,SUMIF(BI85:BI96,$BX92,BU85:BU96),SUMIF(BI85:BI96,$BX92,BP85:BP96)))</f>
        <v>0.05</v>
      </c>
      <c r="CA92" s="644">
        <f>IF(IF(CB92=CB97,SUMIF(BI85:BI96,$BX92,BS85:BS96),SUMIF(BI85:BI96,$BX92,BN85:BN96))=0,NA(),IF(CB92=CB97,SUMIF(BI85:BI96,$BX92,BS85:BS96),SUMIF(BI85:BI96,$BX92,BN85:BN96)))</f>
        <v>2.361748585178914E-2</v>
      </c>
      <c r="CB92" s="645">
        <f t="shared" si="25"/>
        <v>23</v>
      </c>
      <c r="CC92" s="645">
        <f t="shared" si="22"/>
        <v>5</v>
      </c>
    </row>
    <row r="93" spans="2:81" ht="15" customHeight="1">
      <c r="BI93" s="638" t="s">
        <v>331</v>
      </c>
      <c r="BJ93" s="638">
        <v>9</v>
      </c>
      <c r="BK93" s="638" t="s">
        <v>328</v>
      </c>
      <c r="BL93" s="690">
        <v>1.1459999999999999</v>
      </c>
      <c r="BM93" s="690">
        <v>29.413</v>
      </c>
      <c r="BN93" s="653">
        <f t="shared" si="23"/>
        <v>3.8962363580729603E-2</v>
      </c>
      <c r="BO93" s="835"/>
      <c r="BP93" s="821">
        <v>0.05</v>
      </c>
      <c r="BQ93" s="690"/>
      <c r="BR93" s="690"/>
      <c r="BS93" s="842" t="str">
        <f t="shared" si="24"/>
        <v/>
      </c>
      <c r="BT93" s="835"/>
      <c r="BU93" s="821">
        <v>0.05</v>
      </c>
      <c r="BX93" s="666" t="str">
        <f t="shared" si="21"/>
        <v>Jun</v>
      </c>
      <c r="BY93" s="643">
        <f>IF(CB93=$CB97,SUMIF($BI85:$BI96,$BX93,$BR85:$BR96),SUMIF($BI85:$BI96,$BX93,$BM85:$BM96))</f>
        <v>29.413</v>
      </c>
      <c r="BZ93" s="821">
        <f>IF(IF(CB93=CB97,SUMIF(BI85:BI96,$BX93,BU85:BU96),SUMIF(BI85:BI96,$BX93,BP85:BP96))=0,NA(),IF(CB93=CB97,SUMIF(BI85:BI96,$BX93,BU85:BU96),SUMIF(BI85:BI96,$BX93,BP85:BP96)))</f>
        <v>0.05</v>
      </c>
      <c r="CA93" s="644">
        <f>IF(IF(CB93=CB97,SUMIF(BI85:BI96,$BX93,BS85:BS96),SUMIF(BI85:BI96,$BX93,BN85:BN96))=0,NA(),IF(CB93=CB97,SUMIF(BI85:BI96,$BX93,BS85:BS96),SUMIF(BI85:BI96,$BX93,BN85:BN96)))</f>
        <v>3.8962363580729603E-2</v>
      </c>
      <c r="CB93" s="645">
        <f t="shared" si="25"/>
        <v>23</v>
      </c>
      <c r="CC93" s="645">
        <f t="shared" si="22"/>
        <v>6</v>
      </c>
    </row>
    <row r="94" spans="2:81" ht="15" customHeight="1">
      <c r="BI94" s="638" t="s">
        <v>337</v>
      </c>
      <c r="BJ94" s="638">
        <v>10</v>
      </c>
      <c r="BK94" s="638" t="s">
        <v>338</v>
      </c>
      <c r="BL94" s="690">
        <v>1.004</v>
      </c>
      <c r="BM94" s="690">
        <v>24.001999999999999</v>
      </c>
      <c r="BN94" s="653">
        <f t="shared" si="23"/>
        <v>4.1829847512707276E-2</v>
      </c>
      <c r="BO94" s="289">
        <f>IF(SUM(BM94:BM96=0),0,SUM(BL94:BL96)/SUM(BM94:BM96))</f>
        <v>3.8350340136054428E-2</v>
      </c>
      <c r="BP94" s="821">
        <v>0.05</v>
      </c>
      <c r="BQ94" s="690"/>
      <c r="BR94" s="690"/>
      <c r="BS94" s="842" t="str">
        <f t="shared" si="24"/>
        <v/>
      </c>
      <c r="BT94" s="289">
        <f>IF(SUM(BR94:BR96=0),0,SUM(BQ94:BQ96)/SUM(BR94:BR96))</f>
        <v>0</v>
      </c>
      <c r="BU94" s="821">
        <v>0.05</v>
      </c>
      <c r="BX94" s="666" t="str">
        <f t="shared" si="21"/>
        <v>Jul</v>
      </c>
      <c r="BY94" s="643">
        <f>IF(CB94=$CB97,SUMIF($BI85:$BI96,$BX94,$BR85:$BR96),SUMIF($BI85:$BI96,$BX94,$BM85:$BM96))</f>
        <v>24.001999999999999</v>
      </c>
      <c r="BZ94" s="821">
        <f>IF(IF(CB94=CB97,SUMIF(BI85:BI96,$BX94,BU85:BU96),SUMIF(BI85:BI96,$BX94,BP85:BP96))=0,NA(),IF(CB94=CB97,SUMIF(BI85:BI96,$BX94,BU85:BU96),SUMIF(BI85:BI96,$BX94,BP85:BP96)))</f>
        <v>0.05</v>
      </c>
      <c r="CA94" s="644">
        <f>IF(IF(CB94=CB97,SUMIF(BI85:BI96,$BX94,BS85:BS96),SUMIF(BI85:BI96,$BX94,BN85:BN96))=0,NA(),IF(CB94=CB97,SUMIF(BI85:BI96,$BX94,BS85:BS96),SUMIF(BI85:BI96,$BX94,BN85:BN96)))</f>
        <v>4.1829847512707276E-2</v>
      </c>
      <c r="CB94" s="645">
        <f t="shared" si="25"/>
        <v>23</v>
      </c>
      <c r="CC94" s="645">
        <f t="shared" si="22"/>
        <v>7</v>
      </c>
    </row>
    <row r="95" spans="2:81" ht="15" customHeight="1">
      <c r="BI95" s="638" t="s">
        <v>343</v>
      </c>
      <c r="BJ95" s="638">
        <v>11</v>
      </c>
      <c r="BK95" s="638" t="s">
        <v>338</v>
      </c>
      <c r="BL95" s="690">
        <v>0.73899999999999999</v>
      </c>
      <c r="BM95" s="690">
        <v>24.768000000000001</v>
      </c>
      <c r="BN95" s="653">
        <f t="shared" si="23"/>
        <v>2.9836886304909559E-2</v>
      </c>
      <c r="BO95" s="835"/>
      <c r="BP95" s="821">
        <v>0.05</v>
      </c>
      <c r="BQ95" s="690"/>
      <c r="BR95" s="690"/>
      <c r="BS95" s="842" t="str">
        <f t="shared" si="24"/>
        <v/>
      </c>
      <c r="BT95" s="835"/>
      <c r="BU95" s="821">
        <v>0.05</v>
      </c>
      <c r="BX95" s="666" t="str">
        <f t="shared" si="21"/>
        <v>Aug</v>
      </c>
      <c r="BY95" s="643">
        <f>IF(CB95=$CB97,SUMIF($BI85:$BI96,$BX95,$BR85:$BR96),SUMIF($BI85:$BI96,$BX95,$BM85:$BM96))</f>
        <v>24.768000000000001</v>
      </c>
      <c r="BZ95" s="821">
        <f>IF(IF(CB95=CB97,SUMIF(BI85:BI96,$BX95,BU85:BU96),SUMIF(BI85:BI96,$BX95,BP85:BP96))=0,NA(),IF(CB95=CB97,SUMIF(BI85:BI96,$BX95,BU85:BU96),SUMIF(BI85:BI96,$BX95,BP85:BP96)))</f>
        <v>0.05</v>
      </c>
      <c r="CA95" s="644">
        <f>IF(IF(CB95=CB97,SUMIF(BI85:BI96,$BX95,BS85:BS96),SUMIF(BI85:BI96,$BX95,BN85:BN96))=0,NA(),IF(CB95=CB97,SUMIF(BI85:BI96,$BX95,BS85:BS96),SUMIF(BI85:BI96,$BX95,BN85:BN96)))</f>
        <v>2.9836886304909559E-2</v>
      </c>
      <c r="CB95" s="645">
        <f t="shared" si="25"/>
        <v>23</v>
      </c>
      <c r="CC95" s="645">
        <f t="shared" si="22"/>
        <v>8</v>
      </c>
    </row>
    <row r="96" spans="2:81" ht="15" customHeight="1">
      <c r="BI96" s="638" t="s">
        <v>344</v>
      </c>
      <c r="BJ96" s="638">
        <v>12</v>
      </c>
      <c r="BK96" s="638" t="s">
        <v>338</v>
      </c>
      <c r="BL96" s="690">
        <v>1.4139999999999999</v>
      </c>
      <c r="BM96" s="690">
        <v>33.549999999999997</v>
      </c>
      <c r="BN96" s="653">
        <f t="shared" si="23"/>
        <v>4.2146050670640839E-2</v>
      </c>
      <c r="BO96" s="835"/>
      <c r="BP96" s="821">
        <v>0.05</v>
      </c>
      <c r="BQ96" s="690"/>
      <c r="BR96" s="690"/>
      <c r="BS96" s="842" t="str">
        <f t="shared" si="24"/>
        <v/>
      </c>
      <c r="BT96" s="835"/>
      <c r="BU96" s="821">
        <v>0.05</v>
      </c>
      <c r="BX96" s="666" t="str">
        <f t="shared" si="21"/>
        <v>Sep</v>
      </c>
      <c r="BY96" s="643">
        <f>IF(CB96=$CB97,SUMIF($BI85:$BI96,$BX96,$BR85:$BR96),SUMIF($BI85:$BI96,$BX96,$BM85:$BM96))</f>
        <v>33.549999999999997</v>
      </c>
      <c r="BZ96" s="821">
        <f>IF(IF(CB96=CB97,SUMIF(BI85:BI96,$BX96,BU85:BU96),SUMIF(BI85:BI96,$BX96,BP85:BP96))=0,NA(),IF(CB96=CB97,SUMIF(BI85:BI96,$BX96,BU85:BU96),SUMIF(BI85:BI96,$BX96,BP85:BP96)))</f>
        <v>0.05</v>
      </c>
      <c r="CA96" s="644">
        <f>IF(IF(CB96=CB97,SUMIF(BI85:BI96,$BX96,BS85:BS96),SUMIF(BI85:BI96,$BX96,BN85:BN96))=0,NA(),IF(CB96=CB97,SUMIF(BI85:BI96,$BX96,BS85:BS96),SUMIF(BI85:BI96,$BX96,BN85:BN96)))</f>
        <v>4.2146050670640839E-2</v>
      </c>
      <c r="CB96" s="645">
        <f t="shared" si="25"/>
        <v>23</v>
      </c>
      <c r="CC96" s="645">
        <f>IF(CC97-1&lt;1,CC97+11,CC97-1)</f>
        <v>9</v>
      </c>
    </row>
    <row r="97" spans="2:81" ht="15" customHeight="1">
      <c r="BI97" s="6"/>
      <c r="BJ97" s="6"/>
      <c r="BK97" s="6"/>
      <c r="BL97" s="6"/>
      <c r="BM97" s="6"/>
      <c r="BN97" s="6"/>
      <c r="BO97" s="6"/>
      <c r="BP97" s="6"/>
      <c r="BQ97" s="6"/>
      <c r="BR97" s="6"/>
      <c r="BS97" s="6"/>
      <c r="BT97" s="6"/>
      <c r="BU97" s="6"/>
      <c r="BW97" s="667" t="str">
        <f>Cover!$M$34</f>
        <v>OCT FY-24</v>
      </c>
      <c r="BX97" s="666" t="str">
        <f>TEXT(CONCATENATE(CC97,"/01/20",CB97),"MMM")</f>
        <v>Oct</v>
      </c>
      <c r="BY97" s="643">
        <f>SUMIF($BI85:$BI96,$BX97,$BR85:$BR96)</f>
        <v>25.474</v>
      </c>
      <c r="BZ97" s="821">
        <f>IF(IF(CB97=CB97,SUMIF(BI85:BI96,$BX97,BU85:BU96),SUMIF(BI85:BI96,$BX97,BP85:BP96))=0,NA(),IF(CB97=CB97,SUMIF(BI85:BI96,$BX97,BU85:BU96),SUMIF(BI85:BI96,$BX97,BP85:BP96)))</f>
        <v>0.05</v>
      </c>
      <c r="CA97" s="644">
        <f>IF(SUMIF($BI85:$BI96,$BX97,$BS85:$BS96)=0,NA(),SUMIF($BI85:$BI96,$BX97,$BS85:$BS96))</f>
        <v>4.1022218732825626E-2</v>
      </c>
      <c r="CB97" s="645">
        <f t="shared" si="25"/>
        <v>24</v>
      </c>
      <c r="CC97" s="645">
        <f>MONTH(DATEVALUE(LEFT(BW97,3)&amp;" 1"))</f>
        <v>10</v>
      </c>
    </row>
    <row r="98" spans="2:81" ht="15" customHeight="1">
      <c r="BJ98" s="6"/>
      <c r="BK98" s="6"/>
      <c r="BL98" s="6"/>
      <c r="BM98" s="6"/>
      <c r="BN98" s="6"/>
      <c r="BO98" s="6"/>
      <c r="BP98" s="6"/>
      <c r="BQ98" s="6"/>
      <c r="BR98" s="6"/>
      <c r="BS98" s="6"/>
      <c r="BT98" s="6"/>
      <c r="BU98" s="6"/>
    </row>
    <row r="99" spans="2:81" ht="15" customHeight="1">
      <c r="BI99" s="54" t="s">
        <v>292</v>
      </c>
      <c r="BJ99" s="287" t="s">
        <v>477</v>
      </c>
      <c r="BK99" s="287"/>
      <c r="BL99" s="287"/>
      <c r="BM99" s="287"/>
      <c r="BN99" s="287"/>
      <c r="BO99" s="287"/>
      <c r="BP99" s="287"/>
      <c r="BQ99" s="287"/>
      <c r="BR99" s="287"/>
      <c r="BS99" s="287"/>
      <c r="BT99" s="287"/>
      <c r="BU99" s="287"/>
    </row>
    <row r="100" spans="2:81" ht="15" customHeight="1">
      <c r="BI100" s="54" t="s">
        <v>296</v>
      </c>
      <c r="BJ100" s="283" t="s">
        <v>156</v>
      </c>
      <c r="BK100" s="283"/>
      <c r="BL100" s="283"/>
      <c r="BM100" s="283"/>
      <c r="BN100" s="283"/>
      <c r="BO100" s="283"/>
      <c r="BP100" s="283"/>
      <c r="BQ100" s="283"/>
      <c r="BR100" s="283"/>
      <c r="BS100" s="283"/>
      <c r="BT100" s="283"/>
      <c r="BU100" s="283"/>
    </row>
    <row r="101" spans="2:81" ht="15" customHeight="1" thickBot="1">
      <c r="BI101" s="54" t="s">
        <v>300</v>
      </c>
      <c r="BJ101" s="283" t="s">
        <v>472</v>
      </c>
      <c r="BK101" s="283"/>
      <c r="BL101" s="283"/>
      <c r="BM101" s="283"/>
      <c r="BN101" s="283"/>
      <c r="BO101" s="283"/>
      <c r="BP101" s="283"/>
      <c r="BQ101" s="283"/>
      <c r="BR101" s="283"/>
      <c r="BS101" s="283"/>
      <c r="BT101" s="283"/>
      <c r="BU101" s="283"/>
    </row>
    <row r="102" spans="2:81" ht="15" customHeight="1" thickBot="1">
      <c r="BI102" s="1402" t="s">
        <v>7</v>
      </c>
      <c r="BJ102" s="1403"/>
      <c r="BK102" s="1404"/>
      <c r="BL102" s="1402" t="s">
        <v>302</v>
      </c>
      <c r="BM102" s="1403"/>
      <c r="BN102" s="1403"/>
      <c r="BO102" s="1403"/>
      <c r="BP102" s="1404"/>
      <c r="BQ102" s="1402" t="s">
        <v>719</v>
      </c>
      <c r="BR102" s="1403"/>
      <c r="BS102" s="1403"/>
      <c r="BT102" s="1403"/>
      <c r="BU102" s="1404"/>
      <c r="BW102" s="567" t="s">
        <v>303</v>
      </c>
      <c r="BX102" s="568"/>
      <c r="BY102" s="568"/>
      <c r="BZ102" s="568"/>
      <c r="CA102" s="568"/>
      <c r="CB102" s="568"/>
      <c r="CC102" s="569"/>
    </row>
    <row r="103" spans="2:81" ht="15" customHeight="1">
      <c r="BI103" s="636" t="s">
        <v>23</v>
      </c>
      <c r="BJ103" s="636" t="s">
        <v>37</v>
      </c>
      <c r="BK103" s="636" t="s">
        <v>304</v>
      </c>
      <c r="BL103" s="637" t="s">
        <v>305</v>
      </c>
      <c r="BM103" s="637" t="s">
        <v>310</v>
      </c>
      <c r="BN103" s="637" t="s">
        <v>311</v>
      </c>
      <c r="BO103" s="278" t="s">
        <v>312</v>
      </c>
      <c r="BP103" s="637" t="s">
        <v>313</v>
      </c>
      <c r="BQ103" s="637" t="s">
        <v>305</v>
      </c>
      <c r="BR103" s="637" t="s">
        <v>715</v>
      </c>
      <c r="BS103" s="637" t="s">
        <v>716</v>
      </c>
      <c r="BT103" s="278" t="s">
        <v>717</v>
      </c>
      <c r="BU103" s="637" t="s">
        <v>718</v>
      </c>
      <c r="BW103" s="279" t="s">
        <v>314</v>
      </c>
      <c r="BX103" s="279" t="s">
        <v>23</v>
      </c>
      <c r="BY103" s="280" t="s">
        <v>315</v>
      </c>
      <c r="BZ103" s="279" t="s">
        <v>122</v>
      </c>
      <c r="CA103" s="279" t="s">
        <v>316</v>
      </c>
      <c r="CB103" s="279" t="s">
        <v>317</v>
      </c>
      <c r="CC103" s="279" t="s">
        <v>318</v>
      </c>
    </row>
    <row r="104" spans="2:81" ht="15" customHeight="1">
      <c r="BI104" s="638" t="s">
        <v>319</v>
      </c>
      <c r="BJ104" s="638">
        <v>1</v>
      </c>
      <c r="BK104" s="638" t="s">
        <v>320</v>
      </c>
      <c r="BL104" s="690">
        <v>9.2509999999999994</v>
      </c>
      <c r="BM104" s="869">
        <f>IF(BM66="","",BM66)</f>
        <v>14.872</v>
      </c>
      <c r="BN104" s="653">
        <f>IF(BM104="","",BL104/BM104)</f>
        <v>0.62204142011834318</v>
      </c>
      <c r="BO104" s="289">
        <f>IF(SUM(BM104:BM106=0),0,SUM(BL104:BL106)/SUM(BM104:BM106))</f>
        <v>0.67379609705424059</v>
      </c>
      <c r="BP104" s="819">
        <v>0.8</v>
      </c>
      <c r="BQ104" s="690">
        <v>19.721</v>
      </c>
      <c r="BR104" s="825">
        <f>IF(BR66="","",BR66)</f>
        <v>22.855</v>
      </c>
      <c r="BS104" s="842">
        <f>IF(BR104="","",BQ104/BR104)</f>
        <v>0.86287464449792162</v>
      </c>
      <c r="BT104" s="289">
        <f>IF(SUM(BR104:BR106=""),0,SUM(BQ104:BQ106)/SUM(BR104:BR106))</f>
        <v>0.86287464449792162</v>
      </c>
      <c r="BU104" s="657">
        <v>0.8</v>
      </c>
      <c r="BX104" s="666" t="str">
        <f t="shared" ref="BX104:BX115" si="26">TEXT(CONCATENATE(CC104,"/01/20",CB104),"MMM")</f>
        <v>Oct</v>
      </c>
      <c r="BY104" s="643">
        <f>IF(CB104=$CB116,SUMIF($BI104:$BI115,$BX104,$BR104:$BR115),SUMIF($BI104:$BI115,$BX104,$BM104:$BM115))</f>
        <v>14.872</v>
      </c>
      <c r="BZ104" s="821">
        <f>IF(IF(CB104=CB116,SUMIF(BI104:BI115,$BX104,BU104:BU115),SUMIF(BI104:BI115,$BX104,BP104:BP115))=0,NA(),IF(CB104=CB116,SUMIF(BI104:BI115,$BX104,BU104:BU115),SUMIF(BI104:BI115,$BX104,BP104:BP115)))</f>
        <v>0.8</v>
      </c>
      <c r="CA104" s="644">
        <f>IF(IF(CB104=CB116,SUMIF(BI104:BI115,$BX104,BS104:BS115),SUMIF(BI104:BI115,$BX104,BN104:BN115))=0,NA(),IF(CB104=CB116,SUMIF(BI104:BI115,$BX104,BS104:BS115),SUMIF(BI104:BI115,$BX104,BN104:BN115)))</f>
        <v>0.62204142011834318</v>
      </c>
      <c r="CB104" s="645">
        <f>CB85</f>
        <v>23</v>
      </c>
      <c r="CC104" s="645">
        <f t="shared" ref="CC104:CC114" si="27">IF(CC105-1&lt;1,CC105+11,CC105-1)</f>
        <v>10</v>
      </c>
    </row>
    <row r="105" spans="2:81" ht="15" customHeight="1">
      <c r="BI105" s="638" t="s">
        <v>321</v>
      </c>
      <c r="BJ105" s="638">
        <v>2</v>
      </c>
      <c r="BK105" s="638" t="s">
        <v>320</v>
      </c>
      <c r="BL105" s="690">
        <v>11.907</v>
      </c>
      <c r="BM105" s="869">
        <f t="shared" ref="BM105:BM115" si="28">IF(BM67="","",BM67)</f>
        <v>17.82</v>
      </c>
      <c r="BN105" s="653">
        <f t="shared" ref="BN105:BN115" si="29">IF(BM105="","",BL105/BM105)</f>
        <v>0.66818181818181821</v>
      </c>
      <c r="BO105" s="835"/>
      <c r="BP105" s="819">
        <v>0.8</v>
      </c>
      <c r="BQ105" s="690"/>
      <c r="BR105" s="825" t="str">
        <f t="shared" ref="BR105:BR114" si="30">IF(BR67="","",BR67)</f>
        <v/>
      </c>
      <c r="BS105" s="842" t="str">
        <f t="shared" ref="BS105:BS115" si="31">IF(BR105="","",BQ105/BR105)</f>
        <v/>
      </c>
      <c r="BT105" s="835"/>
      <c r="BU105" s="657">
        <v>0.8</v>
      </c>
      <c r="BX105" s="666" t="str">
        <f t="shared" si="26"/>
        <v>Nov</v>
      </c>
      <c r="BY105" s="643">
        <f>IF(CB105=$CB116,SUMIF($BI104:$BI115,$BX105,$BR104:$BR115),SUMIF($BI104:$BI115,$BX105,$BM104:$BM115))</f>
        <v>17.82</v>
      </c>
      <c r="BZ105" s="821">
        <f>IF(IF(CB105=CB116,SUMIF(BI104:BI115,$BX105,BU104:BU115),SUMIF(BI104:BI115,$BX105,BP104:BP115))=0,NA(),IF(CB105=CB116,SUMIF(BI104:BI115,$BX105,BU104:BU115),SUMIF(BI104:BI115,$BX105,BP104:BP115)))</f>
        <v>0.8</v>
      </c>
      <c r="CA105" s="644">
        <f>IF(IF(CB105=CB116,SUMIF(BI104:BI115,$BX105,BS104:BS115),SUMIF(BI104:BI115,$BX105,BN104:BN115))=0,NA(),IF(CB105=CB116,SUMIF(BI104:BI115,$BX105,BS104:BS115),SUMIF(BI104:BI115,$BX105,BN104:BN115)))</f>
        <v>0.66818181818181821</v>
      </c>
      <c r="CB105" s="645">
        <f t="shared" ref="CB105:CB116" si="32">CB86</f>
        <v>23</v>
      </c>
      <c r="CC105" s="645">
        <f t="shared" si="27"/>
        <v>11</v>
      </c>
    </row>
    <row r="106" spans="2:81" ht="15" customHeight="1">
      <c r="BI106" s="638" t="s">
        <v>322</v>
      </c>
      <c r="BJ106" s="638">
        <v>3</v>
      </c>
      <c r="BK106" s="638" t="s">
        <v>320</v>
      </c>
      <c r="BL106" s="690">
        <v>15.164999999999999</v>
      </c>
      <c r="BM106" s="869">
        <f t="shared" si="28"/>
        <v>21.216000000000001</v>
      </c>
      <c r="BN106" s="653">
        <f t="shared" si="29"/>
        <v>0.71479072398190036</v>
      </c>
      <c r="BO106" s="835"/>
      <c r="BP106" s="819">
        <v>0.8</v>
      </c>
      <c r="BQ106" s="690"/>
      <c r="BR106" s="825" t="str">
        <f t="shared" si="30"/>
        <v/>
      </c>
      <c r="BS106" s="842" t="str">
        <f t="shared" si="31"/>
        <v/>
      </c>
      <c r="BT106" s="835"/>
      <c r="BU106" s="657">
        <v>0.8</v>
      </c>
      <c r="BX106" s="666" t="str">
        <f t="shared" si="26"/>
        <v>Dec</v>
      </c>
      <c r="BY106" s="643">
        <f>IF(CB106=$CB116,SUMIF($BI104:$BI115,$BX106,$BR104:$BR115),SUMIF($BI104:$BI115,$BX106,$BM104:$BM115))</f>
        <v>21.216000000000001</v>
      </c>
      <c r="BZ106" s="821">
        <f>IF(IF(CB106=CB116,SUMIF(BI104:BI115,$BX106,BU104:BU115),SUMIF(BI104:BI115,$BX106,BP104:BP115))=0,NA(),IF(CB106=CB116,SUMIF(BI104:BI115,$BX106,BU104:BU115),SUMIF(BI104:BI115,$BX106,BP104:BP115)))</f>
        <v>0.8</v>
      </c>
      <c r="CA106" s="644">
        <f>IF(IF(CB106=CB116,SUMIF(BI104:BI115,$BX106,BS104:BS115),SUMIF(BI104:BI115,$BX106,BN104:BN115))=0,NA(),IF(CB106=CB116,SUMIF(BI104:BI115,$BX106,BS104:BS115),SUMIF(BI104:BI115,$BX106,BN104:BN115)))</f>
        <v>0.71479072398190036</v>
      </c>
      <c r="CB106" s="645">
        <f t="shared" si="32"/>
        <v>23</v>
      </c>
      <c r="CC106" s="645">
        <f t="shared" si="27"/>
        <v>12</v>
      </c>
    </row>
    <row r="107" spans="2:81" ht="15" customHeight="1">
      <c r="BI107" s="638" t="s">
        <v>323</v>
      </c>
      <c r="BJ107" s="638">
        <v>4</v>
      </c>
      <c r="BK107" s="638" t="s">
        <v>324</v>
      </c>
      <c r="BL107" s="690">
        <v>17.396999999999998</v>
      </c>
      <c r="BM107" s="869">
        <f t="shared" si="28"/>
        <v>19.876999999999999</v>
      </c>
      <c r="BN107" s="653">
        <f t="shared" si="29"/>
        <v>0.87523268098807661</v>
      </c>
      <c r="BO107" s="289">
        <f>IF(SUM(BM107:BM109=0),0,SUM(BL107:BL109)/SUM(BM107:BM109))</f>
        <v>0.90935751547422772</v>
      </c>
      <c r="BP107" s="819">
        <v>0.8</v>
      </c>
      <c r="BQ107" s="690"/>
      <c r="BR107" s="825" t="str">
        <f t="shared" si="30"/>
        <v/>
      </c>
      <c r="BS107" s="842" t="str">
        <f t="shared" si="31"/>
        <v/>
      </c>
      <c r="BT107" s="289">
        <f>IF(SUM(BR107:BR109=""),0,SUM(BQ107:BQ109)/SUM(BR107:BR109))</f>
        <v>0</v>
      </c>
      <c r="BU107" s="657">
        <v>0.8</v>
      </c>
      <c r="BX107" s="666" t="str">
        <f t="shared" si="26"/>
        <v>Jan</v>
      </c>
      <c r="BY107" s="643">
        <f>IF(CB107=$CB116,SUMIF($BI104:$BI115,$BX107,$BR104:$BR115),SUMIF($BI104:$BI115,$BX107,$BM104:$BM115))</f>
        <v>19.876999999999999</v>
      </c>
      <c r="BZ107" s="821">
        <f>IF(IF(CB107=CB116,SUMIF(BI104:BI115,$BX107,BU104:BU115),SUMIF(BI104:BI115,$BX107,BP104:BP115))=0,NA(),IF(CB107=CB116,SUMIF(BI104:BI115,$BX107,BU104:BU115),SUMIF(BI104:BI115,$BX107,BP104:BP115)))</f>
        <v>0.8</v>
      </c>
      <c r="CA107" s="644">
        <f>IF(IF(CB107=CB116,SUMIF(BI104:BI115,$BX107,BS104:BS115),SUMIF(BI104:BI115,$BX107,BN104:BN115))=0,NA(),IF(CB107=CB116,SUMIF(BI104:BI115,$BX107,BS104:BS115),SUMIF(BI104:BI115,$BX107,BN104:BN115)))</f>
        <v>0.87523268098807661</v>
      </c>
      <c r="CB107" s="645">
        <f t="shared" si="32"/>
        <v>23</v>
      </c>
      <c r="CC107" s="645">
        <f t="shared" si="27"/>
        <v>1</v>
      </c>
    </row>
    <row r="108" spans="2:81" ht="15" customHeight="1">
      <c r="BI108" s="638" t="s">
        <v>325</v>
      </c>
      <c r="BJ108" s="638">
        <v>5</v>
      </c>
      <c r="BK108" s="638" t="s">
        <v>324</v>
      </c>
      <c r="BL108" s="690">
        <v>21.506</v>
      </c>
      <c r="BM108" s="869">
        <f t="shared" si="28"/>
        <v>23.61</v>
      </c>
      <c r="BN108" s="653">
        <f t="shared" si="29"/>
        <v>0.9108852181279119</v>
      </c>
      <c r="BO108" s="835"/>
      <c r="BP108" s="819">
        <v>0.8</v>
      </c>
      <c r="BQ108" s="690"/>
      <c r="BR108" s="825" t="str">
        <f t="shared" si="30"/>
        <v/>
      </c>
      <c r="BS108" s="842" t="str">
        <f t="shared" si="31"/>
        <v/>
      </c>
      <c r="BT108" s="835"/>
      <c r="BU108" s="657">
        <v>0.8</v>
      </c>
      <c r="BX108" s="666" t="str">
        <f t="shared" si="26"/>
        <v>Feb</v>
      </c>
      <c r="BY108" s="643">
        <f>IF(CB108=$CB116,SUMIF($BI104:$BI115,$BX108,$BR104:$BR115),SUMIF($BI104:$BI115,$BX108,$BM104:$BM115))</f>
        <v>23.61</v>
      </c>
      <c r="BZ108" s="821">
        <f>IF(IF(CB108=CB116,SUMIF(BI104:BI115,$BX108,BU104:BU115),SUMIF(BI104:BI115,$BX108,BP104:BP115))=0,NA(),IF(CB108=CB116,SUMIF(BI104:BI115,$BX108,BU104:BU115),SUMIF(BI104:BI115,$BX108,BP104:BP115)))</f>
        <v>0.8</v>
      </c>
      <c r="CA108" s="644">
        <f>IF(IF(CB108=CB116,SUMIF(BI104:BI115,$BX108,BS104:BS115),SUMIF(BI104:BI115,$BX108,BN104:BN115))=0,NA(),IF(CB108=CB116,SUMIF(BI104:BI115,$BX108,BS104:BS115),SUMIF(BI104:BI115,$BX108,BN104:BN115)))</f>
        <v>0.9108852181279119</v>
      </c>
      <c r="CB108" s="645">
        <f t="shared" si="32"/>
        <v>23</v>
      </c>
      <c r="CC108" s="645">
        <f t="shared" si="27"/>
        <v>2</v>
      </c>
    </row>
    <row r="109" spans="2:81" ht="15" customHeight="1">
      <c r="B109" s="267" t="s">
        <v>242</v>
      </c>
      <c r="C109" s="267"/>
      <c r="D109" s="267"/>
      <c r="E109" s="334"/>
      <c r="F109" s="326"/>
      <c r="G109" s="326"/>
      <c r="H109" s="326"/>
      <c r="I109" s="326"/>
      <c r="J109" s="326"/>
      <c r="K109" s="326"/>
      <c r="L109" s="326"/>
      <c r="M109" s="326"/>
      <c r="N109" s="326"/>
      <c r="O109" s="326"/>
      <c r="P109" s="326"/>
      <c r="Q109" s="326"/>
      <c r="R109" s="326"/>
      <c r="S109" s="326"/>
      <c r="T109" s="326"/>
      <c r="U109" s="326"/>
      <c r="V109" s="326"/>
      <c r="W109" s="326"/>
      <c r="X109" s="326"/>
      <c r="Y109" s="326"/>
      <c r="Z109" s="326"/>
      <c r="AA109" s="326"/>
      <c r="AB109" s="326"/>
      <c r="BI109" s="638" t="s">
        <v>326</v>
      </c>
      <c r="BJ109" s="638">
        <v>6</v>
      </c>
      <c r="BK109" s="638" t="s">
        <v>324</v>
      </c>
      <c r="BL109" s="690">
        <v>28.384</v>
      </c>
      <c r="BM109" s="869">
        <f t="shared" si="28"/>
        <v>30.507000000000001</v>
      </c>
      <c r="BN109" s="653">
        <f t="shared" si="29"/>
        <v>0.93040941423279899</v>
      </c>
      <c r="BO109" s="835"/>
      <c r="BP109" s="819">
        <v>0.8</v>
      </c>
      <c r="BQ109" s="690"/>
      <c r="BR109" s="825" t="str">
        <f t="shared" si="30"/>
        <v/>
      </c>
      <c r="BS109" s="842" t="str">
        <f t="shared" si="31"/>
        <v/>
      </c>
      <c r="BT109" s="835"/>
      <c r="BU109" s="657">
        <v>0.8</v>
      </c>
      <c r="BX109" s="666" t="str">
        <f t="shared" si="26"/>
        <v>Mar</v>
      </c>
      <c r="BY109" s="643">
        <f>IF(CB109=$CB116,SUMIF($BI104:$BI115,$BX109,$BR104:$BR115),SUMIF($BI104:$BI115,$BX109,$BM104:$BM115))</f>
        <v>30.507000000000001</v>
      </c>
      <c r="BZ109" s="821">
        <f>IF(IF(CB109=CB116,SUMIF(BI104:BI115,$BX109,BU104:BU115),SUMIF(BI104:BI115,$BX109,BP104:BP115))=0,NA(),IF(CB109=CB116,SUMIF(BI104:BI115,$BX109,BU104:BU115),SUMIF(BI104:BI115,$BX109,BP104:BP115)))</f>
        <v>0.8</v>
      </c>
      <c r="CA109" s="644">
        <f>IF(IF(CB109=CB116,SUMIF(BI104:BI115,$BX109,BS104:BS115),SUMIF(BI104:BI115,$BX109,BN104:BN115))=0,NA(),IF(CB109=CB116,SUMIF(BI104:BI115,$BX109,BS104:BS115),SUMIF(BI104:BI115,$BX109,BN104:BN115)))</f>
        <v>0.93040941423279899</v>
      </c>
      <c r="CB109" s="645">
        <f t="shared" si="32"/>
        <v>23</v>
      </c>
      <c r="CC109" s="645">
        <f t="shared" si="27"/>
        <v>3</v>
      </c>
    </row>
    <row r="110" spans="2:81" ht="15" customHeight="1">
      <c r="B110" s="1137" t="s">
        <v>774</v>
      </c>
      <c r="C110" s="1138"/>
      <c r="D110" s="1138"/>
      <c r="E110" s="1138"/>
      <c r="F110" s="1138"/>
      <c r="G110" s="1138"/>
      <c r="H110" s="1138"/>
      <c r="I110" s="1138"/>
      <c r="J110" s="1138"/>
      <c r="K110" s="1138"/>
      <c r="L110" s="1138"/>
      <c r="M110" s="1138"/>
      <c r="N110" s="1138"/>
      <c r="O110" s="1138"/>
      <c r="P110" s="1138"/>
      <c r="Q110" s="1138"/>
      <c r="R110" s="1138"/>
      <c r="S110" s="1138"/>
      <c r="T110" s="1138"/>
      <c r="U110" s="1138"/>
      <c r="V110" s="1138"/>
      <c r="W110" s="1138"/>
      <c r="X110" s="1138"/>
      <c r="Y110" s="1138"/>
      <c r="Z110" s="1138"/>
      <c r="AA110" s="1138"/>
      <c r="AB110" s="1139"/>
      <c r="BI110" s="638" t="s">
        <v>327</v>
      </c>
      <c r="BJ110" s="638">
        <v>7</v>
      </c>
      <c r="BK110" s="638" t="s">
        <v>328</v>
      </c>
      <c r="BL110" s="690">
        <v>20.931999999999999</v>
      </c>
      <c r="BM110" s="869">
        <f t="shared" si="28"/>
        <v>22.803000000000001</v>
      </c>
      <c r="BN110" s="653">
        <f t="shared" si="29"/>
        <v>0.9179493926237775</v>
      </c>
      <c r="BO110" s="289">
        <f>IF(SUM(BM110:BM112=0),0,SUM(BL110:BL112)/SUM(BM110:BM112))</f>
        <v>0.910193763416563</v>
      </c>
      <c r="BP110" s="819">
        <v>0.8</v>
      </c>
      <c r="BQ110" s="690"/>
      <c r="BR110" s="825" t="str">
        <f t="shared" si="30"/>
        <v/>
      </c>
      <c r="BS110" s="842" t="str">
        <f>IF(BR110="","",BQ110/BR110)</f>
        <v/>
      </c>
      <c r="BT110" s="289">
        <f>IF(SUM(BR110:BR112=""),0,SUM(BQ110:BQ112)/SUM(BR110:BR112))</f>
        <v>0</v>
      </c>
      <c r="BU110" s="657">
        <v>0.8</v>
      </c>
      <c r="BX110" s="666" t="str">
        <f t="shared" si="26"/>
        <v>Apr</v>
      </c>
      <c r="BY110" s="643">
        <f>IF(CB110=$CB116,SUMIF($BI104:$BI115,$BX110,$BR104:$BR115),SUMIF($BI104:$BI115,$BX110,$BM104:$BM115))</f>
        <v>22.803000000000001</v>
      </c>
      <c r="BZ110" s="821">
        <f>IF(IF(CB110=CB116,SUMIF(BI104:BI115,$BX110,BU104:BU115),SUMIF(BI104:BI115,$BX110,BP104:BP115))=0,NA(),IF(CB110=CB116,SUMIF(BI104:BI115,$BX110,BU104:BU115),SUMIF(BI104:BI115,$BX110,BP104:BP115)))</f>
        <v>0.8</v>
      </c>
      <c r="CA110" s="644">
        <f>IF(IF(CB110=CB116,SUMIF(BI104:BI115,$BX110,BS104:BS115),SUMIF(BI104:BI115,$BX110,BN104:BN115))=0,NA(),IF(CB110=CB116,SUMIF(BI104:BI115,$BX110,BS104:BS115),SUMIF(BI104:BI115,$BX110,BN104:BN115)))</f>
        <v>0.9179493926237775</v>
      </c>
      <c r="CB110" s="645">
        <f t="shared" si="32"/>
        <v>23</v>
      </c>
      <c r="CC110" s="645">
        <f t="shared" si="27"/>
        <v>4</v>
      </c>
    </row>
    <row r="111" spans="2:81" ht="15" customHeight="1">
      <c r="B111" s="1140"/>
      <c r="C111" s="1141"/>
      <c r="D111" s="1141"/>
      <c r="E111" s="1141"/>
      <c r="F111" s="1141"/>
      <c r="G111" s="1141"/>
      <c r="H111" s="1141"/>
      <c r="I111" s="1141"/>
      <c r="J111" s="1141"/>
      <c r="K111" s="1141"/>
      <c r="L111" s="1141"/>
      <c r="M111" s="1141"/>
      <c r="N111" s="1141"/>
      <c r="O111" s="1141"/>
      <c r="P111" s="1141"/>
      <c r="Q111" s="1141"/>
      <c r="R111" s="1141"/>
      <c r="S111" s="1141"/>
      <c r="T111" s="1141"/>
      <c r="U111" s="1141"/>
      <c r="V111" s="1141"/>
      <c r="W111" s="1141"/>
      <c r="X111" s="1141"/>
      <c r="Y111" s="1141"/>
      <c r="Z111" s="1141"/>
      <c r="AA111" s="1141"/>
      <c r="AB111" s="1142"/>
      <c r="BI111" s="638" t="s">
        <v>329</v>
      </c>
      <c r="BJ111" s="638">
        <v>8</v>
      </c>
      <c r="BK111" s="638" t="s">
        <v>328</v>
      </c>
      <c r="BL111" s="690">
        <v>19.922000000000001</v>
      </c>
      <c r="BM111" s="869">
        <f t="shared" si="28"/>
        <v>21.344000000000001</v>
      </c>
      <c r="BN111" s="653">
        <f t="shared" si="29"/>
        <v>0.93337706146926536</v>
      </c>
      <c r="BO111" s="835"/>
      <c r="BP111" s="819">
        <v>0.8</v>
      </c>
      <c r="BQ111" s="690"/>
      <c r="BR111" s="825" t="str">
        <f t="shared" si="30"/>
        <v/>
      </c>
      <c r="BS111" s="842" t="str">
        <f t="shared" si="31"/>
        <v/>
      </c>
      <c r="BT111" s="835"/>
      <c r="BU111" s="657">
        <v>0.8</v>
      </c>
      <c r="BX111" s="666" t="str">
        <f t="shared" si="26"/>
        <v>May</v>
      </c>
      <c r="BY111" s="643">
        <f>IF(CB111=$CB116,SUMIF($BI104:$BI115,$BX111,$BR104:$BR115),SUMIF($BI104:$BI115,$BX111,$BM104:$BM115))</f>
        <v>21.344000000000001</v>
      </c>
      <c r="BZ111" s="821">
        <f>IF(IF(CB111=CB116,SUMIF(BI104:BI115,$BX111,BU104:BU115),SUMIF(BI104:BI115,$BX111,BP104:BP115))=0,NA(),IF(CB111=CB116,SUMIF(BI104:BI115,$BX111,BU104:BU115),SUMIF(BI104:BI115,$BX111,BP104:BP115)))</f>
        <v>0.8</v>
      </c>
      <c r="CA111" s="644">
        <f>IF(IF(CB111=CB116,SUMIF(BI104:BI115,$BX111,BS104:BS115),SUMIF(BI104:BI115,$BX111,BN104:BN115))=0,NA(),IF(CB111=CB116,SUMIF(BI104:BI115,$BX111,BS104:BS115),SUMIF(BI104:BI115,$BX111,BN104:BN115)))</f>
        <v>0.93337706146926536</v>
      </c>
      <c r="CB111" s="645">
        <f t="shared" si="32"/>
        <v>23</v>
      </c>
      <c r="CC111" s="645">
        <f t="shared" si="27"/>
        <v>5</v>
      </c>
    </row>
    <row r="112" spans="2:81" ht="15" customHeight="1">
      <c r="B112" s="1140"/>
      <c r="C112" s="1141"/>
      <c r="D112" s="1141"/>
      <c r="E112" s="1141"/>
      <c r="F112" s="1141"/>
      <c r="G112" s="1141"/>
      <c r="H112" s="1141"/>
      <c r="I112" s="1141"/>
      <c r="J112" s="1141"/>
      <c r="K112" s="1141"/>
      <c r="L112" s="1141"/>
      <c r="M112" s="1141"/>
      <c r="N112" s="1141"/>
      <c r="O112" s="1141"/>
      <c r="P112" s="1141"/>
      <c r="Q112" s="1141"/>
      <c r="R112" s="1141"/>
      <c r="S112" s="1141"/>
      <c r="T112" s="1141"/>
      <c r="U112" s="1141"/>
      <c r="V112" s="1141"/>
      <c r="W112" s="1141"/>
      <c r="X112" s="1141"/>
      <c r="Y112" s="1141"/>
      <c r="Z112" s="1141"/>
      <c r="AA112" s="1141"/>
      <c r="AB112" s="1142"/>
      <c r="BI112" s="638" t="s">
        <v>331</v>
      </c>
      <c r="BJ112" s="638">
        <v>9</v>
      </c>
      <c r="BK112" s="638" t="s">
        <v>328</v>
      </c>
      <c r="BL112" s="690">
        <v>23.594999999999999</v>
      </c>
      <c r="BM112" s="869">
        <f t="shared" si="28"/>
        <v>26.661000000000001</v>
      </c>
      <c r="BN112" s="653">
        <f t="shared" si="29"/>
        <v>0.88500056261955662</v>
      </c>
      <c r="BO112" s="835"/>
      <c r="BP112" s="819">
        <v>0.8</v>
      </c>
      <c r="BQ112" s="690"/>
      <c r="BR112" s="825" t="str">
        <f t="shared" si="30"/>
        <v/>
      </c>
      <c r="BS112" s="842" t="str">
        <f t="shared" si="31"/>
        <v/>
      </c>
      <c r="BT112" s="835"/>
      <c r="BU112" s="657">
        <v>0.8</v>
      </c>
      <c r="BX112" s="666" t="str">
        <f t="shared" si="26"/>
        <v>Jun</v>
      </c>
      <c r="BY112" s="643">
        <f>IF(CB112=$CB116,SUMIF($BI104:$BI115,$BX112,$BR104:$BR115),SUMIF($BI104:$BI115,$BX112,$BM104:$BM115))</f>
        <v>26.661000000000001</v>
      </c>
      <c r="BZ112" s="821">
        <f>IF(IF(CB112=CB116,SUMIF(BI104:BI115,$BX112,BU104:BU115),SUMIF(BI104:BI115,$BX112,BP104:BP115))=0,NA(),IF(CB112=CB116,SUMIF(BI104:BI115,$BX112,BU104:BU115),SUMIF(BI104:BI115,$BX112,BP104:BP115)))</f>
        <v>0.8</v>
      </c>
      <c r="CA112" s="644">
        <f>IF(IF(CB112=CB116,SUMIF(BI104:BI115,$BX112,BS104:BS115),SUMIF(BI104:BI115,$BX112,BN104:BN115))=0,NA(),IF(CB112=CB116,SUMIF(BI104:BI115,$BX112,BS104:BS115),SUMIF(BI104:BI115,$BX112,BN104:BN115)))</f>
        <v>0.88500056261955662</v>
      </c>
      <c r="CB112" s="645">
        <f t="shared" si="32"/>
        <v>23</v>
      </c>
      <c r="CC112" s="645">
        <f t="shared" si="27"/>
        <v>6</v>
      </c>
    </row>
    <row r="113" spans="2:81" ht="15" customHeight="1">
      <c r="B113" s="1143"/>
      <c r="C113" s="1144"/>
      <c r="D113" s="1144"/>
      <c r="E113" s="1144"/>
      <c r="F113" s="1144"/>
      <c r="G113" s="1144"/>
      <c r="H113" s="1144"/>
      <c r="I113" s="1144"/>
      <c r="J113" s="1144"/>
      <c r="K113" s="1144"/>
      <c r="L113" s="1144"/>
      <c r="M113" s="1144"/>
      <c r="N113" s="1144"/>
      <c r="O113" s="1144"/>
      <c r="P113" s="1144"/>
      <c r="Q113" s="1144"/>
      <c r="R113" s="1144"/>
      <c r="S113" s="1144"/>
      <c r="T113" s="1144"/>
      <c r="U113" s="1144"/>
      <c r="V113" s="1144"/>
      <c r="W113" s="1144"/>
      <c r="X113" s="1144"/>
      <c r="Y113" s="1144"/>
      <c r="Z113" s="1144"/>
      <c r="AA113" s="1144"/>
      <c r="AB113" s="1145"/>
      <c r="BI113" s="638" t="s">
        <v>337</v>
      </c>
      <c r="BJ113" s="638">
        <v>10</v>
      </c>
      <c r="BK113" s="638" t="s">
        <v>338</v>
      </c>
      <c r="BL113" s="690">
        <v>18.86</v>
      </c>
      <c r="BM113" s="869">
        <f t="shared" si="28"/>
        <v>21.687000000000001</v>
      </c>
      <c r="BN113" s="653">
        <f t="shared" si="29"/>
        <v>0.86964540969244242</v>
      </c>
      <c r="BO113" s="289">
        <f>IF(SUM(BM113:BM115=0),0,SUM(BL113:BL115)/SUM(BM113:BM115))</f>
        <v>0.87882743097638616</v>
      </c>
      <c r="BP113" s="819">
        <v>0.8</v>
      </c>
      <c r="BQ113" s="690"/>
      <c r="BR113" s="825" t="str">
        <f t="shared" si="30"/>
        <v/>
      </c>
      <c r="BS113" s="842" t="str">
        <f t="shared" si="31"/>
        <v/>
      </c>
      <c r="BT113" s="289">
        <f>IF(SUM(BR113:BR115=""),0,SUM(BQ113:BQ115)/SUM(BR113:BR115))</f>
        <v>0</v>
      </c>
      <c r="BU113" s="657">
        <v>0.8</v>
      </c>
      <c r="BX113" s="666" t="str">
        <f t="shared" si="26"/>
        <v>Jul</v>
      </c>
      <c r="BY113" s="643">
        <f>IF(CB113=$CB116,SUMIF($BI104:$BI115,$BX113,$BR104:$BR115),SUMIF($BI104:$BI115,$BX113,$BM104:$BM115))</f>
        <v>21.687000000000001</v>
      </c>
      <c r="BZ113" s="821">
        <f>IF(IF(CB113=CB116,SUMIF(BI104:BI115,$BX113,BU104:BU115),SUMIF(BI104:BI115,$BX113,BP104:BP115))=0,NA(),IF(CB113=CB116,SUMIF(BI104:BI115,$BX113,BU104:BU115),SUMIF(BI104:BI115,$BX113,BP104:BP115)))</f>
        <v>0.8</v>
      </c>
      <c r="CA113" s="644">
        <f>IF(IF(CB113=CB116,SUMIF(BI104:BI115,$BX113,BS104:BS115),SUMIF(BI104:BI115,$BX113,BN104:BN115))=0,NA(),IF(CB113=CB116,SUMIF(BI104:BI115,$BX113,BS104:BS115),SUMIF(BI104:BI115,$BX113,BN104:BN115)))</f>
        <v>0.86964540969244242</v>
      </c>
      <c r="CB113" s="645">
        <f t="shared" si="32"/>
        <v>23</v>
      </c>
      <c r="CC113" s="645">
        <f t="shared" si="27"/>
        <v>7</v>
      </c>
    </row>
    <row r="114" spans="2:81" ht="15" customHeight="1">
      <c r="BI114" s="638" t="s">
        <v>343</v>
      </c>
      <c r="BJ114" s="638">
        <v>11</v>
      </c>
      <c r="BK114" s="638" t="s">
        <v>338</v>
      </c>
      <c r="BL114" s="690">
        <v>20.992999999999999</v>
      </c>
      <c r="BM114" s="869">
        <f t="shared" si="28"/>
        <v>23.152000000000001</v>
      </c>
      <c r="BN114" s="653">
        <f t="shared" si="29"/>
        <v>0.90674671734623347</v>
      </c>
      <c r="BO114" s="835"/>
      <c r="BP114" s="819">
        <v>0.8</v>
      </c>
      <c r="BQ114" s="690"/>
      <c r="BR114" s="825" t="str">
        <f t="shared" si="30"/>
        <v/>
      </c>
      <c r="BS114" s="842" t="str">
        <f t="shared" si="31"/>
        <v/>
      </c>
      <c r="BT114" s="835"/>
      <c r="BU114" s="657">
        <v>0.8</v>
      </c>
      <c r="BX114" s="666" t="str">
        <f t="shared" si="26"/>
        <v>Aug</v>
      </c>
      <c r="BY114" s="643">
        <f>IF(CB114=$CB116,SUMIF($BI104:$BI115,$BX114,$BR104:$BR115),SUMIF($BI104:$BI115,$BX114,$BM104:$BM115))</f>
        <v>23.152000000000001</v>
      </c>
      <c r="BZ114" s="821">
        <f>IF(IF(CB114=CB116,SUMIF(BI104:BI115,$BX114,BU104:BU115),SUMIF(BI104:BI115,$BX114,BP104:BP115))=0,NA(),IF(CB114=CB116,SUMIF(BI104:BI115,$BX114,BU104:BU115),SUMIF(BI104:BI115,$BX114,BP104:BP115)))</f>
        <v>0.8</v>
      </c>
      <c r="CA114" s="644">
        <f>IF(IF(CB114=CB116,SUMIF(BI104:BI115,$BX114,BS104:BS115),SUMIF(BI104:BI115,$BX114,BN104:BN115))=0,NA(),IF(CB114=CB116,SUMIF(BI104:BI115,$BX114,BS104:BS115),SUMIF(BI104:BI115,$BX114,BN104:BN115)))</f>
        <v>0.90674671734623347</v>
      </c>
      <c r="CB114" s="645">
        <f t="shared" si="32"/>
        <v>23</v>
      </c>
      <c r="CC114" s="645">
        <f t="shared" si="27"/>
        <v>8</v>
      </c>
    </row>
    <row r="115" spans="2:81" ht="15" customHeight="1">
      <c r="BI115" s="638" t="s">
        <v>344</v>
      </c>
      <c r="BJ115" s="638">
        <v>12</v>
      </c>
      <c r="BK115" s="638" t="s">
        <v>338</v>
      </c>
      <c r="BL115" s="690">
        <v>26.132000000000001</v>
      </c>
      <c r="BM115" s="869">
        <f t="shared" si="28"/>
        <v>30.244</v>
      </c>
      <c r="BN115" s="653">
        <f t="shared" si="29"/>
        <v>0.86403914826081207</v>
      </c>
      <c r="BO115" s="835"/>
      <c r="BP115" s="819">
        <v>0.8</v>
      </c>
      <c r="BQ115" s="690"/>
      <c r="BR115" s="825" t="str">
        <f>IF(BR77="","",BR77)</f>
        <v/>
      </c>
      <c r="BS115" s="842" t="str">
        <f t="shared" si="31"/>
        <v/>
      </c>
      <c r="BT115" s="835"/>
      <c r="BU115" s="657">
        <v>0.8</v>
      </c>
      <c r="BX115" s="666" t="str">
        <f t="shared" si="26"/>
        <v>Sep</v>
      </c>
      <c r="BY115" s="643">
        <f>IF(CB115=$CB116,SUMIF($BI104:$BI115,$BX115,$BR104:$BR115),SUMIF($BI104:$BI115,$BX115,$BM104:$BM115))</f>
        <v>30.244</v>
      </c>
      <c r="BZ115" s="821">
        <f>IF(IF(CB115=CB116,SUMIF(BI104:BI115,$BX115,BU104:BU115),SUMIF(BI104:BI115,$BX115,BP104:BP115))=0,NA(),IF(CB115=CB116,SUMIF(BI104:BI115,$BX115,BU104:BU115),SUMIF(BI104:BI115,$BX115,BP104:BP115)))</f>
        <v>0.8</v>
      </c>
      <c r="CA115" s="644">
        <f>IF(IF(CB115=CB116,SUMIF(BI104:BI115,$BX115,BS104:BS115),SUMIF(BI104:BI115,$BX115,BN104:BN115))=0,NA(),IF(CB115=CB116,SUMIF(BI104:BI115,$BX115,BS104:BS115),SUMIF(BI104:BI115,$BX115,BN104:BN115)))</f>
        <v>0.86403914826081207</v>
      </c>
      <c r="CB115" s="645">
        <f t="shared" si="32"/>
        <v>23</v>
      </c>
      <c r="CC115" s="645">
        <f>IF(CC116-1&lt;1,CC116+11,CC116-1)</f>
        <v>9</v>
      </c>
    </row>
    <row r="116" spans="2:81" ht="15" customHeight="1">
      <c r="BW116" s="667" t="str">
        <f>Cover!$M$34</f>
        <v>OCT FY-24</v>
      </c>
      <c r="BX116" s="666" t="str">
        <f>TEXT(CONCATENATE(CC116,"/01/20",CB116),"MMM")</f>
        <v>Oct</v>
      </c>
      <c r="BY116" s="643">
        <f>SUMIF($BI104:$BI115,$BX116,$BR104:$BR115)</f>
        <v>22.855</v>
      </c>
      <c r="BZ116" s="821">
        <f>IF(IF(CB116=CB116,SUMIF(BI104:BI115,$BX116,BU104:BU115),SUMIF(BI104:BI115,$BX116,BP104:BP115))=0,NA(),IF(CB116=CB116,SUMIF(BI104:BI115,$BX116,BU104:BU115),SUMIF(BI104:BI115,$BX116,BP104:BP115)))</f>
        <v>0.8</v>
      </c>
      <c r="CA116" s="644">
        <f>IF(SUMIF($BI104:$BI115,$BX116,$BS104:$BS115)=0,NA(),SUMIF($BI104:$BI115,$BX116,$BS104:$BS115))</f>
        <v>0.86287464449792162</v>
      </c>
      <c r="CB116" s="645">
        <f t="shared" si="32"/>
        <v>24</v>
      </c>
      <c r="CC116" s="645">
        <f>MONTH(DATEVALUE(LEFT(BW116,3)&amp;" 1"))</f>
        <v>10</v>
      </c>
    </row>
    <row r="117" spans="2:81" ht="15" customHeight="1">
      <c r="BI117" s="54" t="s">
        <v>292</v>
      </c>
      <c r="BJ117" s="1116" t="s">
        <v>463</v>
      </c>
      <c r="BK117" s="1116"/>
      <c r="BL117" s="1116"/>
      <c r="BM117" s="1116"/>
      <c r="BN117" s="1116"/>
      <c r="BO117" s="1116"/>
      <c r="BP117" s="1116"/>
      <c r="BQ117" s="1116"/>
      <c r="BR117" s="1116"/>
      <c r="BS117" s="1116"/>
      <c r="BT117" s="1116"/>
      <c r="BU117" s="1116"/>
    </row>
    <row r="118" spans="2:81" ht="15" customHeight="1">
      <c r="BI118" s="54" t="s">
        <v>296</v>
      </c>
      <c r="BJ118" s="1233" t="s">
        <v>461</v>
      </c>
      <c r="BK118" s="1233"/>
      <c r="BL118" s="1233"/>
      <c r="BM118" s="1233"/>
      <c r="BN118" s="1233"/>
      <c r="BO118" s="1233"/>
      <c r="BP118" s="1233"/>
      <c r="BQ118" s="1233"/>
      <c r="BR118" s="1233"/>
      <c r="BS118" s="1233"/>
      <c r="BT118" s="1233"/>
      <c r="BU118" s="1233"/>
    </row>
    <row r="119" spans="2:81" ht="15" customHeight="1" thickBot="1">
      <c r="BI119" s="54" t="s">
        <v>300</v>
      </c>
      <c r="BJ119" s="1222" t="s">
        <v>462</v>
      </c>
      <c r="BK119" s="1222"/>
      <c r="BL119" s="1222"/>
      <c r="BM119" s="1222"/>
      <c r="BN119" s="1222"/>
      <c r="BO119" s="1222"/>
      <c r="BP119" s="1222"/>
      <c r="BQ119" s="1222"/>
      <c r="BR119" s="1222"/>
      <c r="BS119" s="1222"/>
      <c r="BT119" s="1222"/>
      <c r="BU119" s="1222"/>
    </row>
    <row r="120" spans="2:81" ht="15" customHeight="1" thickBot="1">
      <c r="BI120" s="1408" t="s">
        <v>451</v>
      </c>
      <c r="BJ120" s="1409"/>
      <c r="BK120" s="1410"/>
      <c r="BL120" s="1408" t="s">
        <v>302</v>
      </c>
      <c r="BM120" s="1409"/>
      <c r="BN120" s="1409"/>
      <c r="BO120" s="1409"/>
      <c r="BP120" s="1410"/>
      <c r="BQ120" s="1408" t="s">
        <v>719</v>
      </c>
      <c r="BR120" s="1409"/>
      <c r="BS120" s="1409"/>
      <c r="BT120" s="1409"/>
      <c r="BU120" s="1410"/>
      <c r="BW120" s="1402" t="s">
        <v>303</v>
      </c>
      <c r="BX120" s="1403"/>
      <c r="BY120" s="1403"/>
      <c r="BZ120" s="1403"/>
      <c r="CA120" s="1403"/>
      <c r="CB120" s="1403"/>
      <c r="CC120" s="1404"/>
    </row>
    <row r="121" spans="2:81" ht="15" customHeight="1">
      <c r="BI121" s="636" t="s">
        <v>23</v>
      </c>
      <c r="BJ121" s="636" t="s">
        <v>37</v>
      </c>
      <c r="BK121" s="636" t="s">
        <v>304</v>
      </c>
      <c r="BL121" s="637" t="s">
        <v>305</v>
      </c>
      <c r="BM121" s="637" t="s">
        <v>310</v>
      </c>
      <c r="BN121" s="637" t="s">
        <v>311</v>
      </c>
      <c r="BO121" s="278" t="s">
        <v>312</v>
      </c>
      <c r="BP121" s="637" t="s">
        <v>313</v>
      </c>
      <c r="BQ121" s="637" t="s">
        <v>305</v>
      </c>
      <c r="BR121" s="637" t="s">
        <v>715</v>
      </c>
      <c r="BS121" s="637" t="s">
        <v>716</v>
      </c>
      <c r="BT121" s="278" t="s">
        <v>717</v>
      </c>
      <c r="BU121" s="637" t="s">
        <v>718</v>
      </c>
      <c r="BW121" s="279" t="s">
        <v>314</v>
      </c>
      <c r="BX121" s="279" t="s">
        <v>23</v>
      </c>
      <c r="BY121" s="280" t="s">
        <v>315</v>
      </c>
      <c r="BZ121" s="279" t="s">
        <v>122</v>
      </c>
      <c r="CA121" s="878" t="s">
        <v>316</v>
      </c>
      <c r="CB121" s="279" t="s">
        <v>317</v>
      </c>
      <c r="CC121" s="279" t="s">
        <v>318</v>
      </c>
    </row>
    <row r="122" spans="2:81" ht="15" customHeight="1">
      <c r="BI122" s="638" t="s">
        <v>319</v>
      </c>
      <c r="BJ122" s="638">
        <v>1</v>
      </c>
      <c r="BK122" s="638" t="s">
        <v>320</v>
      </c>
      <c r="BL122" s="689">
        <v>4.1146000000000003</v>
      </c>
      <c r="BM122" s="689">
        <v>4.3559999999999999</v>
      </c>
      <c r="BN122" s="653">
        <f>IF(BM122="","",BL122/BM122)</f>
        <v>0.94458218549127648</v>
      </c>
      <c r="BO122" s="289">
        <f>IF(SUM(BM122:BM124=0),0,SUM(BL122:BL124)/SUM(BM122:BM124))</f>
        <v>0.93615757184371984</v>
      </c>
      <c r="BP122" s="821">
        <v>0.9</v>
      </c>
      <c r="BQ122" s="689">
        <v>7.7930000000000001</v>
      </c>
      <c r="BR122" s="689">
        <v>8.1219999999999999</v>
      </c>
      <c r="BS122" s="842">
        <f>IF(BR122="","",BQ122/BR122)</f>
        <v>0.95949273577936467</v>
      </c>
      <c r="BT122" s="289">
        <f>IF(SUM(BR122:BR124=0),0,SUM(BQ122:BQ124)/SUM(BR122:BR124))</f>
        <v>0.95949273577936467</v>
      </c>
      <c r="BU122" s="821">
        <v>0.9</v>
      </c>
      <c r="BX122" s="666" t="str">
        <f t="shared" ref="BX122:BX133" si="33">TEXT(CONCATENATE(CC122,"/01/20",CB122),"MMM")</f>
        <v>Oct</v>
      </c>
      <c r="BY122" s="643">
        <f>IF(CB122=$CB134,SUMIF($BI122:$BI133,$BX122,$BR122:$BR133),SUMIF($BI122:$BI133,$BX122,$BM122:$BM133))</f>
        <v>4.3559999999999999</v>
      </c>
      <c r="BZ122" s="821">
        <f>IF(IF(CB122=CB134,SUMIF(BI122:BI133,$BX122,BU122:BU133),SUMIF(BI122:BI133,$BX122,BP122:BP133))=0,NA(),IF(CB122=CB134,SUMIF(BI122:BI133,$BX122,BU122:BU133),SUMIF(BI122:BI133,$BX122,BP122:BP133)))</f>
        <v>0.9</v>
      </c>
      <c r="CA122" s="644">
        <f>IF(IF(CB122=CB134,SUMIF(BI122:BI133,$BX122,BS122:BS133),SUMIF(BI122:BI133,$BX122,BN122:BN133))=0,NA(),IF(CB122=CB134,SUMIF(BI122:BI133,$BX122,BS122:BS133),SUMIF(BI122:BI133,$BX122,BN122:BN133)))</f>
        <v>0.94458218549127648</v>
      </c>
      <c r="CB122" s="645">
        <f>CB104</f>
        <v>23</v>
      </c>
      <c r="CC122" s="645">
        <f t="shared" ref="CC122:CC132" si="34">IF(CC123-1&lt;1,CC123+11,CC123-1)</f>
        <v>10</v>
      </c>
    </row>
    <row r="123" spans="2:81" ht="15" customHeight="1">
      <c r="BI123" s="638" t="s">
        <v>321</v>
      </c>
      <c r="BJ123" s="638">
        <v>2</v>
      </c>
      <c r="BK123" s="638" t="s">
        <v>320</v>
      </c>
      <c r="BL123" s="689">
        <v>4.9409999999999998</v>
      </c>
      <c r="BM123" s="689">
        <v>5.282</v>
      </c>
      <c r="BN123" s="653">
        <f t="shared" ref="BN123:BN133" si="35">IF(BM123="","",BL123/BM123)</f>
        <v>0.93544112078758046</v>
      </c>
      <c r="BO123" s="845"/>
      <c r="BP123" s="821">
        <v>0.9</v>
      </c>
      <c r="BQ123" s="689"/>
      <c r="BR123" s="689"/>
      <c r="BS123" s="842" t="str">
        <f t="shared" ref="BS123:BS133" si="36">IF(BR123="","",BQ123/BR123)</f>
        <v/>
      </c>
      <c r="BT123" s="854"/>
      <c r="BU123" s="821">
        <v>0.9</v>
      </c>
      <c r="BX123" s="666" t="str">
        <f t="shared" si="33"/>
        <v>Nov</v>
      </c>
      <c r="BY123" s="643">
        <f>IF(CB123=$CB134,SUMIF($BI122:$BI133,$BX123,$BR122:$BR133),SUMIF($BI122:$BI133,$BX123,$BM122:$BM133))</f>
        <v>5.282</v>
      </c>
      <c r="BZ123" s="821">
        <f>IF(IF(CB123=CB134,SUMIF(BI122:BI133,$BX123,BU122:BU133),SUMIF(BI122:BI133,$BX123,BP122:BP133))=0,NA(),IF(CB123=CB134,SUMIF(BI122:BI133,$BX123,BU122:BU133),SUMIF(BI122:BI133,$BX123,BP122:BP133)))</f>
        <v>0.9</v>
      </c>
      <c r="CA123" s="644">
        <f>IF(IF(CB123=CB134,SUMIF(BI122:BI133,$BX123,BS122:BS133),SUMIF(BI122:BI133,$BX123,BN122:BN133))=0,NA(),IF(CB123=CB134,SUMIF(BI122:BI133,$BX123,BS122:BS133),SUMIF(BI122:BI133,$BX123,BN122:BN133)))</f>
        <v>0.93544112078758046</v>
      </c>
      <c r="CB123" s="645">
        <f t="shared" ref="CB123:CB133" si="37">CB105</f>
        <v>23</v>
      </c>
      <c r="CC123" s="645">
        <f t="shared" si="34"/>
        <v>11</v>
      </c>
    </row>
    <row r="124" spans="2:81" ht="15" customHeight="1">
      <c r="BI124" s="638" t="s">
        <v>322</v>
      </c>
      <c r="BJ124" s="638">
        <v>3</v>
      </c>
      <c r="BK124" s="638" t="s">
        <v>320</v>
      </c>
      <c r="BL124" s="689">
        <v>5.4408000000000003</v>
      </c>
      <c r="BM124" s="689">
        <v>5.8470000000000004</v>
      </c>
      <c r="BN124" s="653">
        <f t="shared" si="35"/>
        <v>0.93052847614161105</v>
      </c>
      <c r="BO124" s="845"/>
      <c r="BP124" s="821">
        <v>0.9</v>
      </c>
      <c r="BQ124" s="689"/>
      <c r="BR124" s="689"/>
      <c r="BS124" s="842" t="str">
        <f t="shared" si="36"/>
        <v/>
      </c>
      <c r="BT124" s="854"/>
      <c r="BU124" s="821">
        <v>0.9</v>
      </c>
      <c r="BX124" s="666" t="str">
        <f t="shared" si="33"/>
        <v>Dec</v>
      </c>
      <c r="BY124" s="643">
        <f>IF(CB124=$CB134,SUMIF($BI122:$BI133,$BX124,$BR122:$BR133),SUMIF($BI122:$BI133,$BX124,$BM122:$BM133))</f>
        <v>5.8470000000000004</v>
      </c>
      <c r="BZ124" s="821">
        <f>IF(IF(CB124=CB134,SUMIF(BI122:BI133,$BX124,BU122:BU133),SUMIF(BI122:BI133,$BX124,BP122:BP133))=0,NA(),IF(CB124=CB134,SUMIF(BI122:BI133,$BX124,BU122:BU133),SUMIF(BI122:BI133,$BX124,BP122:BP133)))</f>
        <v>0.9</v>
      </c>
      <c r="CA124" s="644">
        <f>IF(IF(CB124=CB134,SUMIF(BI122:BI133,$BX124,BS122:BS133),SUMIF(BI122:BI133,$BX124,BN122:BN133))=0,NA(),IF(CB124=CB134,SUMIF(BI122:BI133,$BX124,BS122:BS133),SUMIF(BI122:BI133,$BX124,BN122:BN133)))</f>
        <v>0.93052847614161105</v>
      </c>
      <c r="CB124" s="645">
        <f t="shared" si="37"/>
        <v>23</v>
      </c>
      <c r="CC124" s="645">
        <f t="shared" si="34"/>
        <v>12</v>
      </c>
    </row>
    <row r="125" spans="2:81" ht="15" customHeight="1">
      <c r="BI125" s="638" t="s">
        <v>323</v>
      </c>
      <c r="BJ125" s="638">
        <v>4</v>
      </c>
      <c r="BK125" s="638" t="s">
        <v>324</v>
      </c>
      <c r="BL125" s="689">
        <v>5.5270000000000001</v>
      </c>
      <c r="BM125" s="689">
        <v>5.8680000000000003</v>
      </c>
      <c r="BN125" s="653">
        <f t="shared" si="35"/>
        <v>0.94188820722563049</v>
      </c>
      <c r="BO125" s="289">
        <f>IF(SUM(BM125:BM127=0),0,SUM(BL125:BL127)/SUM(BM125:BM127))</f>
        <v>0.94882056718791408</v>
      </c>
      <c r="BP125" s="821">
        <v>0.9</v>
      </c>
      <c r="BQ125" s="689"/>
      <c r="BR125" s="689"/>
      <c r="BS125" s="842" t="str">
        <f t="shared" si="36"/>
        <v/>
      </c>
      <c r="BT125" s="289">
        <f>IF(SUM(BR125:BR127=0),0,SUM(BQ125:BQ127)/SUM(BR125:BR127))</f>
        <v>0</v>
      </c>
      <c r="BU125" s="821">
        <v>0.9</v>
      </c>
      <c r="BX125" s="666" t="str">
        <f t="shared" si="33"/>
        <v>Jan</v>
      </c>
      <c r="BY125" s="643">
        <f>IF(CB125=$CB134,SUMIF($BI122:$BI133,$BX125,$BR122:$BR133),SUMIF($BI122:$BI133,$BX125,$BM122:$BM133))</f>
        <v>5.8680000000000003</v>
      </c>
      <c r="BZ125" s="821">
        <f>IF(IF(CB125=CB134,SUMIF(BI122:BI133,$BX125,BU122:BU133),SUMIF(BI122:BI133,$BX125,BP122:BP133))=0,NA(),IF(CB125=CB134,SUMIF(BI122:BI133,$BX125,BU122:BU133),SUMIF(BI122:BI133,$BX125,BP122:BP133)))</f>
        <v>0.9</v>
      </c>
      <c r="CA125" s="644">
        <f>IF(IF(CB125=CB134,SUMIF(BI122:BI133,$BX125,BS122:BS133),SUMIF(BI122:BI133,$BX125,BN122:BN133))=0,NA(),IF(CB125=CB134,SUMIF(BI122:BI133,$BX125,BS122:BS133),SUMIF(BI122:BI133,$BX125,BN122:BN133)))</f>
        <v>0.94188820722563049</v>
      </c>
      <c r="CB125" s="645">
        <f t="shared" si="37"/>
        <v>23</v>
      </c>
      <c r="CC125" s="645">
        <f t="shared" si="34"/>
        <v>1</v>
      </c>
    </row>
    <row r="126" spans="2:81" ht="15" customHeight="1">
      <c r="BI126" s="638" t="s">
        <v>325</v>
      </c>
      <c r="BJ126" s="638">
        <v>5</v>
      </c>
      <c r="BK126" s="638" t="s">
        <v>324</v>
      </c>
      <c r="BL126" s="690">
        <v>6.4539999999999997</v>
      </c>
      <c r="BM126" s="690">
        <v>6.7709999999999999</v>
      </c>
      <c r="BN126" s="653">
        <f t="shared" si="35"/>
        <v>0.95318269088760887</v>
      </c>
      <c r="BO126" s="845"/>
      <c r="BP126" s="821">
        <v>0.9</v>
      </c>
      <c r="BQ126" s="690"/>
      <c r="BR126" s="690"/>
      <c r="BS126" s="842" t="str">
        <f t="shared" si="36"/>
        <v/>
      </c>
      <c r="BT126" s="854"/>
      <c r="BU126" s="821">
        <v>0.9</v>
      </c>
      <c r="BX126" s="666" t="str">
        <f t="shared" si="33"/>
        <v>Feb</v>
      </c>
      <c r="BY126" s="643">
        <f>IF(CB126=$CB134,SUMIF($BI122:$BI133,$BX126,$BR122:$BR133),SUMIF($BI122:$BI133,$BX126,$BM122:$BM133))</f>
        <v>6.7709999999999999</v>
      </c>
      <c r="BZ126" s="821">
        <f>IF(IF(CB126=CB134,SUMIF(BI122:BI133,$BX126,BU122:BU133),SUMIF(BI122:BI133,$BX126,BP122:BP133))=0,NA(),IF(CB126=CB134,SUMIF(BI122:BI133,$BX126,BU122:BU133),SUMIF(BI122:BI133,$BX126,BP122:BP133)))</f>
        <v>0.9</v>
      </c>
      <c r="CA126" s="644">
        <f>IF(IF(CB126=CB134,SUMIF(BI122:BI133,$BX126,BS122:BS133),SUMIF(BI122:BI133,$BX126,BN122:BN133))=0,NA(),IF(CB126=CB134,SUMIF(BI122:BI133,$BX126,BS122:BS133),SUMIF(BI122:BI133,$BX126,BN122:BN133)))</f>
        <v>0.95318269088760887</v>
      </c>
      <c r="CB126" s="645">
        <f t="shared" si="37"/>
        <v>23</v>
      </c>
      <c r="CC126" s="645">
        <f t="shared" si="34"/>
        <v>2</v>
      </c>
    </row>
    <row r="127" spans="2:81" ht="15" customHeight="1">
      <c r="BI127" s="638" t="s">
        <v>326</v>
      </c>
      <c r="BJ127" s="638">
        <v>6</v>
      </c>
      <c r="BK127" s="638" t="s">
        <v>324</v>
      </c>
      <c r="BL127" s="690">
        <v>9.4984000000000002</v>
      </c>
      <c r="BM127" s="690">
        <v>9.9990000000000006</v>
      </c>
      <c r="BN127" s="653">
        <f t="shared" si="35"/>
        <v>0.94993499349934984</v>
      </c>
      <c r="BO127" s="845"/>
      <c r="BP127" s="821">
        <v>0.9</v>
      </c>
      <c r="BQ127" s="690"/>
      <c r="BR127" s="690"/>
      <c r="BS127" s="842" t="str">
        <f t="shared" si="36"/>
        <v/>
      </c>
      <c r="BT127" s="854"/>
      <c r="BU127" s="821">
        <v>0.9</v>
      </c>
      <c r="BX127" s="666" t="str">
        <f t="shared" si="33"/>
        <v>Mar</v>
      </c>
      <c r="BY127" s="643">
        <f>IF(CB127=$CB134,SUMIF($BI122:$BI133,$BX127,$BR122:$BR133),SUMIF($BI122:$BI133,$BX127,$BM122:$BM133))</f>
        <v>9.9990000000000006</v>
      </c>
      <c r="BZ127" s="821">
        <f>IF(IF(CB127=CB134,SUMIF(BI122:BI133,$BX127,BU122:BU133),SUMIF(BI122:BI133,$BX127,BP122:BP133))=0,NA(),IF(CB127=CB134,SUMIF(BI122:BI133,$BX127,BU122:BU133),SUMIF(BI122:BI133,$BX127,BP122:BP133)))</f>
        <v>0.9</v>
      </c>
      <c r="CA127" s="644">
        <f>IF(IF(CB127=CB134,SUMIF(BI122:BI133,$BX127,BS122:BS133),SUMIF(BI122:BI133,$BX127,BN122:BN133))=0,NA(),IF(CB127=CB134,SUMIF(BI122:BI133,$BX127,BS122:BS133),SUMIF(BI122:BI133,$BX127,BN122:BN133)))</f>
        <v>0.94993499349934984</v>
      </c>
      <c r="CB127" s="645">
        <f t="shared" si="37"/>
        <v>23</v>
      </c>
      <c r="CC127" s="645">
        <f t="shared" si="34"/>
        <v>3</v>
      </c>
    </row>
    <row r="128" spans="2:81" ht="15" customHeight="1">
      <c r="BI128" s="638" t="s">
        <v>327</v>
      </c>
      <c r="BJ128" s="638">
        <v>7</v>
      </c>
      <c r="BK128" s="638" t="s">
        <v>328</v>
      </c>
      <c r="BL128" s="690">
        <v>7.0166000000000004</v>
      </c>
      <c r="BM128" s="690">
        <v>7.383</v>
      </c>
      <c r="BN128" s="653">
        <f t="shared" si="35"/>
        <v>0.95037247731274554</v>
      </c>
      <c r="BO128" s="289">
        <f>IF(SUM(BM128:BM130=0),0,SUM(BL128:BL130)/SUM(BM128:BM130))</f>
        <v>0.95623182469793178</v>
      </c>
      <c r="BP128" s="821">
        <v>0.9</v>
      </c>
      <c r="BQ128" s="690"/>
      <c r="BR128" s="690"/>
      <c r="BS128" s="842" t="str">
        <f t="shared" si="36"/>
        <v/>
      </c>
      <c r="BT128" s="289">
        <f>IF(SUM(BR128:BR130=0),0,SUM(BQ128:BQ130)/SUM(BR128:BR130))</f>
        <v>0</v>
      </c>
      <c r="BU128" s="821">
        <v>0.9</v>
      </c>
      <c r="BX128" s="666" t="str">
        <f t="shared" si="33"/>
        <v>Apr</v>
      </c>
      <c r="BY128" s="643">
        <f>IF(CB128=$CB134,SUMIF($BI122:$BI133,$BX128,$BR122:$BR133),SUMIF($BI122:$BI133,$BX128,$BM122:$BM133))</f>
        <v>7.383</v>
      </c>
      <c r="BZ128" s="821">
        <f>IF(IF(CB128=CB134,SUMIF(BI122:BI133,$BX128,BU122:BU133),SUMIF(BI122:BI133,$BX128,BP122:BP133))=0,NA(),IF(CB128=CB134,SUMIF(BI122:BI133,$BX128,BU122:BU133),SUMIF(BI122:BI133,$BX128,BP122:BP133)))</f>
        <v>0.9</v>
      </c>
      <c r="CA128" s="644">
        <f>IF(IF(CB128=CB134,SUMIF(BI122:BI133,$BX128,BS122:BS133),SUMIF(BI122:BI133,$BX128,BN122:BN133))=0,NA(),IF(CB128=CB134,SUMIF(BI122:BI133,$BX128,BS122:BS133),SUMIF(BI122:BI133,$BX128,BN122:BN133)))</f>
        <v>0.95037247731274554</v>
      </c>
      <c r="CB128" s="645">
        <f t="shared" si="37"/>
        <v>23</v>
      </c>
      <c r="CC128" s="645">
        <f t="shared" si="34"/>
        <v>4</v>
      </c>
    </row>
    <row r="129" spans="61:81" ht="15" customHeight="1">
      <c r="BI129" s="638" t="s">
        <v>329</v>
      </c>
      <c r="BJ129" s="638">
        <v>8</v>
      </c>
      <c r="BK129" s="638" t="s">
        <v>328</v>
      </c>
      <c r="BL129" s="690">
        <v>7.3578000000000001</v>
      </c>
      <c r="BM129" s="690">
        <v>7.6779999999999999</v>
      </c>
      <c r="BN129" s="653">
        <f t="shared" si="35"/>
        <v>0.958296431362334</v>
      </c>
      <c r="BO129" s="845"/>
      <c r="BP129" s="821">
        <v>0.9</v>
      </c>
      <c r="BQ129" s="690"/>
      <c r="BR129" s="690"/>
      <c r="BS129" s="842" t="str">
        <f t="shared" si="36"/>
        <v/>
      </c>
      <c r="BT129" s="854"/>
      <c r="BU129" s="821">
        <v>0.9</v>
      </c>
      <c r="BX129" s="666" t="str">
        <f t="shared" si="33"/>
        <v>May</v>
      </c>
      <c r="BY129" s="643">
        <f>IF(CB129=$CB134,SUMIF($BI122:$BI133,$BX129,$BR122:$BR133),SUMIF($BI122:$BI133,$BX129,$BM122:$BM133))</f>
        <v>7.6779999999999999</v>
      </c>
      <c r="BZ129" s="821">
        <f>IF(IF(CB129=CB134,SUMIF(BI122:BI133,$BX129,BU122:BU133),SUMIF(BI122:BI133,$BX129,BP122:BP133))=0,NA(),IF(CB129=CB134,SUMIF(BI122:BI133,$BX129,BU122:BU133),SUMIF(BI122:BI133,$BX129,BP122:BP133)))</f>
        <v>0.9</v>
      </c>
      <c r="CA129" s="644">
        <f>IF(IF(CB129=CB134,SUMIF(BI122:BI133,$BX129,BS122:BS133),SUMIF(BI122:BI133,$BX129,BN122:BN133))=0,NA(),IF(CB129=CB134,SUMIF(BI122:BI133,$BX129,BS122:BS133),SUMIF(BI122:BI133,$BX129,BN122:BN133)))</f>
        <v>0.958296431362334</v>
      </c>
      <c r="CB129" s="645">
        <f t="shared" si="37"/>
        <v>23</v>
      </c>
      <c r="CC129" s="645">
        <f t="shared" si="34"/>
        <v>5</v>
      </c>
    </row>
    <row r="130" spans="61:81" ht="15" customHeight="1">
      <c r="BI130" s="638" t="s">
        <v>331</v>
      </c>
      <c r="BJ130" s="638">
        <v>9</v>
      </c>
      <c r="BK130" s="638" t="s">
        <v>328</v>
      </c>
      <c r="BL130" s="690">
        <v>8.9719999999999995</v>
      </c>
      <c r="BM130" s="690">
        <v>9.3539999999999992</v>
      </c>
      <c r="BN130" s="653">
        <f t="shared" si="35"/>
        <v>0.95916185589052816</v>
      </c>
      <c r="BO130" s="845"/>
      <c r="BP130" s="821">
        <v>0.9</v>
      </c>
      <c r="BQ130" s="690"/>
      <c r="BR130" s="690"/>
      <c r="BS130" s="842" t="str">
        <f t="shared" si="36"/>
        <v/>
      </c>
      <c r="BT130" s="854"/>
      <c r="BU130" s="821">
        <v>0.9</v>
      </c>
      <c r="BX130" s="666" t="str">
        <f t="shared" si="33"/>
        <v>Jun</v>
      </c>
      <c r="BY130" s="643">
        <f>IF(CB130=$CB134,SUMIF($BI122:$BI133,$BX130,$BR122:$BR133),SUMIF($BI122:$BI133,$BX130,$BM122:$BM133))</f>
        <v>9.3539999999999992</v>
      </c>
      <c r="BZ130" s="821">
        <f>IF(IF(CB130=CB134,SUMIF(BI122:BI133,$BX130,BU122:BU133),SUMIF(BI122:BI133,$BX130,BP122:BP133))=0,NA(),IF(CB130=CB134,SUMIF(BI122:BI133,$BX130,BU122:BU133),SUMIF(BI122:BI133,$BX130,BP122:BP133)))</f>
        <v>0.9</v>
      </c>
      <c r="CA130" s="644">
        <f>IF(IF(CB130=CB134,SUMIF(BI122:BI133,$BX130,BS122:BS133),SUMIF(BI122:BI133,$BX130,BN122:BN133))=0,NA(),IF(CB130=CB134,SUMIF(BI122:BI133,$BX130,BS122:BS133),SUMIF(BI122:BI133,$BX130,BN122:BN133)))</f>
        <v>0.95916185589052816</v>
      </c>
      <c r="CB130" s="645">
        <f t="shared" si="37"/>
        <v>23</v>
      </c>
      <c r="CC130" s="645">
        <f t="shared" si="34"/>
        <v>6</v>
      </c>
    </row>
    <row r="131" spans="61:81" ht="15" customHeight="1">
      <c r="BI131" s="638" t="s">
        <v>337</v>
      </c>
      <c r="BJ131" s="638">
        <v>10</v>
      </c>
      <c r="BK131" s="638" t="s">
        <v>338</v>
      </c>
      <c r="BL131" s="690">
        <v>7.8049999999999997</v>
      </c>
      <c r="BM131" s="690">
        <v>8.1159999999999997</v>
      </c>
      <c r="BN131" s="653">
        <f t="shared" si="35"/>
        <v>0.96168063085263678</v>
      </c>
      <c r="BO131" s="289">
        <f>IF(SUM(BM131:BM133=0),0,SUM(BL131:BL133)/SUM(BM131:BM133))</f>
        <v>0.9603568577081959</v>
      </c>
      <c r="BP131" s="821">
        <v>0.9</v>
      </c>
      <c r="BQ131" s="690"/>
      <c r="BR131" s="690"/>
      <c r="BS131" s="842" t="str">
        <f t="shared" si="36"/>
        <v/>
      </c>
      <c r="BT131" s="289">
        <f>IF(SUM(BR131:BR133=0),0,SUM(BQ131:BQ133)/SUM(BR131:BR133))</f>
        <v>0</v>
      </c>
      <c r="BU131" s="821">
        <v>0.9</v>
      </c>
      <c r="BX131" s="666" t="str">
        <f t="shared" si="33"/>
        <v>Jul</v>
      </c>
      <c r="BY131" s="643">
        <f>IF(CB131=$CB134,SUMIF($BI122:$BI133,$BX131,$BR122:$BR133),SUMIF($BI122:$BI133,$BX131,$BM122:$BM133))</f>
        <v>8.1159999999999997</v>
      </c>
      <c r="BZ131" s="821">
        <f>IF(IF(CB131=CB134,SUMIF(BI122:BI133,$BX131,BU122:BU133),SUMIF(BI122:BI133,$BX131,BP122:BP133))=0,NA(),IF(CB131=CB134,SUMIF(BI122:BI133,$BX131,BU122:BU133),SUMIF(BI122:BI133,$BX131,BP122:BP133)))</f>
        <v>0.9</v>
      </c>
      <c r="CA131" s="644">
        <f>IF(IF(CB131=CB134,SUMIF(BI122:BI133,$BX131,BS122:BS133),SUMIF(BI122:BI133,$BX131,BN122:BN133))=0,NA(),IF(CB131=CB134,SUMIF(BI122:BI133,$BX131,BS122:BS133),SUMIF(BI122:BI133,$BX131,BN122:BN133)))</f>
        <v>0.96168063085263678</v>
      </c>
      <c r="CB131" s="645">
        <f t="shared" si="37"/>
        <v>23</v>
      </c>
      <c r="CC131" s="645">
        <f t="shared" si="34"/>
        <v>7</v>
      </c>
    </row>
    <row r="132" spans="61:81" ht="15" customHeight="1">
      <c r="BI132" s="638" t="s">
        <v>343</v>
      </c>
      <c r="BJ132" s="638">
        <v>11</v>
      </c>
      <c r="BK132" s="638" t="s">
        <v>338</v>
      </c>
      <c r="BL132" s="690">
        <v>8.8330000000000002</v>
      </c>
      <c r="BM132" s="690">
        <v>9.1709999999999994</v>
      </c>
      <c r="BN132" s="653">
        <f t="shared" si="35"/>
        <v>0.96314469523497992</v>
      </c>
      <c r="BO132" s="845"/>
      <c r="BP132" s="821">
        <v>0.9</v>
      </c>
      <c r="BQ132" s="690"/>
      <c r="BR132" s="690"/>
      <c r="BS132" s="842" t="str">
        <f t="shared" si="36"/>
        <v/>
      </c>
      <c r="BT132" s="854"/>
      <c r="BU132" s="821">
        <v>0.9</v>
      </c>
      <c r="BX132" s="666" t="str">
        <f t="shared" si="33"/>
        <v>Aug</v>
      </c>
      <c r="BY132" s="643">
        <f>IF(CB132=$CB134,SUMIF($BI122:$BI133,$BX132,$BR122:$BR133),SUMIF($BI122:$BI133,$BX132,$BM122:$BM133))</f>
        <v>9.1709999999999994</v>
      </c>
      <c r="BZ132" s="821">
        <f>IF(IF(CB132=CB134,SUMIF(BI122:BI133,$BX132,BU122:BU133),SUMIF(BI122:BI133,$BX132,BP122:BP133))=0,NA(),IF(CB132=CB134,SUMIF(BI122:BI133,$BX132,BU122:BU133),SUMIF(BI122:BI133,$BX132,BP122:BP133)))</f>
        <v>0.9</v>
      </c>
      <c r="CA132" s="644">
        <f>IF(IF(CB132=CB134,SUMIF(BI122:BI133,$BX132,BS122:BS133),SUMIF(BI122:BI133,$BX132,BN122:BN133))=0,NA(),IF(CB132=CB134,SUMIF(BI122:BI133,$BX132,BS122:BS133),SUMIF(BI122:BI133,$BX132,BN122:BN133)))</f>
        <v>0.96314469523497992</v>
      </c>
      <c r="CB132" s="645">
        <f t="shared" si="37"/>
        <v>23</v>
      </c>
      <c r="CC132" s="645">
        <f t="shared" si="34"/>
        <v>8</v>
      </c>
    </row>
    <row r="133" spans="61:81" ht="15" customHeight="1">
      <c r="BI133" s="638" t="s">
        <v>344</v>
      </c>
      <c r="BJ133" s="638">
        <v>12</v>
      </c>
      <c r="BK133" s="638" t="s">
        <v>338</v>
      </c>
      <c r="BL133" s="690">
        <v>11.026999999999999</v>
      </c>
      <c r="BM133" s="690">
        <v>11.52</v>
      </c>
      <c r="BN133" s="653">
        <f t="shared" si="35"/>
        <v>0.95720486111111103</v>
      </c>
      <c r="BO133" s="845"/>
      <c r="BP133" s="821">
        <v>0.9</v>
      </c>
      <c r="BQ133" s="690"/>
      <c r="BR133" s="690"/>
      <c r="BS133" s="842" t="str">
        <f t="shared" si="36"/>
        <v/>
      </c>
      <c r="BT133" s="854"/>
      <c r="BU133" s="821">
        <v>0.9</v>
      </c>
      <c r="BX133" s="666" t="str">
        <f t="shared" si="33"/>
        <v>Sep</v>
      </c>
      <c r="BY133" s="643">
        <f>IF(CB133=$CB134,SUMIF($BI122:$BI133,$BX133,$BR122:$BR133),SUMIF($BI122:$BI133,$BX133,$BM122:$BM133))</f>
        <v>11.52</v>
      </c>
      <c r="BZ133" s="821">
        <f>IF(IF(CB133=CB134,SUMIF(BI122:BI133,$BX133,BU122:BU133),SUMIF(BI122:BI133,$BX133,BP122:BP133))=0,NA(),IF(CB133=CB134,SUMIF(BI122:BI133,$BX133,BU122:BU133),SUMIF(BI122:BI133,$BX133,BP122:BP133)))</f>
        <v>0.9</v>
      </c>
      <c r="CA133" s="644">
        <f>IF(IF(CB133=CB134,SUMIF(BI122:BI133,$BX133,BS122:BS133),SUMIF(BI122:BI133,$BX133,BN122:BN133))=0,NA(),IF(CB133=CB134,SUMIF(BI122:BI133,$BX133,BS122:BS133),SUMIF(BI122:BI133,$BX133,BN122:BN133)))</f>
        <v>0.95720486111111103</v>
      </c>
      <c r="CB133" s="645">
        <f t="shared" si="37"/>
        <v>23</v>
      </c>
      <c r="CC133" s="645">
        <f>IF(CC134-1&lt;1,CC134+11,CC134-1)</f>
        <v>9</v>
      </c>
    </row>
    <row r="134" spans="61:81" ht="15" customHeight="1">
      <c r="BJ134" s="277"/>
      <c r="BK134" s="277"/>
      <c r="BL134" s="277"/>
      <c r="BM134" s="277"/>
      <c r="BN134" s="277"/>
      <c r="BO134" s="277"/>
      <c r="BP134" s="277"/>
      <c r="BQ134" s="277"/>
      <c r="BR134" s="277"/>
      <c r="BS134" s="277"/>
      <c r="BT134" s="277"/>
      <c r="BW134" s="667" t="str">
        <f>Cover!$M$34</f>
        <v>OCT FY-24</v>
      </c>
      <c r="BX134" s="666" t="str">
        <f>TEXT(CONCATENATE(CC134,"/01/20",CB134),"MMM")</f>
        <v>Oct</v>
      </c>
      <c r="BY134" s="643">
        <f>SUMIF($BI122:$BI133,$BX134,$BR122:$BR133)</f>
        <v>8.1219999999999999</v>
      </c>
      <c r="BZ134" s="821">
        <f>IF(IF(CB134=CB134,SUMIF(BI122:BI133,$BX134,BU122:BU133),SUMIF(BI122:BI133,$BX134,BP122:BP133))=0,NA(),IF(CB134=CB134,SUMIF(BI122:BI133,$BX134,BU122:BU133),SUMIF(BI122:BI133,$BX134,BP122:BP133)))</f>
        <v>0.9</v>
      </c>
      <c r="CA134" s="644">
        <f>IF(SUMIF($BI122:$BI133,$BX134,$BS122:$BS133)=0,NA(),SUMIF($BI122:$BI133,$BX134,$BS122:$BS133))</f>
        <v>0.95949273577936467</v>
      </c>
      <c r="CB134" s="645">
        <f>CB116</f>
        <v>24</v>
      </c>
      <c r="CC134" s="645">
        <f>MONTH(DATEVALUE(LEFT(BW134,3)&amp;" 1"))</f>
        <v>10</v>
      </c>
    </row>
    <row r="135" spans="61:81" ht="15" customHeight="1">
      <c r="BJ135" s="277"/>
      <c r="BK135" s="277"/>
      <c r="BL135" s="277"/>
      <c r="BM135" s="277"/>
      <c r="BN135" s="277"/>
      <c r="BO135" s="277"/>
      <c r="BP135" s="277"/>
      <c r="BQ135" s="277"/>
      <c r="BR135" s="277"/>
      <c r="BS135" s="277"/>
      <c r="BT135" s="277"/>
      <c r="BY135" s="293"/>
      <c r="BZ135" s="299"/>
      <c r="CA135" s="397"/>
      <c r="CB135" s="296"/>
      <c r="CC135" s="296"/>
    </row>
    <row r="136" spans="61:81" ht="15" customHeight="1">
      <c r="BI136" s="54" t="s">
        <v>292</v>
      </c>
      <c r="BJ136" s="287" t="s">
        <v>464</v>
      </c>
      <c r="BK136" s="287"/>
      <c r="BL136" s="287"/>
      <c r="BM136" s="287"/>
      <c r="BN136" s="287"/>
      <c r="BO136" s="287"/>
      <c r="BP136" s="287"/>
      <c r="BQ136" s="287"/>
      <c r="BR136" s="287"/>
      <c r="BS136" s="287"/>
      <c r="BT136" s="287"/>
      <c r="BU136" s="287"/>
    </row>
    <row r="137" spans="61:81" ht="15" customHeight="1">
      <c r="BI137" s="54" t="s">
        <v>296</v>
      </c>
      <c r="BJ137" s="283" t="s">
        <v>468</v>
      </c>
      <c r="BK137" s="283"/>
      <c r="BL137" s="283"/>
      <c r="BM137" s="283"/>
      <c r="BN137" s="283"/>
      <c r="BO137" s="283"/>
      <c r="BP137" s="283"/>
      <c r="BQ137" s="283"/>
      <c r="BR137" s="283"/>
      <c r="BS137" s="283"/>
      <c r="BT137" s="283"/>
      <c r="BU137" s="283"/>
    </row>
    <row r="138" spans="61:81" ht="15" customHeight="1" thickBot="1">
      <c r="BI138" s="54" t="s">
        <v>300</v>
      </c>
      <c r="BJ138" s="288" t="s">
        <v>470</v>
      </c>
      <c r="BK138" s="288"/>
      <c r="BL138" s="288"/>
      <c r="BM138" s="288"/>
      <c r="BN138" s="288"/>
      <c r="BO138" s="288"/>
      <c r="BP138" s="288"/>
      <c r="BQ138" s="288"/>
      <c r="BR138" s="288"/>
      <c r="BS138" s="288"/>
      <c r="BT138" s="288"/>
      <c r="BU138" s="288"/>
    </row>
    <row r="139" spans="61:81" ht="15" customHeight="1" thickBot="1">
      <c r="BI139" s="1408" t="s">
        <v>451</v>
      </c>
      <c r="BJ139" s="1409"/>
      <c r="BK139" s="1410"/>
      <c r="BL139" s="1408" t="s">
        <v>302</v>
      </c>
      <c r="BM139" s="1409"/>
      <c r="BN139" s="1409"/>
      <c r="BO139" s="1409"/>
      <c r="BP139" s="1410"/>
      <c r="BQ139" s="1408" t="s">
        <v>719</v>
      </c>
      <c r="BR139" s="1409"/>
      <c r="BS139" s="1409"/>
      <c r="BT139" s="1409"/>
      <c r="BU139" s="1410"/>
      <c r="BW139" s="1402" t="s">
        <v>303</v>
      </c>
      <c r="BX139" s="1403"/>
      <c r="BY139" s="1403"/>
      <c r="BZ139" s="1403"/>
      <c r="CA139" s="1403"/>
      <c r="CB139" s="1403"/>
      <c r="CC139" s="1404"/>
    </row>
    <row r="140" spans="61:81" ht="15" customHeight="1">
      <c r="BI140" s="636" t="s">
        <v>23</v>
      </c>
      <c r="BJ140" s="636" t="s">
        <v>37</v>
      </c>
      <c r="BK140" s="636" t="s">
        <v>304</v>
      </c>
      <c r="BL140" s="637" t="s">
        <v>305</v>
      </c>
      <c r="BM140" s="637" t="s">
        <v>310</v>
      </c>
      <c r="BN140" s="637" t="s">
        <v>311</v>
      </c>
      <c r="BO140" s="278" t="s">
        <v>312</v>
      </c>
      <c r="BP140" s="637" t="s">
        <v>313</v>
      </c>
      <c r="BQ140" s="637" t="s">
        <v>305</v>
      </c>
      <c r="BR140" s="637" t="s">
        <v>715</v>
      </c>
      <c r="BS140" s="637" t="s">
        <v>716</v>
      </c>
      <c r="BT140" s="278" t="s">
        <v>717</v>
      </c>
      <c r="BU140" s="637" t="s">
        <v>718</v>
      </c>
      <c r="BW140" s="279" t="s">
        <v>314</v>
      </c>
      <c r="BX140" s="279" t="s">
        <v>23</v>
      </c>
      <c r="BY140" s="280" t="s">
        <v>315</v>
      </c>
      <c r="BZ140" s="279" t="s">
        <v>122</v>
      </c>
      <c r="CA140" s="279" t="s">
        <v>316</v>
      </c>
      <c r="CB140" s="279" t="s">
        <v>317</v>
      </c>
      <c r="CC140" s="279" t="s">
        <v>318</v>
      </c>
    </row>
    <row r="141" spans="61:81" ht="15" customHeight="1">
      <c r="BI141" s="638" t="s">
        <v>319</v>
      </c>
      <c r="BJ141" s="638">
        <v>1</v>
      </c>
      <c r="BK141" s="638" t="s">
        <v>320</v>
      </c>
      <c r="BL141" s="825">
        <f>IF(BM122="","",BM122)</f>
        <v>4.3559999999999999</v>
      </c>
      <c r="BM141" s="689">
        <v>12.103</v>
      </c>
      <c r="BN141" s="653">
        <f>IF(BM141="","",BL141/BM141)</f>
        <v>0.35991076592580351</v>
      </c>
      <c r="BO141" s="289">
        <f>IF(SUM(BM141:BM143=0),0,SUM(BL141:BL143)/SUM(BM141:BM143))</f>
        <v>0.35382154689820633</v>
      </c>
      <c r="BP141" s="657">
        <v>0.3</v>
      </c>
      <c r="BQ141" s="846">
        <f>IF(BR122="","",BR122)</f>
        <v>8.1219999999999999</v>
      </c>
      <c r="BR141" s="689">
        <v>17.864000000000001</v>
      </c>
      <c r="BS141" s="653">
        <f>IF(BR141="","",BQ141/BR141)</f>
        <v>0.45465741155396328</v>
      </c>
      <c r="BT141" s="289">
        <f>IF(SUM(BR141:BR143=0),0,SUM(BQ141:BQ143)/SUM(BR141:BR143))</f>
        <v>0.45465741155396328</v>
      </c>
      <c r="BU141" s="657">
        <v>0.3</v>
      </c>
      <c r="BV141" s="6"/>
      <c r="BX141" s="666" t="str">
        <f t="shared" ref="BX141:BX152" si="38">TEXT(CONCATENATE(CC141,"/01/20",CB141),"MMM")</f>
        <v>Oct</v>
      </c>
      <c r="BY141" s="643">
        <f>IF(CB141=$CB153,SUMIF($BI141:$BI152,$BX141,$BR141:$BR152),SUMIF($BI141:$BI152,$BX141,$BM141:$BM152))</f>
        <v>12.103</v>
      </c>
      <c r="BZ141" s="821">
        <f>IF(IF(CB141=CB153,SUMIF(BI141:BI152,$BX141,BU141:BU152),SUMIF(BI141:BI152,$BX141,BP141:BP152))=0,NA(),IF(CB141=CB153,SUMIF(BI141:BI152,$BX141,BU141:BU152),SUMIF(BI141:BI152,$BX141,BP141:BP152)))</f>
        <v>0.3</v>
      </c>
      <c r="CA141" s="640">
        <f>IF(IF(CB141=CB153,SUMIF(BI141:BI152,$BX141,BS141:BS152),SUMIF(BI141:BI152,$BX141,BN141:BN152))=0,NA(),IF(CB141=CB153,SUMIF(BI141:BI152,$BX141,BS141:BS152),SUMIF(BI141:BI152,$BX141,BN141:BN152)))</f>
        <v>0.35991076592580351</v>
      </c>
      <c r="CB141" s="645">
        <f>CB122</f>
        <v>23</v>
      </c>
      <c r="CC141" s="645">
        <f t="shared" ref="CC141:CC151" si="39">IF(CC142-1&lt;1,CC142+11,CC142-1)</f>
        <v>10</v>
      </c>
    </row>
    <row r="142" spans="61:81" ht="15" customHeight="1">
      <c r="BI142" s="638" t="s">
        <v>321</v>
      </c>
      <c r="BJ142" s="638">
        <v>2</v>
      </c>
      <c r="BK142" s="638" t="s">
        <v>320</v>
      </c>
      <c r="BL142" s="825">
        <f t="shared" ref="BL142:BL152" si="40">IF(BM123="","",BM123)</f>
        <v>5.282</v>
      </c>
      <c r="BM142" s="822">
        <v>14.914999999999999</v>
      </c>
      <c r="BN142" s="653">
        <f t="shared" ref="BN142:BN152" si="41">IF(BM142="","",BL142/BM142)</f>
        <v>0.35414012738853506</v>
      </c>
      <c r="BO142" s="855"/>
      <c r="BP142" s="657">
        <v>0.3</v>
      </c>
      <c r="BQ142" s="846" t="str">
        <f t="shared" ref="BQ142:BQ152" si="42">IF(BR123="","",BR123)</f>
        <v/>
      </c>
      <c r="BR142" s="822"/>
      <c r="BS142" s="653" t="str">
        <f t="shared" ref="BS142:BS152" si="43">IF(BR142="","",BQ142/BR142)</f>
        <v/>
      </c>
      <c r="BT142" s="854"/>
      <c r="BU142" s="657">
        <v>0.3</v>
      </c>
      <c r="BX142" s="666" t="str">
        <f t="shared" si="38"/>
        <v>Nov</v>
      </c>
      <c r="BY142" s="643">
        <f>IF(CB142=$CB153,SUMIF($BI141:$BI152,$BX142,$BR141:$BR152),SUMIF($BI141:$BI152,$BX142,$BM141:$BM152))</f>
        <v>14.914999999999999</v>
      </c>
      <c r="BZ142" s="821">
        <f>IF(IF(CB142=CB153,SUMIF(BI141:BI152,$BX142,BU141:BU152),SUMIF(BI141:BI152,$BX142,BP141:BP152))=0,NA(),IF(CB142=CB153,SUMIF(BI141:BI152,$BX142,BU141:BU152),SUMIF(BI141:BI152,$BX142,BP141:BP152)))</f>
        <v>0.3</v>
      </c>
      <c r="CA142" s="640">
        <f>IF(IF(CB142=CB153,SUMIF(BI141:BI152,$BX142,BS141:BS152),SUMIF(BI141:BI152,$BX142,BN141:BN152))=0,NA(),IF(CB142=CB153,SUMIF(BI141:BI152,$BX142,BS141:BS152),SUMIF(BI141:BI152,$BX142,BN141:BN152)))</f>
        <v>0.35414012738853506</v>
      </c>
      <c r="CB142" s="645">
        <f t="shared" ref="CB142:CB152" si="44">CB123</f>
        <v>23</v>
      </c>
      <c r="CC142" s="645">
        <f t="shared" si="39"/>
        <v>11</v>
      </c>
    </row>
    <row r="143" spans="61:81" ht="15" customHeight="1">
      <c r="BI143" s="638" t="s">
        <v>322</v>
      </c>
      <c r="BJ143" s="638">
        <v>3</v>
      </c>
      <c r="BK143" s="638" t="s">
        <v>320</v>
      </c>
      <c r="BL143" s="825">
        <f t="shared" si="40"/>
        <v>5.8470000000000004</v>
      </c>
      <c r="BM143" s="822">
        <v>16.747</v>
      </c>
      <c r="BN143" s="653">
        <f t="shared" si="41"/>
        <v>0.34913715889413033</v>
      </c>
      <c r="BO143" s="855"/>
      <c r="BP143" s="657">
        <v>0.3</v>
      </c>
      <c r="BQ143" s="846" t="str">
        <f>IF(BR124="","",BR124)</f>
        <v/>
      </c>
      <c r="BR143" s="822"/>
      <c r="BS143" s="653" t="str">
        <f t="shared" si="43"/>
        <v/>
      </c>
      <c r="BT143" s="854"/>
      <c r="BU143" s="657">
        <v>0.3</v>
      </c>
      <c r="BX143" s="666" t="str">
        <f t="shared" si="38"/>
        <v>Dec</v>
      </c>
      <c r="BY143" s="643">
        <f>IF(CB143=$CB153,SUMIF($BI141:$BI152,$BX143,$BR141:$BR152),SUMIF($BI141:$BI152,$BX143,$BM141:$BM152))</f>
        <v>16.747</v>
      </c>
      <c r="BZ143" s="821">
        <f>IF(IF(CB143=CB153,SUMIF(BI141:BI152,$BX143,BU141:BU152),SUMIF(BI141:BI152,$BX143,BP141:BP152))=0,NA(),IF(CB143=CB153,SUMIF(BI141:BI152,$BX143,BU141:BU152),SUMIF(BI141:BI152,$BX143,BP141:BP152)))</f>
        <v>0.3</v>
      </c>
      <c r="CA143" s="640">
        <f>IF(IF(CB143=CB153,SUMIF(BI141:BI152,$BX143,BS141:BS152),SUMIF(BI141:BI152,$BX143,BN141:BN152))=0,NA(),IF(CB143=CB153,SUMIF(BI141:BI152,$BX143,BS141:BS152),SUMIF(BI141:BI152,$BX143,BN141:BN152)))</f>
        <v>0.34913715889413033</v>
      </c>
      <c r="CB143" s="645">
        <f t="shared" si="44"/>
        <v>23</v>
      </c>
      <c r="CC143" s="645">
        <f t="shared" si="39"/>
        <v>12</v>
      </c>
    </row>
    <row r="144" spans="61:81" ht="15" customHeight="1">
      <c r="BI144" s="638" t="s">
        <v>323</v>
      </c>
      <c r="BJ144" s="638">
        <v>4</v>
      </c>
      <c r="BK144" s="638" t="s">
        <v>324</v>
      </c>
      <c r="BL144" s="825">
        <f t="shared" si="40"/>
        <v>5.8680000000000003</v>
      </c>
      <c r="BM144" s="822">
        <v>16.812000000000001</v>
      </c>
      <c r="BN144" s="653">
        <f t="shared" si="41"/>
        <v>0.34903640256959312</v>
      </c>
      <c r="BO144" s="289">
        <f>IF(SUM(BM144:BM146=0),0,SUM(BL144:BL146)/SUM(BM144:BM146))</f>
        <v>0.36380875853756528</v>
      </c>
      <c r="BP144" s="657">
        <v>0.3</v>
      </c>
      <c r="BQ144" s="846" t="str">
        <f t="shared" si="42"/>
        <v/>
      </c>
      <c r="BR144" s="822"/>
      <c r="BS144" s="653" t="str">
        <f t="shared" si="43"/>
        <v/>
      </c>
      <c r="BT144" s="289">
        <f>IF(SUM(BR144:BR146=0),0,SUM(BQ144:BQ146)/SUM(BR144:BR146))</f>
        <v>0</v>
      </c>
      <c r="BU144" s="657">
        <v>0.3</v>
      </c>
      <c r="BX144" s="666" t="str">
        <f t="shared" si="38"/>
        <v>Jan</v>
      </c>
      <c r="BY144" s="643">
        <f>IF(CB144=$CB153,SUMIF($BI141:$BI152,$BX144,$BR141:$BR152),SUMIF($BI141:$BI152,$BX144,$BM141:$BM152))</f>
        <v>16.812000000000001</v>
      </c>
      <c r="BZ144" s="821">
        <f>IF(IF(CB144=CB153,SUMIF(BI141:BI152,$BX144,BU141:BU152),SUMIF(BI141:BI152,$BX144,BP141:BP152))=0,NA(),IF(CB144=CB153,SUMIF(BI141:BI152,$BX144,BU141:BU152),SUMIF(BI141:BI152,$BX144,BP141:BP152)))</f>
        <v>0.3</v>
      </c>
      <c r="CA144" s="640">
        <f>IF(IF(CB144=CB153,SUMIF(BI141:BI152,$BX144,BS141:BS152),SUMIF(BI141:BI152,$BX144,BN141:BN152))=0,NA(),IF(CB144=CB153,SUMIF(BI141:BI152,$BX144,BS141:BS152),SUMIF(BI141:BI152,$BX144,BN141:BN152)))</f>
        <v>0.34903640256959312</v>
      </c>
      <c r="CB144" s="645">
        <f t="shared" si="44"/>
        <v>23</v>
      </c>
      <c r="CC144" s="645">
        <f t="shared" si="39"/>
        <v>1</v>
      </c>
    </row>
    <row r="145" spans="61:81" ht="15" customHeight="1">
      <c r="BI145" s="638" t="s">
        <v>325</v>
      </c>
      <c r="BJ145" s="638">
        <v>5</v>
      </c>
      <c r="BK145" s="638" t="s">
        <v>324</v>
      </c>
      <c r="BL145" s="825">
        <f t="shared" si="40"/>
        <v>6.7709999999999999</v>
      </c>
      <c r="BM145" s="690">
        <v>18.614999999999998</v>
      </c>
      <c r="BN145" s="653">
        <f t="shared" si="41"/>
        <v>0.36373892022562454</v>
      </c>
      <c r="BO145" s="855"/>
      <c r="BP145" s="657">
        <v>0.3</v>
      </c>
      <c r="BQ145" s="846" t="str">
        <f t="shared" si="42"/>
        <v/>
      </c>
      <c r="BR145" s="690"/>
      <c r="BS145" s="653" t="str">
        <f t="shared" si="43"/>
        <v/>
      </c>
      <c r="BT145" s="854"/>
      <c r="BU145" s="657">
        <v>0.3</v>
      </c>
      <c r="BX145" s="666" t="str">
        <f t="shared" si="38"/>
        <v>Feb</v>
      </c>
      <c r="BY145" s="643">
        <f>IF(CB145=$CB153,SUMIF($BI141:$BI152,$BX145,$BR141:$BR152),SUMIF($BI141:$BI152,$BX145,$BM141:$BM152))</f>
        <v>18.614999999999998</v>
      </c>
      <c r="BZ145" s="821">
        <f>IF(IF(CB145=CB153,SUMIF(BI141:BI152,$BX145,BU141:BU152),SUMIF(BI141:BI152,$BX145,BP141:BP152))=0,NA(),IF(CB145=CB153,SUMIF(BI141:BI152,$BX145,BU141:BU152),SUMIF(BI141:BI152,$BX145,BP141:BP152)))</f>
        <v>0.3</v>
      </c>
      <c r="CA145" s="640">
        <f>IF(IF(CB145=CB153,SUMIF(BI141:BI152,$BX145,BS141:BS152),SUMIF(BI141:BI152,$BX145,BN141:BN152))=0,NA(),IF(CB145=CB153,SUMIF(BI141:BI152,$BX145,BS141:BS152),SUMIF(BI141:BI152,$BX145,BN141:BN152)))</f>
        <v>0.36373892022562454</v>
      </c>
      <c r="CB145" s="645">
        <f t="shared" si="44"/>
        <v>23</v>
      </c>
      <c r="CC145" s="645">
        <f t="shared" si="39"/>
        <v>2</v>
      </c>
    </row>
    <row r="146" spans="61:81" ht="15" customHeight="1">
      <c r="BI146" s="638" t="s">
        <v>326</v>
      </c>
      <c r="BJ146" s="638">
        <v>6</v>
      </c>
      <c r="BK146" s="638" t="s">
        <v>324</v>
      </c>
      <c r="BL146" s="825">
        <f t="shared" si="40"/>
        <v>9.9990000000000006</v>
      </c>
      <c r="BM146" s="690">
        <v>26.797999999999998</v>
      </c>
      <c r="BN146" s="653">
        <f t="shared" si="41"/>
        <v>0.37312486006418394</v>
      </c>
      <c r="BO146" s="855"/>
      <c r="BP146" s="657">
        <v>0.3</v>
      </c>
      <c r="BQ146" s="846" t="str">
        <f t="shared" si="42"/>
        <v/>
      </c>
      <c r="BR146" s="690"/>
      <c r="BS146" s="653" t="str">
        <f t="shared" si="43"/>
        <v/>
      </c>
      <c r="BT146" s="854"/>
      <c r="BU146" s="657">
        <v>0.3</v>
      </c>
      <c r="BX146" s="666" t="str">
        <f t="shared" si="38"/>
        <v>Mar</v>
      </c>
      <c r="BY146" s="643">
        <f>IF(CB146=$CB153,SUMIF($BI141:$BI152,$BX146,$BR141:$BR152),SUMIF($BI141:$BI152,$BX146,$BM141:$BM152))</f>
        <v>26.797999999999998</v>
      </c>
      <c r="BZ146" s="821">
        <f>IF(IF(CB146=CB153,SUMIF(BI141:BI152,$BX146,BU141:BU152),SUMIF(BI141:BI152,$BX146,BP141:BP152))=0,NA(),IF(CB146=CB153,SUMIF(BI141:BI152,$BX146,BU141:BU152),SUMIF(BI141:BI152,$BX146,BP141:BP152)))</f>
        <v>0.3</v>
      </c>
      <c r="CA146" s="640">
        <f>IF(IF(CB146=CB153,SUMIF(BI141:BI152,$BX146,BS141:BS152),SUMIF(BI141:BI152,$BX146,BN141:BN152))=0,NA(),IF(CB146=CB153,SUMIF(BI141:BI152,$BX146,BS141:BS152),SUMIF(BI141:BI152,$BX146,BN141:BN152)))</f>
        <v>0.37312486006418394</v>
      </c>
      <c r="CB146" s="645">
        <f t="shared" si="44"/>
        <v>23</v>
      </c>
      <c r="CC146" s="645">
        <f t="shared" si="39"/>
        <v>3</v>
      </c>
    </row>
    <row r="147" spans="61:81" ht="15" customHeight="1">
      <c r="BI147" s="638" t="s">
        <v>327</v>
      </c>
      <c r="BJ147" s="638">
        <v>7</v>
      </c>
      <c r="BK147" s="638" t="s">
        <v>328</v>
      </c>
      <c r="BL147" s="825">
        <f t="shared" si="40"/>
        <v>7.383</v>
      </c>
      <c r="BM147" s="690">
        <v>19.777999999999999</v>
      </c>
      <c r="BN147" s="653">
        <f t="shared" si="41"/>
        <v>0.3732935584993427</v>
      </c>
      <c r="BO147" s="289">
        <f>IF(SUM(BM147:BM149=0),0,SUM(BL147:BL149)/SUM(BM147:BM149))</f>
        <v>0.4017673484836019</v>
      </c>
      <c r="BP147" s="657">
        <v>0.3</v>
      </c>
      <c r="BQ147" s="846" t="str">
        <f t="shared" si="42"/>
        <v/>
      </c>
      <c r="BR147" s="690"/>
      <c r="BS147" s="653" t="str">
        <f t="shared" si="43"/>
        <v/>
      </c>
      <c r="BT147" s="289">
        <f>IF(SUM(BR147:BR149=0),0,SUM(BQ147:BQ149)/SUM(BR147:BR149))</f>
        <v>0</v>
      </c>
      <c r="BU147" s="657">
        <v>0.3</v>
      </c>
      <c r="BX147" s="666" t="str">
        <f t="shared" si="38"/>
        <v>Apr</v>
      </c>
      <c r="BY147" s="643">
        <f>IF(CB147=$CB153,SUMIF($BI141:$BI152,$BX147,$BR141:$BR152),SUMIF($BI141:$BI152,$BX147,$BM141:$BM152))</f>
        <v>19.777999999999999</v>
      </c>
      <c r="BZ147" s="821">
        <f>IF(IF(CB147=CB153,SUMIF(BI141:BI152,$BX147,BU141:BU152),SUMIF(BI141:BI152,$BX147,BP141:BP152))=0,NA(),IF(CB147=CB153,SUMIF(BI141:BI152,$BX147,BU141:BU152),SUMIF(BI141:BI152,$BX147,BP141:BP152)))</f>
        <v>0.3</v>
      </c>
      <c r="CA147" s="640">
        <f>IF(IF(CB147=CB153,SUMIF(BI141:BI152,$BX147,BS141:BS152),SUMIF(BI141:BI152,$BX147,BN141:BN152))=0,NA(),IF(CB147=CB153,SUMIF(BI141:BI152,$BX147,BS141:BS152),SUMIF(BI141:BI152,$BX147,BN141:BN152)))</f>
        <v>0.3732935584993427</v>
      </c>
      <c r="CB147" s="645">
        <f t="shared" si="44"/>
        <v>23</v>
      </c>
      <c r="CC147" s="645">
        <f t="shared" si="39"/>
        <v>4</v>
      </c>
    </row>
    <row r="148" spans="61:81" ht="15" customHeight="1">
      <c r="BI148" s="638" t="s">
        <v>329</v>
      </c>
      <c r="BJ148" s="638">
        <v>8</v>
      </c>
      <c r="BK148" s="638" t="s">
        <v>328</v>
      </c>
      <c r="BL148" s="825">
        <f>IF(BM129="","",BM129)</f>
        <v>7.6779999999999999</v>
      </c>
      <c r="BM148" s="690">
        <v>18.437999999999999</v>
      </c>
      <c r="BN148" s="653">
        <f t="shared" si="41"/>
        <v>0.41642260548866472</v>
      </c>
      <c r="BO148" s="855"/>
      <c r="BP148" s="657">
        <v>0.3</v>
      </c>
      <c r="BQ148" s="846" t="str">
        <f>IF(BR129="","",BR129)</f>
        <v/>
      </c>
      <c r="BR148" s="690"/>
      <c r="BS148" s="653" t="str">
        <f>IF(BR148="","",BQ148/BR148)</f>
        <v/>
      </c>
      <c r="BT148" s="854"/>
      <c r="BU148" s="657">
        <v>0.3</v>
      </c>
      <c r="BX148" s="666" t="str">
        <f t="shared" si="38"/>
        <v>May</v>
      </c>
      <c r="BY148" s="643">
        <f>IF(CB148=$CB153,SUMIF($BI141:$BI152,$BX148,$BR141:$BR152),SUMIF($BI141:$BI152,$BX148,$BM141:$BM152))</f>
        <v>18.437999999999999</v>
      </c>
      <c r="BZ148" s="821">
        <f>IF(IF(CB148=CB153,SUMIF(BI141:BI152,$BX148,BU141:BU152),SUMIF(BI141:BI152,$BX148,BP141:BP152))=0,NA(),IF(CB148=CB153,SUMIF(BI141:BI152,$BX148,BU141:BU152),SUMIF(BI141:BI152,$BX148,BP141:BP152)))</f>
        <v>0.3</v>
      </c>
      <c r="CA148" s="640">
        <f>IF(IF(CB148=CB153,SUMIF(BI141:BI152,$BX148,BS141:BS152),SUMIF(BI141:BI152,$BX148,BN141:BN152))=0,NA(),IF(CB148=CB153,SUMIF(BI141:BI152,$BX148,BS141:BS152),SUMIF(BI141:BI152,$BX148,BN141:BN152)))</f>
        <v>0.41642260548866472</v>
      </c>
      <c r="CB148" s="645">
        <f t="shared" si="44"/>
        <v>23</v>
      </c>
      <c r="CC148" s="645">
        <f t="shared" si="39"/>
        <v>5</v>
      </c>
    </row>
    <row r="149" spans="61:81" ht="15" customHeight="1">
      <c r="BI149" s="638" t="s">
        <v>331</v>
      </c>
      <c r="BJ149" s="638">
        <v>9</v>
      </c>
      <c r="BK149" s="638" t="s">
        <v>328</v>
      </c>
      <c r="BL149" s="825">
        <f t="shared" si="40"/>
        <v>9.3539999999999992</v>
      </c>
      <c r="BM149" s="690">
        <v>22.553000000000001</v>
      </c>
      <c r="BN149" s="653">
        <f t="shared" si="41"/>
        <v>0.41475635170487291</v>
      </c>
      <c r="BO149" s="855"/>
      <c r="BP149" s="657">
        <v>0.3</v>
      </c>
      <c r="BQ149" s="846" t="str">
        <f t="shared" si="42"/>
        <v/>
      </c>
      <c r="BR149" s="690"/>
      <c r="BS149" s="653" t="str">
        <f t="shared" si="43"/>
        <v/>
      </c>
      <c r="BT149" s="854"/>
      <c r="BU149" s="657">
        <v>0.3</v>
      </c>
      <c r="BX149" s="666" t="str">
        <f t="shared" si="38"/>
        <v>Jun</v>
      </c>
      <c r="BY149" s="643">
        <f>IF(CB149=$CB153,SUMIF($BI141:$BI152,$BX149,$BR141:$BR152),SUMIF($BI141:$BI152,$BX149,$BM141:$BM152))</f>
        <v>22.553000000000001</v>
      </c>
      <c r="BZ149" s="821">
        <f>IF(IF(CB149=CB153,SUMIF(BI141:BI152,$BX149,BU141:BU152),SUMIF(BI141:BI152,$BX149,BP141:BP152))=0,NA(),IF(CB149=CB153,SUMIF(BI141:BI152,$BX149,BU141:BU152),SUMIF(BI141:BI152,$BX149,BP141:BP152)))</f>
        <v>0.3</v>
      </c>
      <c r="CA149" s="640">
        <f>IF(IF(CB149=CB153,SUMIF(BI141:BI152,$BX149,BS141:BS152),SUMIF(BI141:BI152,$BX149,BN141:BN152))=0,NA(),IF(CB149=CB153,SUMIF(BI141:BI152,$BX149,BS141:BS152),SUMIF(BI141:BI152,$BX149,BN141:BN152)))</f>
        <v>0.41475635170487291</v>
      </c>
      <c r="CB149" s="645">
        <f t="shared" si="44"/>
        <v>23</v>
      </c>
      <c r="CC149" s="645">
        <f t="shared" si="39"/>
        <v>6</v>
      </c>
    </row>
    <row r="150" spans="61:81" ht="15" customHeight="1">
      <c r="BI150" s="638" t="s">
        <v>337</v>
      </c>
      <c r="BJ150" s="638">
        <v>10</v>
      </c>
      <c r="BK150" s="638" t="s">
        <v>338</v>
      </c>
      <c r="BL150" s="825">
        <f t="shared" si="40"/>
        <v>8.1159999999999997</v>
      </c>
      <c r="BM150" s="690">
        <v>18.434000000000001</v>
      </c>
      <c r="BN150" s="653">
        <f t="shared" si="41"/>
        <v>0.44027340783335139</v>
      </c>
      <c r="BO150" s="289">
        <f>IF(SUM(BM150:BM152=0),0,SUM(BL150:BL152)/SUM(BM150:BM152))</f>
        <v>0.44062222766068093</v>
      </c>
      <c r="BP150" s="657">
        <v>0.3</v>
      </c>
      <c r="BQ150" s="846" t="str">
        <f t="shared" si="42"/>
        <v/>
      </c>
      <c r="BR150" s="690"/>
      <c r="BS150" s="653" t="str">
        <f t="shared" si="43"/>
        <v/>
      </c>
      <c r="BT150" s="289">
        <f>IF(SUM(BR150:BR152=0),0,SUM(BQ150:BQ152)/SUM(BR150:BR152))</f>
        <v>0</v>
      </c>
      <c r="BU150" s="657">
        <v>0.3</v>
      </c>
      <c r="BX150" s="666" t="str">
        <f t="shared" si="38"/>
        <v>Jul</v>
      </c>
      <c r="BY150" s="643">
        <f>IF(CB150=$CB153,SUMIF($BI141:$BI152,$BX150,$BR141:$BR152),SUMIF($BI141:$BI152,$BX150,$BM141:$BM152))</f>
        <v>18.434000000000001</v>
      </c>
      <c r="BZ150" s="821">
        <f>IF(IF(CB150=CB153,SUMIF(BI141:BI152,$BX150,BU141:BU152),SUMIF(BI141:BI152,$BX150,BP141:BP152))=0,NA(),IF(CB150=CB153,SUMIF(BI141:BI152,$BX150,BU141:BU152),SUMIF(BI141:BI152,$BX150,BP141:BP152)))</f>
        <v>0.3</v>
      </c>
      <c r="CA150" s="640">
        <f>IF(IF(CB150=CB153,SUMIF(BI141:BI152,$BX150,BS141:BS152),SUMIF(BI141:BI152,$BX150,BN141:BN152))=0,NA(),IF(CB150=CB153,SUMIF(BI141:BI152,$BX150,BS141:BS152),SUMIF(BI141:BI152,$BX150,BN141:BN152)))</f>
        <v>0.44027340783335139</v>
      </c>
      <c r="CB150" s="645">
        <f t="shared" si="44"/>
        <v>23</v>
      </c>
      <c r="CC150" s="645">
        <f t="shared" si="39"/>
        <v>7</v>
      </c>
    </row>
    <row r="151" spans="61:81" ht="15" customHeight="1">
      <c r="BI151" s="638" t="s">
        <v>343</v>
      </c>
      <c r="BJ151" s="638">
        <v>11</v>
      </c>
      <c r="BK151" s="638" t="s">
        <v>338</v>
      </c>
      <c r="BL151" s="825">
        <f t="shared" si="40"/>
        <v>9.1709999999999994</v>
      </c>
      <c r="BM151" s="690">
        <v>21.088999999999999</v>
      </c>
      <c r="BN151" s="653">
        <f t="shared" si="41"/>
        <v>0.43487125989852532</v>
      </c>
      <c r="BO151" s="855"/>
      <c r="BP151" s="657">
        <v>0.3</v>
      </c>
      <c r="BQ151" s="846" t="str">
        <f t="shared" si="42"/>
        <v/>
      </c>
      <c r="BR151" s="690"/>
      <c r="BS151" s="653" t="str">
        <f t="shared" si="43"/>
        <v/>
      </c>
      <c r="BT151" s="854"/>
      <c r="BU151" s="657">
        <v>0.3</v>
      </c>
      <c r="BX151" s="666" t="str">
        <f t="shared" si="38"/>
        <v>Aug</v>
      </c>
      <c r="BY151" s="643">
        <f>IF(CB151=$CB153,SUMIF($BI141:$BI152,$BX151,$BR141:$BR152),SUMIF($BI141:$BI152,$BX151,$BM141:$BM152))</f>
        <v>21.088999999999999</v>
      </c>
      <c r="BZ151" s="821">
        <f>IF(IF(CB151=CB153,SUMIF(BI141:BI152,$BX151,BU141:BU152),SUMIF(BI141:BI152,$BX151,BP141:BP152))=0,NA(),IF(CB151=CB153,SUMIF(BI141:BI152,$BX151,BU141:BU152),SUMIF(BI141:BI152,$BX151,BP141:BP152)))</f>
        <v>0.3</v>
      </c>
      <c r="CA151" s="640">
        <f>IF(IF(CB151=CB153,SUMIF(BI141:BI152,$BX151,BS141:BS152),SUMIF(BI141:BI152,$BX151,BN141:BN152))=0,NA(),IF(CB151=CB153,SUMIF(BI141:BI152,$BX151,BS141:BS152),SUMIF(BI141:BI152,$BX151,BN141:BN152)))</f>
        <v>0.43487125989852532</v>
      </c>
      <c r="CB151" s="645">
        <f t="shared" si="44"/>
        <v>23</v>
      </c>
      <c r="CC151" s="645">
        <f t="shared" si="39"/>
        <v>8</v>
      </c>
    </row>
    <row r="152" spans="61:81" ht="15" customHeight="1">
      <c r="BI152" s="638" t="s">
        <v>344</v>
      </c>
      <c r="BJ152" s="638">
        <v>12</v>
      </c>
      <c r="BK152" s="638" t="s">
        <v>338</v>
      </c>
      <c r="BL152" s="825">
        <f t="shared" si="40"/>
        <v>11.52</v>
      </c>
      <c r="BM152" s="690">
        <v>25.855</v>
      </c>
      <c r="BN152" s="653">
        <f t="shared" si="41"/>
        <v>0.44556178688841613</v>
      </c>
      <c r="BO152" s="855"/>
      <c r="BP152" s="657">
        <v>0.3</v>
      </c>
      <c r="BQ152" s="846" t="str">
        <f t="shared" si="42"/>
        <v/>
      </c>
      <c r="BR152" s="690"/>
      <c r="BS152" s="653" t="str">
        <f t="shared" si="43"/>
        <v/>
      </c>
      <c r="BT152" s="854"/>
      <c r="BU152" s="657">
        <v>0.3</v>
      </c>
      <c r="BX152" s="666" t="str">
        <f t="shared" si="38"/>
        <v>Sep</v>
      </c>
      <c r="BY152" s="643">
        <f>IF(CB152=$CB153,SUMIF($BI141:$BI152,$BX152,$BR141:$BR152),SUMIF($BI141:$BI152,$BX152,$BM141:$BM152))</f>
        <v>25.855</v>
      </c>
      <c r="BZ152" s="821">
        <f>IF(IF(CB152=CB153,SUMIF(BI141:BI152,$BX152,BU141:BU152),SUMIF(BI141:BI152,$BX152,BP141:BP152))=0,NA(),IF(CB152=CB153,SUMIF(BI141:BI152,$BX152,BU141:BU152),SUMIF(BI141:BI152,$BX152,BP141:BP152)))</f>
        <v>0.3</v>
      </c>
      <c r="CA152" s="640">
        <f>IF(IF(CB152=CB153,SUMIF(BI141:BI152,$BX152,BS141:BS152),SUMIF(BI141:BI152,$BX152,BN141:BN152))=0,NA(),IF(CB152=CB153,SUMIF(BI141:BI152,$BX152,BS141:BS152),SUMIF(BI141:BI152,$BX152,BN141:BN152)))</f>
        <v>0.44556178688841613</v>
      </c>
      <c r="CB152" s="645">
        <f t="shared" si="44"/>
        <v>23</v>
      </c>
      <c r="CC152" s="645">
        <f>IF(CC153-1&lt;1,CC153+11,CC153-1)</f>
        <v>9</v>
      </c>
    </row>
    <row r="153" spans="61:81" ht="15" customHeight="1">
      <c r="BJ153" s="277"/>
      <c r="BK153" s="277"/>
      <c r="BL153" s="277"/>
      <c r="BM153" s="277"/>
      <c r="BN153" s="698" t="str">
        <f t="shared" ref="BN153" si="45">IFERROR(BL153/BM153,"")</f>
        <v/>
      </c>
      <c r="BO153" s="277"/>
      <c r="BP153" s="277"/>
      <c r="BQ153" s="277"/>
      <c r="BR153" s="277"/>
      <c r="BS153" s="277"/>
      <c r="BT153" s="277"/>
      <c r="BW153" s="667" t="str">
        <f>Cover!$M$34</f>
        <v>OCT FY-24</v>
      </c>
      <c r="BX153" s="666" t="str">
        <f>TEXT(CONCATENATE(CC153,"/01/20",CB153),"MMM")</f>
        <v>Oct</v>
      </c>
      <c r="BY153" s="643">
        <f>SUMIF($BI141:$BI152,$BX153,$BR141:$BR152)</f>
        <v>17.864000000000001</v>
      </c>
      <c r="BZ153" s="821">
        <f>IF(IF(CB153=CB153,SUMIF(BI141:BI152,$BX153,BU141:BU152),SUMIF(BI141:BI152,$BX153,BP141:BP152))=0,NA(),IF(CB153=CB153,SUMIF(BI141:BI152,$BX153,BU141:BU152),SUMIF(BI141:BI152,$BX153,BP141:BP152)))</f>
        <v>0.3</v>
      </c>
      <c r="CA153" s="640">
        <f>IF(SUMIF($BI141:$BI152,$BX153,$BS141:$BS152)=0,NA(),SUMIF($BI141:$BI152,$BX153,$BS141:$BS152))</f>
        <v>0.45465741155396328</v>
      </c>
      <c r="CB153" s="645">
        <f>CB134</f>
        <v>24</v>
      </c>
      <c r="CC153" s="645">
        <f>MONTH(DATEVALUE(LEFT(BW153,3)&amp;" 1"))</f>
        <v>10</v>
      </c>
    </row>
    <row r="154" spans="61:81" ht="15" customHeight="1">
      <c r="BJ154" s="6"/>
      <c r="BK154" s="6"/>
      <c r="BL154" s="6"/>
      <c r="BM154" s="6"/>
      <c r="BN154" s="6"/>
      <c r="BO154" s="6"/>
      <c r="BP154" s="6"/>
      <c r="BQ154" s="6"/>
      <c r="BR154" s="6"/>
      <c r="BS154" s="6"/>
      <c r="BT154" s="6"/>
      <c r="BU154" s="6"/>
      <c r="BV154" s="6"/>
    </row>
    <row r="155" spans="61:81" ht="15" customHeight="1">
      <c r="BI155" s="54" t="s">
        <v>292</v>
      </c>
      <c r="BJ155" s="1116" t="s">
        <v>465</v>
      </c>
      <c r="BK155" s="1116"/>
      <c r="BL155" s="1116"/>
      <c r="BM155" s="1116"/>
      <c r="BN155" s="1116"/>
      <c r="BO155" s="1116"/>
      <c r="BP155" s="1116"/>
      <c r="BQ155" s="1116"/>
      <c r="BR155" s="1116"/>
      <c r="BS155" s="1116"/>
      <c r="BT155" s="1116"/>
      <c r="BU155" s="1116"/>
      <c r="BY155" s="270"/>
      <c r="BZ155" s="270"/>
      <c r="CA155" s="270"/>
      <c r="CB155" s="270"/>
      <c r="CC155" s="270"/>
    </row>
    <row r="156" spans="61:81" ht="15" customHeight="1">
      <c r="BI156" s="54" t="s">
        <v>296</v>
      </c>
      <c r="BJ156" s="283" t="s">
        <v>472</v>
      </c>
      <c r="BK156" s="283"/>
      <c r="BL156" s="283"/>
      <c r="BM156" s="283"/>
      <c r="BN156" s="283"/>
      <c r="BO156" s="283"/>
      <c r="BP156" s="283"/>
      <c r="BQ156" s="283"/>
      <c r="BR156" s="283"/>
      <c r="BS156" s="283"/>
      <c r="BT156" s="283"/>
      <c r="BU156" s="283"/>
      <c r="BW156" s="270"/>
      <c r="BX156" s="270"/>
    </row>
    <row r="157" spans="61:81" ht="15" customHeight="1">
      <c r="BI157" s="54" t="s">
        <v>300</v>
      </c>
      <c r="BJ157" s="283" t="s">
        <v>473</v>
      </c>
      <c r="BK157" s="283"/>
      <c r="BL157" s="283"/>
      <c r="BM157" s="283"/>
      <c r="BN157" s="283"/>
      <c r="BO157" s="283"/>
      <c r="BP157" s="283"/>
      <c r="BQ157" s="283"/>
      <c r="BR157" s="283"/>
      <c r="BS157" s="283"/>
      <c r="BT157" s="283"/>
      <c r="BU157" s="283"/>
      <c r="BY157" s="270"/>
      <c r="BZ157" s="270"/>
      <c r="CA157" s="270"/>
      <c r="CB157" s="270"/>
      <c r="CC157" s="270"/>
    </row>
    <row r="158" spans="61:81" ht="15" customHeight="1" thickBot="1">
      <c r="BI158" s="54"/>
      <c r="BJ158" s="292"/>
      <c r="BK158" s="292"/>
      <c r="BL158" s="292"/>
      <c r="BM158" s="292"/>
      <c r="BN158" s="292"/>
      <c r="BO158" s="292"/>
      <c r="BP158" s="292"/>
      <c r="BQ158" s="292"/>
      <c r="BR158" s="292"/>
      <c r="BS158" s="292"/>
      <c r="BT158" s="292"/>
      <c r="BU158" s="292"/>
      <c r="BY158" s="270"/>
      <c r="BZ158" s="270"/>
      <c r="CA158" s="270"/>
      <c r="CB158" s="270"/>
      <c r="CC158" s="270"/>
    </row>
    <row r="159" spans="61:81" ht="15" customHeight="1" thickBot="1">
      <c r="BI159" s="1408" t="s">
        <v>451</v>
      </c>
      <c r="BJ159" s="1409"/>
      <c r="BK159" s="1410"/>
      <c r="BL159" s="1408" t="s">
        <v>302</v>
      </c>
      <c r="BM159" s="1409"/>
      <c r="BN159" s="1409"/>
      <c r="BO159" s="1409"/>
      <c r="BP159" s="1410"/>
      <c r="BQ159" s="1408" t="s">
        <v>719</v>
      </c>
      <c r="BR159" s="1409"/>
      <c r="BS159" s="1409"/>
      <c r="BT159" s="1409"/>
      <c r="BU159" s="1410"/>
      <c r="BW159" s="1402" t="s">
        <v>303</v>
      </c>
      <c r="BX159" s="1403"/>
      <c r="BY159" s="1403"/>
      <c r="BZ159" s="1403"/>
      <c r="CA159" s="1403"/>
      <c r="CB159" s="1403"/>
      <c r="CC159" s="1404"/>
    </row>
    <row r="160" spans="61:81" ht="15" customHeight="1">
      <c r="BI160" s="636" t="s">
        <v>23</v>
      </c>
      <c r="BJ160" s="636" t="s">
        <v>37</v>
      </c>
      <c r="BK160" s="636" t="s">
        <v>304</v>
      </c>
      <c r="BL160" s="637" t="s">
        <v>305</v>
      </c>
      <c r="BM160" s="637" t="s">
        <v>310</v>
      </c>
      <c r="BN160" s="637" t="s">
        <v>311</v>
      </c>
      <c r="BO160" s="278" t="s">
        <v>312</v>
      </c>
      <c r="BP160" s="637" t="s">
        <v>313</v>
      </c>
      <c r="BQ160" s="637" t="s">
        <v>305</v>
      </c>
      <c r="BR160" s="637" t="s">
        <v>715</v>
      </c>
      <c r="BS160" s="637" t="s">
        <v>716</v>
      </c>
      <c r="BT160" s="278" t="s">
        <v>717</v>
      </c>
      <c r="BU160" s="637" t="s">
        <v>718</v>
      </c>
      <c r="BW160" s="279" t="s">
        <v>314</v>
      </c>
      <c r="BX160" s="279" t="s">
        <v>23</v>
      </c>
      <c r="BY160" s="280" t="s">
        <v>315</v>
      </c>
      <c r="BZ160" s="279" t="s">
        <v>122</v>
      </c>
      <c r="CA160" s="279" t="s">
        <v>316</v>
      </c>
      <c r="CB160" s="279" t="s">
        <v>317</v>
      </c>
      <c r="CC160" s="279" t="s">
        <v>318</v>
      </c>
    </row>
    <row r="161" spans="61:81" ht="15" customHeight="1">
      <c r="BI161" s="638" t="s">
        <v>319</v>
      </c>
      <c r="BJ161" s="638">
        <v>1</v>
      </c>
      <c r="BK161" s="638" t="s">
        <v>320</v>
      </c>
      <c r="BL161" s="857">
        <f>IF(BM161="","",BN161*BM161)</f>
        <v>3.2765625E-2</v>
      </c>
      <c r="BM161" s="689">
        <v>12.15</v>
      </c>
      <c r="BN161" s="847">
        <v>2.6967592592592594E-3</v>
      </c>
      <c r="BO161" s="849">
        <f>IF(SUM(BM161:BM163=0),0,SUM(BL161:BL163)/SUM(BM161:BM163))</f>
        <v>2.5757339158111923E-3</v>
      </c>
      <c r="BP161" s="851">
        <v>6.9444444444444447E-4</v>
      </c>
      <c r="BQ161" s="857">
        <f>IF(BR161="","",BS161*BR161)</f>
        <v>8.8743055555555554E-3</v>
      </c>
      <c r="BR161" s="685">
        <v>19.66</v>
      </c>
      <c r="BS161" s="847">
        <v>4.5138888888888892E-4</v>
      </c>
      <c r="BT161" s="849">
        <f>IF(SUM(BR161:BR163=0),0,SUM(BQ161:BQ163)/SUM(BR161:BR163))</f>
        <v>4.5138888888888887E-4</v>
      </c>
      <c r="BU161" s="851">
        <v>6.9444444444444447E-4</v>
      </c>
      <c r="BX161" s="666" t="str">
        <f t="shared" ref="BX161:BX172" si="46">TEXT(CONCATENATE(CC161,"/01/20",CB161),"MMM")</f>
        <v>Oct</v>
      </c>
      <c r="BY161" s="643">
        <f>IF(CB161=$CB173,SUMIF($BI161:$BI172,$BX161,$BR161:$BR172),SUMIF($BI161:$BI172,$BX161,$BM161:$BM172))</f>
        <v>12.15</v>
      </c>
      <c r="BZ161" s="877">
        <f>IF(IF(CB161=CB173,SUMIF(BI161:BI172,$BX161,BU161:BU172),SUMIF(BI161:BI172,$BX161,BP161:BP172))=0,NA(),IF(CB161=CB173,SUMIF(BI161:BI172,$BX161,BU161:BU172),SUMIF(BI161:BI172,$BX161,BP161:BP172)))</f>
        <v>6.9444444444444447E-4</v>
      </c>
      <c r="CA161" s="876">
        <f>IF(IF(CB161=CB173,SUMIF(BI161:BI172,$BX161,BS161:BS172),SUMIF(BI161:BI172,$BX161,BN161:BN172))=0,NA(),IF(CB161=CB173,SUMIF(BI161:BI172,$BX161,BS161:BS172),SUMIF(BI161:BI172,$BX161,BN161:BN172)))</f>
        <v>2.6967592592592594E-3</v>
      </c>
      <c r="CB161" s="645">
        <f>CB141</f>
        <v>23</v>
      </c>
      <c r="CC161" s="645">
        <f t="shared" ref="CC161:CC171" si="47">IF(CC162-1&lt;1,CC162+11,CC162-1)</f>
        <v>10</v>
      </c>
    </row>
    <row r="162" spans="61:81" ht="15" customHeight="1">
      <c r="BI162" s="638" t="s">
        <v>321</v>
      </c>
      <c r="BJ162" s="638">
        <v>2</v>
      </c>
      <c r="BK162" s="638" t="s">
        <v>320</v>
      </c>
      <c r="BL162" s="857">
        <f t="shared" ref="BL162:BL172" si="48">IF(BM162="","",BN162*BM162)</f>
        <v>3.2013136574074078E-2</v>
      </c>
      <c r="BM162" s="689">
        <v>14.951000000000001</v>
      </c>
      <c r="BN162" s="847">
        <v>2.1412037037037038E-3</v>
      </c>
      <c r="BO162" s="852"/>
      <c r="BP162" s="851">
        <v>6.9444444444444447E-4</v>
      </c>
      <c r="BQ162" s="857" t="str">
        <f t="shared" ref="BQ162:BQ172" si="49">IF(BR162="","",BS162*BR162)</f>
        <v/>
      </c>
      <c r="BR162" s="685"/>
      <c r="BS162" s="847"/>
      <c r="BT162" s="852"/>
      <c r="BU162" s="851">
        <v>6.9444444444444447E-4</v>
      </c>
      <c r="BX162" s="666" t="str">
        <f t="shared" si="46"/>
        <v>Nov</v>
      </c>
      <c r="BY162" s="643">
        <f>IF(CB162=$CB173,SUMIF($BI161:$BI172,$BX162,$BR161:$BR172),SUMIF($BI161:$BI172,$BX162,$BM161:$BM172))</f>
        <v>14.951000000000001</v>
      </c>
      <c r="BZ162" s="877">
        <f>IF(IF(CB162=CB173,SUMIF(BI161:BI172,$BX162,BU161:BU172),SUMIF(BI161:BI172,$BX162,BP161:BP172))=0,NA(),IF(CB162=CB173,SUMIF(BI161:BI172,$BX162,BU161:BU172),SUMIF(BI161:BI172,$BX162,BP161:BP172)))</f>
        <v>6.9444444444444447E-4</v>
      </c>
      <c r="CA162" s="876">
        <f>IF(IF(CB162=CB173,SUMIF(BI161:BI172,$BX162,BS161:BS172),SUMIF(BI161:BI172,$BX162,BN161:BN172))=0,NA(),IF(CB162=CB173,SUMIF(BI161:BI172,$BX162,BS161:BS172),SUMIF(BI161:BI172,$BX162,BN161:BN172)))</f>
        <v>2.1412037037037038E-3</v>
      </c>
      <c r="CB162" s="645">
        <f t="shared" ref="CB162:CB172" si="50">CB142</f>
        <v>23</v>
      </c>
      <c r="CC162" s="645">
        <f t="shared" si="47"/>
        <v>11</v>
      </c>
    </row>
    <row r="163" spans="61:81" ht="15" customHeight="1">
      <c r="BI163" s="638" t="s">
        <v>322</v>
      </c>
      <c r="BJ163" s="638">
        <v>3</v>
      </c>
      <c r="BK163" s="638" t="s">
        <v>320</v>
      </c>
      <c r="BL163" s="857">
        <f t="shared" si="48"/>
        <v>4.8965648148148161E-2</v>
      </c>
      <c r="BM163" s="689">
        <v>17.059000000000001</v>
      </c>
      <c r="BN163" s="847">
        <v>2.8703703703703708E-3</v>
      </c>
      <c r="BO163" s="852"/>
      <c r="BP163" s="851">
        <v>6.9444444444444447E-4</v>
      </c>
      <c r="BQ163" s="857" t="str">
        <f t="shared" si="49"/>
        <v/>
      </c>
      <c r="BR163" s="685"/>
      <c r="BS163" s="847"/>
      <c r="BT163" s="852"/>
      <c r="BU163" s="851">
        <v>6.9444444444444447E-4</v>
      </c>
      <c r="BX163" s="666" t="str">
        <f t="shared" si="46"/>
        <v>Dec</v>
      </c>
      <c r="BY163" s="643">
        <f>IF(CB163=$CB173,SUMIF($BI161:$BI172,$BX163,$BR161:$BR172),SUMIF($BI161:$BI172,$BX163,$BM161:$BM172))</f>
        <v>17.059000000000001</v>
      </c>
      <c r="BZ163" s="877">
        <f>IF(IF(CB163=CB173,SUMIF(BI161:BI172,$BX163,BU161:BU172),SUMIF(BI161:BI172,$BX163,BP161:BP172))=0,NA(),IF(CB163=CB173,SUMIF(BI161:BI172,$BX163,BU161:BU172),SUMIF(BI161:BI172,$BX163,BP161:BP172)))</f>
        <v>6.9444444444444447E-4</v>
      </c>
      <c r="CA163" s="876">
        <f>IF(IF(CB163=CB173,SUMIF(BI161:BI172,$BX163,BS161:BS172),SUMIF(BI161:BI172,$BX163,BN161:BN172))=0,NA(),IF(CB163=CB173,SUMIF(BI161:BI172,$BX163,BS161:BS172),SUMIF(BI161:BI172,$BX163,BN161:BN172)))</f>
        <v>2.8703703703703708E-3</v>
      </c>
      <c r="CB163" s="645">
        <f t="shared" si="50"/>
        <v>23</v>
      </c>
      <c r="CC163" s="645">
        <f t="shared" si="47"/>
        <v>12</v>
      </c>
    </row>
    <row r="164" spans="61:81" ht="15" customHeight="1">
      <c r="BI164" s="638" t="s">
        <v>323</v>
      </c>
      <c r="BJ164" s="638">
        <v>4</v>
      </c>
      <c r="BK164" s="638" t="s">
        <v>324</v>
      </c>
      <c r="BL164" s="857">
        <f t="shared" si="48"/>
        <v>1.2172523148148151E-2</v>
      </c>
      <c r="BM164" s="689">
        <v>16.963000000000001</v>
      </c>
      <c r="BN164" s="847">
        <v>7.175925925925927E-4</v>
      </c>
      <c r="BO164" s="849">
        <f>IF(SUM(BM164:BM166=0),0,SUM(BL164:BL166)/SUM(BM164:BM166))</f>
        <v>3.9486475363306094E-4</v>
      </c>
      <c r="BP164" s="851">
        <v>6.9444444444444447E-4</v>
      </c>
      <c r="BQ164" s="857" t="str">
        <f t="shared" si="49"/>
        <v/>
      </c>
      <c r="BR164" s="685"/>
      <c r="BS164" s="847"/>
      <c r="BT164" s="849">
        <f>IF(SUM(BR164:BR166=0),0,SUM(BQ164:BQ166)/SUM(BR164:BR166))</f>
        <v>0</v>
      </c>
      <c r="BU164" s="851">
        <v>6.9444444444444447E-4</v>
      </c>
      <c r="BX164" s="666" t="str">
        <f t="shared" si="46"/>
        <v>Jan</v>
      </c>
      <c r="BY164" s="643">
        <f>IF(CB164=$CB173,SUMIF($BI161:$BI172,$BX164,$BR161:$BR172),SUMIF($BI161:$BI172,$BX164,$BM161:$BM172))</f>
        <v>16.963000000000001</v>
      </c>
      <c r="BZ164" s="877">
        <f>IF(IF(CB164=CB173,SUMIF(BI161:BI172,$BX164,BU161:BU172),SUMIF(BI161:BI172,$BX164,BP161:BP172))=0,NA(),IF(CB164=CB173,SUMIF(BI161:BI172,$BX164,BU161:BU172),SUMIF(BI161:BI172,$BX164,BP161:BP172)))</f>
        <v>6.9444444444444447E-4</v>
      </c>
      <c r="CA164" s="876">
        <f>IF(IF(CB164=CB173,SUMIF(BI161:BI172,$BX164,BS161:BS172),SUMIF(BI161:BI172,$BX164,BN161:BN172))=0,NA(),IF(CB164=CB173,SUMIF(BI161:BI172,$BX164,BS161:BS172),SUMIF(BI161:BI172,$BX164,BN161:BN172)))</f>
        <v>7.175925925925927E-4</v>
      </c>
      <c r="CB164" s="645">
        <f t="shared" si="50"/>
        <v>23</v>
      </c>
      <c r="CC164" s="645">
        <f t="shared" si="47"/>
        <v>1</v>
      </c>
    </row>
    <row r="165" spans="61:81" ht="15" customHeight="1">
      <c r="BI165" s="638" t="s">
        <v>325</v>
      </c>
      <c r="BJ165" s="638">
        <v>5</v>
      </c>
      <c r="BK165" s="638" t="s">
        <v>324</v>
      </c>
      <c r="BL165" s="857">
        <f t="shared" si="48"/>
        <v>7.3847453703703714E-3</v>
      </c>
      <c r="BM165" s="690">
        <v>20.582000000000001</v>
      </c>
      <c r="BN165" s="848">
        <v>3.5879629629629635E-4</v>
      </c>
      <c r="BO165" s="852"/>
      <c r="BP165" s="851">
        <v>6.9444444444444447E-4</v>
      </c>
      <c r="BQ165" s="857" t="str">
        <f t="shared" si="49"/>
        <v/>
      </c>
      <c r="BR165" s="687"/>
      <c r="BS165" s="848"/>
      <c r="BT165" s="852"/>
      <c r="BU165" s="851">
        <v>6.9444444444444447E-4</v>
      </c>
      <c r="BX165" s="666" t="str">
        <f t="shared" si="46"/>
        <v>Feb</v>
      </c>
      <c r="BY165" s="643">
        <f>IF(CB165=$CB173,SUMIF($BI161:$BI172,$BX165,$BR161:$BR172),SUMIF($BI161:$BI172,$BX165,$BM161:$BM172))</f>
        <v>20.582000000000001</v>
      </c>
      <c r="BZ165" s="877">
        <f>IF(IF(CB165=CB173,SUMIF(BI161:BI172,$BX165,BU161:BU172),SUMIF(BI161:BI172,$BX165,BP161:BP172))=0,NA(),IF(CB165=CB173,SUMIF(BI161:BI172,$BX165,BU161:BU172),SUMIF(BI161:BI172,$BX165,BP161:BP172)))</f>
        <v>6.9444444444444447E-4</v>
      </c>
      <c r="CA165" s="876">
        <f>IF(IF(CB165=CB173,SUMIF(BI161:BI172,$BX165,BS161:BS172),SUMIF(BI161:BI172,$BX165,BN161:BN172))=0,NA(),IF(CB165=CB173,SUMIF(BI161:BI172,$BX165,BS161:BS172),SUMIF(BI161:BI172,$BX165,BN161:BN172)))</f>
        <v>3.5879629629629635E-4</v>
      </c>
      <c r="CB165" s="645">
        <f t="shared" si="50"/>
        <v>23</v>
      </c>
      <c r="CC165" s="645">
        <f t="shared" si="47"/>
        <v>2</v>
      </c>
    </row>
    <row r="166" spans="61:81" ht="15" customHeight="1">
      <c r="BI166" s="638" t="s">
        <v>326</v>
      </c>
      <c r="BJ166" s="638">
        <v>6</v>
      </c>
      <c r="BK166" s="638" t="s">
        <v>324</v>
      </c>
      <c r="BL166" s="857">
        <f t="shared" si="48"/>
        <v>5.9478356481481483E-3</v>
      </c>
      <c r="BM166" s="690">
        <v>27.047000000000001</v>
      </c>
      <c r="BN166" s="848">
        <v>2.199074074074074E-4</v>
      </c>
      <c r="BO166" s="852"/>
      <c r="BP166" s="851">
        <v>6.9444444444444447E-4</v>
      </c>
      <c r="BQ166" s="857" t="str">
        <f t="shared" si="49"/>
        <v/>
      </c>
      <c r="BR166" s="687"/>
      <c r="BS166" s="848"/>
      <c r="BT166" s="852"/>
      <c r="BU166" s="851">
        <v>6.9444444444444447E-4</v>
      </c>
      <c r="BX166" s="666" t="str">
        <f t="shared" si="46"/>
        <v>Mar</v>
      </c>
      <c r="BY166" s="643">
        <f>IF(CB166=$CB173,SUMIF($BI161:$BI172,$BX166,$BR161:$BR172),SUMIF($BI161:$BI172,$BX166,$BM161:$BM172))</f>
        <v>27.047000000000001</v>
      </c>
      <c r="BZ166" s="877">
        <f>IF(IF(CB166=CB173,SUMIF(BI161:BI172,$BX166,BU161:BU172),SUMIF(BI161:BI172,$BX166,BP161:BP172))=0,NA(),IF(CB166=CB173,SUMIF(BI161:BI172,$BX166,BU161:BU172),SUMIF(BI161:BI172,$BX166,BP161:BP172)))</f>
        <v>6.9444444444444447E-4</v>
      </c>
      <c r="CA166" s="876">
        <f>IF(IF(CB166=CB173,SUMIF(BI161:BI172,$BX166,BS161:BS172),SUMIF(BI161:BI172,$BX166,BN161:BN172))=0,NA(),IF(CB166=CB173,SUMIF(BI161:BI172,$BX166,BS161:BS172),SUMIF(BI161:BI172,$BX166,BN161:BN172)))</f>
        <v>2.199074074074074E-4</v>
      </c>
      <c r="CB166" s="645">
        <f t="shared" si="50"/>
        <v>23</v>
      </c>
      <c r="CC166" s="645">
        <f t="shared" si="47"/>
        <v>3</v>
      </c>
    </row>
    <row r="167" spans="61:81" ht="15" customHeight="1">
      <c r="BI167" s="638" t="s">
        <v>327</v>
      </c>
      <c r="BJ167" s="638">
        <v>7</v>
      </c>
      <c r="BK167" s="638" t="s">
        <v>328</v>
      </c>
      <c r="BL167" s="857">
        <f t="shared" si="48"/>
        <v>4.8394791666666664E-3</v>
      </c>
      <c r="BM167" s="690">
        <v>19.911000000000001</v>
      </c>
      <c r="BN167" s="848">
        <v>2.4305555555555552E-4</v>
      </c>
      <c r="BO167" s="849">
        <f>IF(SUM(BM167:BM169=0),0,SUM(BL167:BL169)/SUM(BM167:BM169))</f>
        <v>2.8077182282455678E-4</v>
      </c>
      <c r="BP167" s="851">
        <v>6.9444444444444447E-4</v>
      </c>
      <c r="BQ167" s="857" t="str">
        <f>IF(BR167="","",BS167*BR167)</f>
        <v/>
      </c>
      <c r="BR167" s="687"/>
      <c r="BS167" s="848"/>
      <c r="BT167" s="849">
        <f>IF(SUM(BR167:BR169=0),0,SUM(BQ167:BQ169)/SUM(BR167:BR169))</f>
        <v>0</v>
      </c>
      <c r="BU167" s="851">
        <v>6.9444444444444447E-4</v>
      </c>
      <c r="BX167" s="666" t="str">
        <f t="shared" si="46"/>
        <v>Apr</v>
      </c>
      <c r="BY167" s="643">
        <f>IF(CB167=$CB173,SUMIF($BI161:$BI172,$BX167,$BR161:$BR172),SUMIF($BI161:$BI172,$BX167,$BM161:$BM172))</f>
        <v>19.911000000000001</v>
      </c>
      <c r="BZ167" s="877">
        <f>IF(IF(CB167=CB173,SUMIF(BI161:BI172,$BX167,BU161:BU172),SUMIF(BI161:BI172,$BX167,BP161:BP172))=0,NA(),IF(CB167=CB173,SUMIF(BI161:BI172,$BX167,BU161:BU172),SUMIF(BI161:BI172,$BX167,BP161:BP172)))</f>
        <v>6.9444444444444447E-4</v>
      </c>
      <c r="CA167" s="876">
        <f>IF(IF(CB167=CB173,SUMIF(BI161:BI172,$BX167,BS161:BS172),SUMIF(BI161:BI172,$BX167,BN161:BN172))=0,NA(),IF(CB167=CB173,SUMIF(BI161:BI172,$BX167,BS161:BS172),SUMIF(BI161:BI172,$BX167,BN161:BN172)))</f>
        <v>2.4305555555555552E-4</v>
      </c>
      <c r="CB167" s="645">
        <f t="shared" si="50"/>
        <v>23</v>
      </c>
      <c r="CC167" s="645">
        <f t="shared" si="47"/>
        <v>4</v>
      </c>
    </row>
    <row r="168" spans="61:81" ht="15" customHeight="1">
      <c r="BI168" s="638" t="s">
        <v>329</v>
      </c>
      <c r="BJ168" s="638">
        <v>8</v>
      </c>
      <c r="BK168" s="638" t="s">
        <v>328</v>
      </c>
      <c r="BL168" s="857">
        <f t="shared" si="48"/>
        <v>3.6398495370370369E-3</v>
      </c>
      <c r="BM168" s="690">
        <v>18.498999999999999</v>
      </c>
      <c r="BN168" s="848">
        <v>1.9675925925925926E-4</v>
      </c>
      <c r="BO168" s="852"/>
      <c r="BP168" s="851">
        <v>6.9444444444444447E-4</v>
      </c>
      <c r="BQ168" s="857" t="str">
        <f t="shared" si="49"/>
        <v/>
      </c>
      <c r="BR168" s="687"/>
      <c r="BS168" s="848"/>
      <c r="BT168" s="852"/>
      <c r="BU168" s="851">
        <v>6.9444444444444447E-4</v>
      </c>
      <c r="BX168" s="666" t="str">
        <f t="shared" si="46"/>
        <v>May</v>
      </c>
      <c r="BY168" s="643">
        <f>IF(CB168=$CB173,SUMIF($BI161:$BI172,$BX168,$BR161:$BR172),SUMIF($BI161:$BI172,$BX168,$BM161:$BM172))</f>
        <v>18.498999999999999</v>
      </c>
      <c r="BZ168" s="877">
        <f>IF(IF(CB168=CB173,SUMIF(BI161:BI172,$BX168,BU161:BU172),SUMIF(BI161:BI172,$BX168,BP161:BP172))=0,NA(),IF(CB168=CB173,SUMIF(BI161:BI172,$BX168,BU161:BU172),SUMIF(BI161:BI172,$BX168,BP161:BP172)))</f>
        <v>6.9444444444444447E-4</v>
      </c>
      <c r="CA168" s="876">
        <f>IF(IF(CB168=CB173,SUMIF(BI161:BI172,$BX168,BS161:BS172),SUMIF(BI161:BI172,$BX168,BN161:BN172))=0,NA(),IF(CB168=CB173,SUMIF(BI161:BI172,$BX168,BS161:BS172),SUMIF(BI161:BI172,$BX168,BN161:BN172)))</f>
        <v>1.9675925925925926E-4</v>
      </c>
      <c r="CB168" s="645">
        <f t="shared" si="50"/>
        <v>23</v>
      </c>
      <c r="CC168" s="645">
        <f t="shared" si="47"/>
        <v>5</v>
      </c>
    </row>
    <row r="169" spans="61:81" ht="15" customHeight="1">
      <c r="BI169" s="638" t="s">
        <v>331</v>
      </c>
      <c r="BJ169" s="638">
        <v>9</v>
      </c>
      <c r="BK169" s="638" t="s">
        <v>328</v>
      </c>
      <c r="BL169" s="857">
        <f t="shared" si="48"/>
        <v>8.7022222222222223E-3</v>
      </c>
      <c r="BM169" s="690">
        <v>22.783999999999999</v>
      </c>
      <c r="BN169" s="848">
        <v>3.8194444444444446E-4</v>
      </c>
      <c r="BO169" s="852"/>
      <c r="BP169" s="851">
        <v>6.9444444444444447E-4</v>
      </c>
      <c r="BQ169" s="857" t="str">
        <f t="shared" si="49"/>
        <v/>
      </c>
      <c r="BR169" s="687"/>
      <c r="BS169" s="848"/>
      <c r="BT169" s="852"/>
      <c r="BU169" s="851">
        <v>6.9444444444444447E-4</v>
      </c>
      <c r="BX169" s="666" t="str">
        <f t="shared" si="46"/>
        <v>Jun</v>
      </c>
      <c r="BY169" s="643">
        <f>IF(CB169=$CB173,SUMIF($BI161:$BI172,$BX169,$BR161:$BR172),SUMIF($BI161:$BI172,$BX169,$BM161:$BM172))</f>
        <v>22.783999999999999</v>
      </c>
      <c r="BZ169" s="877">
        <f>IF(IF(CB169=CB173,SUMIF(BI161:BI172,$BX169,BU161:BU172),SUMIF(BI161:BI172,$BX169,BP161:BP172))=0,NA(),IF(CB169=CB173,SUMIF(BI161:BI172,$BX169,BU161:BU172),SUMIF(BI161:BI172,$BX169,BP161:BP172)))</f>
        <v>6.9444444444444447E-4</v>
      </c>
      <c r="CA169" s="876">
        <f>IF(IF(CB169=CB173,SUMIF(BI161:BI172,$BX169,BS161:BS172),SUMIF(BI161:BI172,$BX169,BN161:BN172))=0,NA(),IF(CB169=CB173,SUMIF(BI161:BI172,$BX169,BS161:BS172),SUMIF(BI161:BI172,$BX169,BN161:BN172)))</f>
        <v>3.8194444444444446E-4</v>
      </c>
      <c r="CB169" s="645">
        <f t="shared" si="50"/>
        <v>23</v>
      </c>
      <c r="CC169" s="645">
        <f t="shared" si="47"/>
        <v>6</v>
      </c>
    </row>
    <row r="170" spans="61:81" ht="15" customHeight="1">
      <c r="BI170" s="638" t="s">
        <v>337</v>
      </c>
      <c r="BJ170" s="638">
        <v>10</v>
      </c>
      <c r="BK170" s="638" t="s">
        <v>338</v>
      </c>
      <c r="BL170" s="857">
        <f t="shared" si="48"/>
        <v>7.7304166666666676E-3</v>
      </c>
      <c r="BM170" s="690">
        <v>18.553000000000001</v>
      </c>
      <c r="BN170" s="848">
        <v>4.1666666666666669E-4</v>
      </c>
      <c r="BO170" s="849">
        <f>IF(SUM(BM170:BM172=0),0,SUM(BL170:BL172)/SUM(BM170:BM172))</f>
        <v>3.7296835867348891E-4</v>
      </c>
      <c r="BP170" s="851">
        <v>6.9444444444444447E-4</v>
      </c>
      <c r="BQ170" s="857" t="str">
        <f t="shared" si="49"/>
        <v/>
      </c>
      <c r="BR170" s="687"/>
      <c r="BS170" s="848"/>
      <c r="BT170" s="849">
        <f>IF(SUM(BR170:BR172=0),0,SUM(BQ170:BQ172)/SUM(BR170:BR172))</f>
        <v>0</v>
      </c>
      <c r="BU170" s="851">
        <v>6.9444444444444447E-4</v>
      </c>
      <c r="BX170" s="666" t="str">
        <f t="shared" si="46"/>
        <v>Jul</v>
      </c>
      <c r="BY170" s="643">
        <f>IF(CB170=$CB173,SUMIF($BI161:$BI172,$BX170,$BR161:$BR172),SUMIF($BI161:$BI172,$BX170,$BM161:$BM172))</f>
        <v>18.553000000000001</v>
      </c>
      <c r="BZ170" s="877">
        <f>IF(IF(CB170=CB173,SUMIF(BI161:BI172,$BX170,BU161:BU172),SUMIF(BI161:BI172,$BX170,BP161:BP172))=0,NA(),IF(CB170=CB173,SUMIF(BI161:BI172,$BX170,BU161:BU172),SUMIF(BI161:BI172,$BX170,BP161:BP172)))</f>
        <v>6.9444444444444447E-4</v>
      </c>
      <c r="CA170" s="876">
        <f>IF(IF(CB170=CB173,SUMIF(BI161:BI172,$BX170,BS161:BS172),SUMIF(BI161:BI172,$BX170,BN161:BN172))=0,NA(),IF(CB170=CB173,SUMIF(BI161:BI172,$BX170,BS161:BS172),SUMIF(BI161:BI172,$BX170,BN161:BN172)))</f>
        <v>4.1666666666666669E-4</v>
      </c>
      <c r="CB170" s="645">
        <f t="shared" si="50"/>
        <v>23</v>
      </c>
      <c r="CC170" s="645">
        <f t="shared" si="47"/>
        <v>7</v>
      </c>
    </row>
    <row r="171" spans="61:81" ht="15" customHeight="1">
      <c r="BI171" s="638" t="s">
        <v>343</v>
      </c>
      <c r="BJ171" s="638">
        <v>11</v>
      </c>
      <c r="BK171" s="638" t="s">
        <v>338</v>
      </c>
      <c r="BL171" s="857">
        <f t="shared" si="48"/>
        <v>5.5911111111111109E-3</v>
      </c>
      <c r="BM171" s="690">
        <v>20.128</v>
      </c>
      <c r="BN171" s="848">
        <v>2.7777777777777778E-4</v>
      </c>
      <c r="BO171" s="852"/>
      <c r="BP171" s="851">
        <v>6.9444444444444447E-4</v>
      </c>
      <c r="BQ171" s="857" t="str">
        <f t="shared" si="49"/>
        <v/>
      </c>
      <c r="BR171" s="687"/>
      <c r="BS171" s="848"/>
      <c r="BT171" s="852"/>
      <c r="BU171" s="851">
        <v>6.9444444444444447E-4</v>
      </c>
      <c r="BX171" s="666" t="str">
        <f t="shared" si="46"/>
        <v>Aug</v>
      </c>
      <c r="BY171" s="643">
        <f>IF(CB171=$CB173,SUMIF($BI161:$BI172,$BX171,$BR161:$BR172),SUMIF($BI161:$BI172,$BX171,$BM161:$BM172))</f>
        <v>20.128</v>
      </c>
      <c r="BZ171" s="877">
        <f>IF(IF(CB171=CB173,SUMIF(BI161:BI172,$BX171,BU161:BU172),SUMIF(BI161:BI172,$BX171,BP161:BP172))=0,NA(),IF(CB171=CB173,SUMIF(BI161:BI172,$BX171,BU161:BU172),SUMIF(BI161:BI172,$BX171,BP161:BP172)))</f>
        <v>6.9444444444444447E-4</v>
      </c>
      <c r="CA171" s="876">
        <f>IF(IF(CB171=CB173,SUMIF(BI161:BI172,$BX171,BS161:BS172),SUMIF(BI161:BI172,$BX171,BN161:BN172))=0,NA(),IF(CB171=CB173,SUMIF(BI161:BI172,$BX171,BS161:BS172),SUMIF(BI161:BI172,$BX171,BN161:BN172)))</f>
        <v>2.7777777777777778E-4</v>
      </c>
      <c r="CB171" s="645">
        <f t="shared" si="50"/>
        <v>23</v>
      </c>
      <c r="CC171" s="645">
        <f t="shared" si="47"/>
        <v>8</v>
      </c>
    </row>
    <row r="172" spans="61:81" ht="15" customHeight="1">
      <c r="BI172" s="638" t="s">
        <v>344</v>
      </c>
      <c r="BJ172" s="638">
        <v>12</v>
      </c>
      <c r="BK172" s="638" t="s">
        <v>338</v>
      </c>
      <c r="BL172" s="857">
        <f t="shared" si="48"/>
        <v>1.053875E-2</v>
      </c>
      <c r="BM172" s="690">
        <v>25.292999999999999</v>
      </c>
      <c r="BN172" s="848">
        <v>4.1666666666666669E-4</v>
      </c>
      <c r="BO172" s="852"/>
      <c r="BP172" s="851">
        <v>6.9444444444444447E-4</v>
      </c>
      <c r="BQ172" s="857" t="str">
        <f t="shared" si="49"/>
        <v/>
      </c>
      <c r="BR172" s="687"/>
      <c r="BS172" s="848"/>
      <c r="BT172" s="852"/>
      <c r="BU172" s="851">
        <v>6.9444444444444447E-4</v>
      </c>
      <c r="BX172" s="666" t="str">
        <f t="shared" si="46"/>
        <v>Sep</v>
      </c>
      <c r="BY172" s="643">
        <f>IF(CB172=$CB173,SUMIF($BI161:$BI172,$BX172,$BR161:$BR172),SUMIF($BI161:$BI172,$BX172,$BM161:$BM172))</f>
        <v>25.292999999999999</v>
      </c>
      <c r="BZ172" s="877">
        <f>IF(IF(CB172=CB173,SUMIF(BI161:BI172,$BX172,BU161:BU172),SUMIF(BI161:BI172,$BX172,BP161:BP172))=0,NA(),IF(CB172=CB173,SUMIF(BI161:BI172,$BX172,BU161:BU172),SUMIF(BI161:BI172,$BX172,BP161:BP172)))</f>
        <v>6.9444444444444447E-4</v>
      </c>
      <c r="CA172" s="876">
        <f>IF(IF(CB172=CB173,SUMIF(BI161:BI172,$BX172,BS161:BS172),SUMIF(BI161:BI172,$BX172,BN161:BN172))=0,NA(),IF(CB172=CB173,SUMIF(BI161:BI172,$BX172,BS161:BS172),SUMIF(BI161:BI172,$BX172,BN161:BN172)))</f>
        <v>4.1666666666666669E-4</v>
      </c>
      <c r="CB172" s="645">
        <f t="shared" si="50"/>
        <v>23</v>
      </c>
      <c r="CC172" s="645">
        <f>IF(CC173-1&lt;1,CC173+11,CC173-1)</f>
        <v>9</v>
      </c>
    </row>
    <row r="173" spans="61:81" ht="15" customHeight="1">
      <c r="BJ173" s="277"/>
      <c r="BK173" s="277"/>
      <c r="BL173" s="277"/>
      <c r="BM173" s="277"/>
      <c r="BN173" s="277"/>
      <c r="BO173" s="277"/>
      <c r="BP173" s="277"/>
      <c r="BQ173" s="277"/>
      <c r="BR173" s="277"/>
      <c r="BS173" s="277"/>
      <c r="BT173" s="277"/>
      <c r="BW173" s="667" t="str">
        <f>Cover!$M$34</f>
        <v>OCT FY-24</v>
      </c>
      <c r="BX173" s="666" t="str">
        <f>TEXT(CONCATENATE(CC173,"/01/20",CB173),"MMM")</f>
        <v>Oct</v>
      </c>
      <c r="BY173" s="643">
        <f>SUMIF($BI161:$BI172,$BX173,$BR161:$BR172)</f>
        <v>19.66</v>
      </c>
      <c r="BZ173" s="877">
        <f>IF(IF(CB173=CB173,SUMIF(BI161:BI172,$BX173,BU161:BU172),SUMIF(BI161:BI172,$BX173,BP161:BP172))=0,NA(),IF(CB173=CB173,SUMIF(BI161:BI172,$BX173,BU161:BU172),SUMIF(BI161:BI172,$BX173,BP161:BP172)))</f>
        <v>6.9444444444444447E-4</v>
      </c>
      <c r="CA173" s="876">
        <f>IF(SUMIF($BI161:$BI172,$BX173,$BS161:$BS172)=0,NA(),SUMIF($BI161:$BI172,$BX173,$BS161:$BS172))</f>
        <v>4.5138888888888892E-4</v>
      </c>
      <c r="CB173" s="645">
        <f>CB153</f>
        <v>24</v>
      </c>
      <c r="CC173" s="645">
        <f>MONTH(DATEVALUE(LEFT(BW173,3)&amp;" 1"))</f>
        <v>10</v>
      </c>
    </row>
    <row r="174" spans="61:81" ht="15" customHeight="1">
      <c r="BI174" s="6"/>
      <c r="BJ174" s="6"/>
      <c r="BK174" s="6"/>
      <c r="BL174" s="6"/>
      <c r="BM174" s="6"/>
      <c r="BN174" s="6"/>
      <c r="BO174" s="6"/>
      <c r="BP174" s="6"/>
      <c r="BQ174" s="6"/>
      <c r="BR174" s="6"/>
      <c r="BS174" s="6"/>
      <c r="BT174" s="6"/>
      <c r="BU174" s="6"/>
      <c r="BV174" s="6"/>
    </row>
    <row r="175" spans="61:81" ht="15" customHeight="1">
      <c r="BI175" s="54" t="s">
        <v>292</v>
      </c>
      <c r="BJ175" s="287" t="s">
        <v>478</v>
      </c>
      <c r="BK175" s="287"/>
      <c r="BL175" s="287"/>
      <c r="BM175" s="287"/>
      <c r="BN175" s="287"/>
      <c r="BO175" s="287"/>
      <c r="BP175" s="287"/>
      <c r="BQ175" s="287"/>
      <c r="BR175" s="287"/>
      <c r="BS175" s="287"/>
      <c r="BT175" s="287"/>
      <c r="BU175" s="287"/>
    </row>
    <row r="176" spans="61:81" ht="15" customHeight="1">
      <c r="BI176" s="54" t="s">
        <v>296</v>
      </c>
      <c r="BJ176" s="283" t="s">
        <v>475</v>
      </c>
      <c r="BK176" s="283"/>
      <c r="BL176" s="283"/>
      <c r="BM176" s="283"/>
      <c r="BN176" s="283"/>
      <c r="BO176" s="283"/>
      <c r="BP176" s="283"/>
      <c r="BQ176" s="283"/>
      <c r="BR176" s="283"/>
      <c r="BS176" s="283"/>
      <c r="BT176" s="283"/>
      <c r="BU176" s="283"/>
    </row>
    <row r="177" spans="61:81" ht="15" customHeight="1" thickBot="1">
      <c r="BI177" s="54" t="s">
        <v>300</v>
      </c>
      <c r="BJ177" s="283" t="s">
        <v>476</v>
      </c>
      <c r="BK177" s="283"/>
      <c r="BL177" s="283"/>
      <c r="BM177" s="283"/>
      <c r="BN177" s="283"/>
      <c r="BO177" s="283"/>
      <c r="BP177" s="283"/>
      <c r="BQ177" s="283"/>
      <c r="BR177" s="283"/>
      <c r="BS177" s="283"/>
      <c r="BT177" s="283"/>
      <c r="BU177" s="283"/>
    </row>
    <row r="178" spans="61:81" ht="15" customHeight="1" thickBot="1">
      <c r="BI178" s="1408" t="s">
        <v>451</v>
      </c>
      <c r="BJ178" s="1409"/>
      <c r="BK178" s="1410"/>
      <c r="BL178" s="1408" t="s">
        <v>302</v>
      </c>
      <c r="BM178" s="1409"/>
      <c r="BN178" s="1409"/>
      <c r="BO178" s="1409"/>
      <c r="BP178" s="1410"/>
      <c r="BQ178" s="1408" t="s">
        <v>719</v>
      </c>
      <c r="BR178" s="1409"/>
      <c r="BS178" s="1409"/>
      <c r="BT178" s="1409"/>
      <c r="BU178" s="1410"/>
      <c r="BW178" s="1402" t="s">
        <v>303</v>
      </c>
      <c r="BX178" s="1403"/>
      <c r="BY178" s="1403"/>
      <c r="BZ178" s="1403"/>
      <c r="CA178" s="1403"/>
      <c r="CB178" s="1403"/>
      <c r="CC178" s="1404"/>
    </row>
    <row r="179" spans="61:81" ht="15" customHeight="1">
      <c r="BI179" s="636" t="s">
        <v>23</v>
      </c>
      <c r="BJ179" s="636" t="s">
        <v>37</v>
      </c>
      <c r="BK179" s="636" t="s">
        <v>304</v>
      </c>
      <c r="BL179" s="637" t="s">
        <v>305</v>
      </c>
      <c r="BM179" s="637" t="s">
        <v>310</v>
      </c>
      <c r="BN179" s="637" t="s">
        <v>311</v>
      </c>
      <c r="BO179" s="278" t="s">
        <v>312</v>
      </c>
      <c r="BP179" s="637" t="s">
        <v>313</v>
      </c>
      <c r="BQ179" s="637" t="s">
        <v>305</v>
      </c>
      <c r="BR179" s="637" t="s">
        <v>715</v>
      </c>
      <c r="BS179" s="637" t="s">
        <v>716</v>
      </c>
      <c r="BT179" s="278" t="s">
        <v>717</v>
      </c>
      <c r="BU179" s="637" t="s">
        <v>718</v>
      </c>
      <c r="BW179" s="279" t="s">
        <v>314</v>
      </c>
      <c r="BX179" s="279" t="s">
        <v>23</v>
      </c>
      <c r="BY179" s="280" t="s">
        <v>315</v>
      </c>
      <c r="BZ179" s="279" t="s">
        <v>122</v>
      </c>
      <c r="CA179" s="279" t="s">
        <v>316</v>
      </c>
      <c r="CB179" s="279" t="s">
        <v>317</v>
      </c>
      <c r="CC179" s="279" t="s">
        <v>318</v>
      </c>
    </row>
    <row r="180" spans="61:81" ht="15" customHeight="1">
      <c r="BI180" s="638" t="s">
        <v>319</v>
      </c>
      <c r="BJ180" s="638">
        <v>1</v>
      </c>
      <c r="BK180" s="638" t="s">
        <v>320</v>
      </c>
      <c r="BL180" s="690">
        <v>4.1230000000000002</v>
      </c>
      <c r="BM180" s="689">
        <v>23.641999999999999</v>
      </c>
      <c r="BN180" s="653">
        <f>IF(BM180="","",BL180/BM180)</f>
        <v>0.17439302935453854</v>
      </c>
      <c r="BO180" s="289">
        <f>IF(SUM(BM180:BM182=0),0,SUM(BL180:BL182)/SUM(BM180:BM182))</f>
        <v>0.18581683344821848</v>
      </c>
      <c r="BP180" s="821">
        <v>0.05</v>
      </c>
      <c r="BQ180" s="690">
        <v>0.96299999999999997</v>
      </c>
      <c r="BR180" s="689">
        <v>22.155000000000001</v>
      </c>
      <c r="BS180" s="842">
        <f>IF(BR180="","",BQ180/BR180)</f>
        <v>4.3466486120514555E-2</v>
      </c>
      <c r="BT180" s="289">
        <f>IF(SUM(BR180:BR182=0),0,SUM(BQ180:BQ182)/SUM(BR180:BR182))</f>
        <v>4.3466486120514555E-2</v>
      </c>
      <c r="BU180" s="821">
        <v>0.05</v>
      </c>
      <c r="BX180" s="666" t="str">
        <f t="shared" ref="BX180:BX191" si="51">TEXT(CONCATENATE(CC180,"/01/20",CB180),"MMM")</f>
        <v>Oct</v>
      </c>
      <c r="BY180" s="643">
        <f>IF(CB180=$CB192,SUMIF($BI180:$BI191,$BX180,$BR180:$BR191),SUMIF($BI180:$BI191,$BX180,$BM180:$BM191))</f>
        <v>23.641999999999999</v>
      </c>
      <c r="BZ180" s="821">
        <f>IF(IF(CB180=CB192,SUMIF(BI180:BI191,$BX180,BU180:BU191),SUMIF(BI180:BI191,$BX180,BP180:BP191))=0,NA(),IF(CB180=CB192,SUMIF(BI180:BI191,$BX180,BU180:BU191),SUMIF(BI180:BI191,$BX180,BP180:BP191)))</f>
        <v>0.05</v>
      </c>
      <c r="CA180" s="644">
        <f>IF(IF(CB180=CB192,SUMIF(BI180:BI191,$BX180,BS180:BS191),SUMIF(BI180:BI191,$BX180,BN180:BN191))=0,NA(),IF(CB180=CB192,SUMIF(BI180:BI191,$BX180,BS180:BS191),SUMIF(BI180:BI191,$BX180,BN180:BN191)))</f>
        <v>0.17439302935453854</v>
      </c>
      <c r="CB180" s="645">
        <f>CB161</f>
        <v>23</v>
      </c>
      <c r="CC180" s="645">
        <f t="shared" ref="CC180:CC190" si="52">IF(CC181-1&lt;1,CC181+11,CC181-1)</f>
        <v>10</v>
      </c>
    </row>
    <row r="181" spans="61:81" ht="15" customHeight="1">
      <c r="BI181" s="638" t="s">
        <v>321</v>
      </c>
      <c r="BJ181" s="638">
        <v>2</v>
      </c>
      <c r="BK181" s="638" t="s">
        <v>320</v>
      </c>
      <c r="BL181" s="690">
        <v>4.3849999999999998</v>
      </c>
      <c r="BM181" s="689">
        <v>26.113</v>
      </c>
      <c r="BN181" s="653">
        <f t="shared" ref="BN181:BN191" si="53">IF(BM181="","",BL181/BM181)</f>
        <v>0.16792402251752001</v>
      </c>
      <c r="BO181" s="855"/>
      <c r="BP181" s="821">
        <v>0.05</v>
      </c>
      <c r="BQ181" s="690"/>
      <c r="BR181" s="689"/>
      <c r="BS181" s="842" t="str">
        <f t="shared" ref="BS181:BS191" si="54">IF(BR181="","",BQ181/BR181)</f>
        <v/>
      </c>
      <c r="BT181" s="855"/>
      <c r="BU181" s="821">
        <v>0.05</v>
      </c>
      <c r="BX181" s="666" t="str">
        <f t="shared" si="51"/>
        <v>Nov</v>
      </c>
      <c r="BY181" s="643">
        <f>IF(CB181=$CB192,SUMIF($BI180:$BI191,$BX181,$BR180:$BR191),SUMIF($BI180:$BI191,$BX181,$BM180:$BM191))</f>
        <v>26.113</v>
      </c>
      <c r="BZ181" s="821">
        <f>IF(IF(CB181=CB192,SUMIF(BI180:BI191,$BX181,BU180:BU191),SUMIF(BI180:BI191,$BX181,BP180:BP191))=0,NA(),IF(CB181=CB192,SUMIF(BI180:BI191,$BX181,BU180:BU191),SUMIF(BI180:BI191,$BX181,BP180:BP191)))</f>
        <v>0.05</v>
      </c>
      <c r="CA181" s="644">
        <f>IF(IF(CB181=CB192,SUMIF(BI180:BI191,$BX181,BS180:BS191),SUMIF(BI180:BI191,$BX181,BN180:BN191))=0,NA(),IF(CB181=CB192,SUMIF(BI180:BI191,$BX181,BS180:BS191),SUMIF(BI180:BI191,$BX181,BN180:BN191)))</f>
        <v>0.16792402251752001</v>
      </c>
      <c r="CB181" s="645">
        <f>CB162</f>
        <v>23</v>
      </c>
      <c r="CC181" s="645">
        <f t="shared" si="52"/>
        <v>11</v>
      </c>
    </row>
    <row r="182" spans="61:81" ht="15" customHeight="1">
      <c r="BI182" s="638" t="s">
        <v>322</v>
      </c>
      <c r="BJ182" s="638">
        <v>3</v>
      </c>
      <c r="BK182" s="638" t="s">
        <v>320</v>
      </c>
      <c r="BL182" s="690">
        <v>7.1269999999999998</v>
      </c>
      <c r="BM182" s="689">
        <v>34.387</v>
      </c>
      <c r="BN182" s="653">
        <f t="shared" si="53"/>
        <v>0.20725855701282461</v>
      </c>
      <c r="BO182" s="855"/>
      <c r="BP182" s="821">
        <v>0.05</v>
      </c>
      <c r="BQ182" s="690"/>
      <c r="BR182" s="689"/>
      <c r="BS182" s="842" t="str">
        <f t="shared" si="54"/>
        <v/>
      </c>
      <c r="BT182" s="855"/>
      <c r="BU182" s="821">
        <v>0.05</v>
      </c>
      <c r="BX182" s="666" t="str">
        <f t="shared" si="51"/>
        <v>Dec</v>
      </c>
      <c r="BY182" s="643">
        <f>IF(CB182=$CB192,SUMIF($BI180:$BI191,$BX182,$BR180:$BR191),SUMIF($BI180:$BI191,$BX182,$BM180:$BM191))</f>
        <v>34.387</v>
      </c>
      <c r="BZ182" s="821">
        <f>IF(IF(CB182=CB192,SUMIF(BI180:BI191,$BX182,BU180:BU191),SUMIF(BI180:BI191,$BX182,BP180:BP191))=0,NA(),IF(CB182=CB192,SUMIF(BI180:BI191,$BX182,BU180:BU191),SUMIF(BI180:BI191,$BX182,BP180:BP191)))</f>
        <v>0.05</v>
      </c>
      <c r="CA182" s="644">
        <f>IF(IF(CB182=CB192,SUMIF(BI180:BI191,$BX182,BS180:BS191),SUMIF(BI180:BI191,$BX182,BN180:BN191))=0,NA(),IF(CB182=CB192,SUMIF(BI180:BI191,$BX182,BS180:BS191),SUMIF(BI180:BI191,$BX182,BN180:BN191)))</f>
        <v>0.20725855701282461</v>
      </c>
      <c r="CB182" s="645">
        <f t="shared" ref="CB182:CB191" si="55">CB163</f>
        <v>23</v>
      </c>
      <c r="CC182" s="645">
        <f t="shared" si="52"/>
        <v>12</v>
      </c>
    </row>
    <row r="183" spans="61:81" ht="15" customHeight="1">
      <c r="BI183" s="638" t="s">
        <v>323</v>
      </c>
      <c r="BJ183" s="638">
        <v>4</v>
      </c>
      <c r="BK183" s="638" t="s">
        <v>324</v>
      </c>
      <c r="BL183" s="690">
        <v>1.877</v>
      </c>
      <c r="BM183" s="689">
        <v>21.536999999999999</v>
      </c>
      <c r="BN183" s="653">
        <f t="shared" si="53"/>
        <v>8.7152342480382602E-2</v>
      </c>
      <c r="BO183" s="289">
        <f>IF(SUM(BM183:BM185=0),0,SUM(BL183:BL185)/SUM(BM183:BM185))</f>
        <v>5.1223064672011764E-2</v>
      </c>
      <c r="BP183" s="821">
        <v>0.05</v>
      </c>
      <c r="BQ183" s="690"/>
      <c r="BR183" s="689"/>
      <c r="BS183" s="842" t="str">
        <f t="shared" si="54"/>
        <v/>
      </c>
      <c r="BT183" s="289">
        <f>IF(SUM(BR183:BR185=0),0,SUM(BQ183:BQ185)/SUM(BR183:BR185))</f>
        <v>0</v>
      </c>
      <c r="BU183" s="821">
        <v>0.05</v>
      </c>
      <c r="BX183" s="666" t="str">
        <f t="shared" si="51"/>
        <v>Jan</v>
      </c>
      <c r="BY183" s="643">
        <f>IF(CB183=$CB192,SUMIF($BI180:$BI191,$BX183,$BR180:$BR191),SUMIF($BI180:$BI191,$BX183,$BM180:$BM191))</f>
        <v>21.536999999999999</v>
      </c>
      <c r="BZ183" s="821">
        <f>IF(IF(CB183=CB192,SUMIF(BI180:BI191,$BX183,BU180:BU191),SUMIF(BI180:BI191,$BX183,BP180:BP191))=0,NA(),IF(CB183=CB192,SUMIF(BI180:BI191,$BX183,BU180:BU191),SUMIF(BI180:BI191,$BX183,BP180:BP191)))</f>
        <v>0.05</v>
      </c>
      <c r="CA183" s="644">
        <f>IF(IF(CB183=CB192,SUMIF(BI180:BI191,$BX183,BS180:BS191),SUMIF(BI180:BI191,$BX183,BN180:BN191))=0,NA(),IF(CB183=CB192,SUMIF(BI180:BI191,$BX183,BS180:BS191),SUMIF(BI180:BI191,$BX183,BN180:BN191)))</f>
        <v>8.7152342480382602E-2</v>
      </c>
      <c r="CB183" s="645">
        <f t="shared" si="55"/>
        <v>23</v>
      </c>
      <c r="CC183" s="645">
        <f t="shared" si="52"/>
        <v>1</v>
      </c>
    </row>
    <row r="184" spans="61:81" ht="15" customHeight="1">
      <c r="BI184" s="638" t="s">
        <v>325</v>
      </c>
      <c r="BJ184" s="638">
        <v>5</v>
      </c>
      <c r="BK184" s="638" t="s">
        <v>324</v>
      </c>
      <c r="BL184" s="690">
        <v>1.0720000000000001</v>
      </c>
      <c r="BM184" s="690">
        <v>23.024999999999999</v>
      </c>
      <c r="BN184" s="653">
        <f t="shared" si="53"/>
        <v>4.6558089033659072E-2</v>
      </c>
      <c r="BO184" s="855"/>
      <c r="BP184" s="821">
        <v>0.05</v>
      </c>
      <c r="BQ184" s="690"/>
      <c r="BR184" s="690"/>
      <c r="BS184" s="842" t="str">
        <f t="shared" si="54"/>
        <v/>
      </c>
      <c r="BT184" s="855"/>
      <c r="BU184" s="821">
        <v>0.05</v>
      </c>
      <c r="BX184" s="666" t="str">
        <f t="shared" si="51"/>
        <v>Feb</v>
      </c>
      <c r="BY184" s="643">
        <f>IF(CB184=$CB192,SUMIF($BI180:$BI191,$BX184,$BR180:$BR191),SUMIF($BI180:$BI191,$BX184,$BM180:$BM191))</f>
        <v>23.024999999999999</v>
      </c>
      <c r="BZ184" s="821">
        <f>IF(IF(CB184=CB192,SUMIF(BI180:BI191,$BX184,BU180:BU191),SUMIF(BI180:BI191,$BX184,BP180:BP191))=0,NA(),IF(CB184=CB192,SUMIF(BI180:BI191,$BX184,BU180:BU191),SUMIF(BI180:BI191,$BX184,BP180:BP191)))</f>
        <v>0.05</v>
      </c>
      <c r="CA184" s="644">
        <f>IF(IF(CB184=CB192,SUMIF(BI180:BI191,$BX184,BS180:BS191),SUMIF(BI180:BI191,$BX184,BN180:BN191))=0,NA(),IF(CB184=CB192,SUMIF(BI180:BI191,$BX184,BS180:BS191),SUMIF(BI180:BI191,$BX184,BN180:BN191)))</f>
        <v>4.6558089033659072E-2</v>
      </c>
      <c r="CB184" s="645">
        <f t="shared" si="55"/>
        <v>23</v>
      </c>
      <c r="CC184" s="645">
        <f t="shared" si="52"/>
        <v>2</v>
      </c>
    </row>
    <row r="185" spans="61:81" ht="15" customHeight="1">
      <c r="BI185" s="638" t="s">
        <v>326</v>
      </c>
      <c r="BJ185" s="638">
        <v>6</v>
      </c>
      <c r="BK185" s="638" t="s">
        <v>324</v>
      </c>
      <c r="BL185" s="690">
        <v>0.81399999999999995</v>
      </c>
      <c r="BM185" s="690">
        <v>28.901</v>
      </c>
      <c r="BN185" s="653">
        <f t="shared" si="53"/>
        <v>2.8165115393931003E-2</v>
      </c>
      <c r="BO185" s="855"/>
      <c r="BP185" s="821">
        <v>0.05</v>
      </c>
      <c r="BQ185" s="690"/>
      <c r="BR185" s="690"/>
      <c r="BS185" s="842" t="str">
        <f t="shared" si="54"/>
        <v/>
      </c>
      <c r="BT185" s="855"/>
      <c r="BU185" s="821">
        <v>0.05</v>
      </c>
      <c r="BX185" s="666" t="str">
        <f t="shared" si="51"/>
        <v>Mar</v>
      </c>
      <c r="BY185" s="643">
        <f>IF(CB185=$CB192,SUMIF($BI180:$BI191,$BX185,$BR180:$BR191),SUMIF($BI180:$BI191,$BX185,$BM180:$BM191))</f>
        <v>28.901</v>
      </c>
      <c r="BZ185" s="821">
        <f>IF(IF(CB185=CB192,SUMIF(BI180:BI191,$BX185,BU180:BU191),SUMIF(BI180:BI191,$BX185,BP180:BP191))=0,NA(),IF(CB185=CB192,SUMIF(BI180:BI191,$BX185,BU180:BU191),SUMIF(BI180:BI191,$BX185,BP180:BP191)))</f>
        <v>0.05</v>
      </c>
      <c r="CA185" s="644">
        <f>IF(IF(CB185=CB192,SUMIF(BI180:BI191,$BX185,BS180:BS191),SUMIF(BI180:BI191,$BX185,BN180:BN191))=0,NA(),IF(CB185=CB192,SUMIF(BI180:BI191,$BX185,BS180:BS191),SUMIF(BI180:BI191,$BX185,BN180:BN191)))</f>
        <v>2.8165115393931003E-2</v>
      </c>
      <c r="CB185" s="645">
        <f t="shared" si="55"/>
        <v>23</v>
      </c>
      <c r="CC185" s="645">
        <f t="shared" si="52"/>
        <v>3</v>
      </c>
    </row>
    <row r="186" spans="61:81" ht="15" customHeight="1">
      <c r="BI186" s="638" t="s">
        <v>327</v>
      </c>
      <c r="BJ186" s="638">
        <v>7</v>
      </c>
      <c r="BK186" s="638" t="s">
        <v>328</v>
      </c>
      <c r="BL186" s="690">
        <v>0.64300000000000002</v>
      </c>
      <c r="BM186" s="690">
        <v>21.34</v>
      </c>
      <c r="BN186" s="653">
        <f t="shared" si="53"/>
        <v>3.013120899718838E-2</v>
      </c>
      <c r="BO186" s="289">
        <f>IF(SUM(BM186:BM188=0),0,SUM(BL186:BL188)/SUM(BM186:BM188))</f>
        <v>3.390903336648883E-2</v>
      </c>
      <c r="BP186" s="821">
        <v>0.05</v>
      </c>
      <c r="BQ186" s="690"/>
      <c r="BR186" s="690"/>
      <c r="BS186" s="842" t="str">
        <f t="shared" si="54"/>
        <v/>
      </c>
      <c r="BT186" s="289">
        <f>IF(SUM(BR186:BR188=0),0,SUM(BQ186:BQ188)/SUM(BR186:BR188))</f>
        <v>0</v>
      </c>
      <c r="BU186" s="821">
        <v>0.05</v>
      </c>
      <c r="BX186" s="666" t="str">
        <f t="shared" si="51"/>
        <v>Apr</v>
      </c>
      <c r="BY186" s="643">
        <f>IF(CB186=$CB192,SUMIF($BI180:$BI191,$BX186,$BR180:$BR191),SUMIF($BI180:$BI191,$BX186,$BM180:$BM191))</f>
        <v>21.34</v>
      </c>
      <c r="BZ186" s="821">
        <f>IF(IF(CB186=CB192,SUMIF(BI180:BI191,$BX186,BU180:BU191),SUMIF(BI180:BI191,$BX186,BP180:BP191))=0,NA(),IF(CB186=CB192,SUMIF(BI180:BI191,$BX186,BU180:BU191),SUMIF(BI180:BI191,$BX186,BP180:BP191)))</f>
        <v>0.05</v>
      </c>
      <c r="CA186" s="644">
        <f>IF(IF(CB186=CB192,SUMIF(BI180:BI191,$BX186,BS180:BS191),SUMIF(BI180:BI191,$BX186,BN180:BN191))=0,NA(),IF(CB186=CB192,SUMIF(BI180:BI191,$BX186,BS180:BS191),SUMIF(BI180:BI191,$BX186,BN180:BN191)))</f>
        <v>3.013120899718838E-2</v>
      </c>
      <c r="CB186" s="645">
        <f t="shared" si="55"/>
        <v>23</v>
      </c>
      <c r="CC186" s="645">
        <f t="shared" si="52"/>
        <v>4</v>
      </c>
    </row>
    <row r="187" spans="61:81" ht="15" customHeight="1">
      <c r="BI187" s="638" t="s">
        <v>329</v>
      </c>
      <c r="BJ187" s="638">
        <v>8</v>
      </c>
      <c r="BK187" s="638" t="s">
        <v>328</v>
      </c>
      <c r="BL187" s="690">
        <v>0.502</v>
      </c>
      <c r="BM187" s="690">
        <v>19.547000000000001</v>
      </c>
      <c r="BN187" s="653">
        <f t="shared" si="53"/>
        <v>2.5681690284954213E-2</v>
      </c>
      <c r="BO187" s="855"/>
      <c r="BP187" s="821">
        <v>0.05</v>
      </c>
      <c r="BQ187" s="690"/>
      <c r="BR187" s="690"/>
      <c r="BS187" s="842" t="str">
        <f t="shared" si="54"/>
        <v/>
      </c>
      <c r="BT187" s="855"/>
      <c r="BU187" s="821">
        <v>0.05</v>
      </c>
      <c r="BX187" s="666" t="str">
        <f t="shared" si="51"/>
        <v>May</v>
      </c>
      <c r="BY187" s="643">
        <f>IF(CB187=$CB192,SUMIF($BI180:$BI191,$BX187,$BR180:$BR191),SUMIF($BI180:$BI191,$BX187,$BM180:$BM191))</f>
        <v>19.547000000000001</v>
      </c>
      <c r="BZ187" s="821">
        <f>IF(IF(CB187=CB192,SUMIF(BI180:BI191,$BX187,BU180:BU191),SUMIF(BI180:BI191,$BX187,BP180:BP191))=0,NA(),IF(CB187=CB192,SUMIF(BI180:BI191,$BX187,BU180:BU191),SUMIF(BI180:BI191,$BX187,BP180:BP191)))</f>
        <v>0.05</v>
      </c>
      <c r="CA187" s="644">
        <f>IF(IF(CB187=CB192,SUMIF(BI180:BI191,$BX187,BS180:BS191),SUMIF(BI180:BI191,$BX187,BN180:BN191))=0,NA(),IF(CB187=CB192,SUMIF(BI180:BI191,$BX187,BS180:BS191),SUMIF(BI180:BI191,$BX187,BN180:BN191)))</f>
        <v>2.5681690284954213E-2</v>
      </c>
      <c r="CB187" s="645">
        <f t="shared" si="55"/>
        <v>23</v>
      </c>
      <c r="CC187" s="645">
        <f t="shared" si="52"/>
        <v>5</v>
      </c>
    </row>
    <row r="188" spans="61:81" ht="15" customHeight="1">
      <c r="BI188" s="638" t="s">
        <v>331</v>
      </c>
      <c r="BJ188" s="638">
        <v>9</v>
      </c>
      <c r="BK188" s="638" t="s">
        <v>328</v>
      </c>
      <c r="BL188" s="690">
        <v>1.105</v>
      </c>
      <c r="BM188" s="690">
        <v>25.466999999999999</v>
      </c>
      <c r="BN188" s="653">
        <f t="shared" si="53"/>
        <v>4.3389484430832057E-2</v>
      </c>
      <c r="BO188" s="855"/>
      <c r="BP188" s="821">
        <v>0.05</v>
      </c>
      <c r="BQ188" s="690"/>
      <c r="BR188" s="690"/>
      <c r="BS188" s="842" t="str">
        <f t="shared" si="54"/>
        <v/>
      </c>
      <c r="BT188" s="855"/>
      <c r="BU188" s="821">
        <v>0.05</v>
      </c>
      <c r="BX188" s="666" t="str">
        <f t="shared" si="51"/>
        <v>Jun</v>
      </c>
      <c r="BY188" s="643">
        <f>IF(CB188=$CB192,SUMIF($BI180:$BI191,$BX188,$BR180:$BR191),SUMIF($BI180:$BI191,$BX188,$BM180:$BM191))</f>
        <v>25.466999999999999</v>
      </c>
      <c r="BZ188" s="821">
        <f>IF(IF(CB188=CB192,SUMIF(BI180:BI191,$BX188,BU180:BU191),SUMIF(BI180:BI191,$BX188,BP180:BP191))=0,NA(),IF(CB188=CB192,SUMIF(BI180:BI191,$BX188,BU180:BU191),SUMIF(BI180:BI191,$BX188,BP180:BP191)))</f>
        <v>0.05</v>
      </c>
      <c r="CA188" s="644">
        <f>IF(IF(CB188=CB192,SUMIF(BI180:BI191,$BX188,BS180:BS191),SUMIF(BI180:BI191,$BX188,BN180:BN191))=0,NA(),IF(CB188=CB192,SUMIF(BI180:BI191,$BX188,BS180:BS191),SUMIF(BI180:BI191,$BX188,BN180:BN191)))</f>
        <v>4.3389484430832057E-2</v>
      </c>
      <c r="CB188" s="645">
        <f t="shared" si="55"/>
        <v>23</v>
      </c>
      <c r="CC188" s="645">
        <f t="shared" si="52"/>
        <v>6</v>
      </c>
    </row>
    <row r="189" spans="61:81" ht="15" customHeight="1">
      <c r="BI189" s="638" t="s">
        <v>337</v>
      </c>
      <c r="BJ189" s="638">
        <v>10</v>
      </c>
      <c r="BK189" s="638" t="s">
        <v>338</v>
      </c>
      <c r="BL189" s="690">
        <v>0.96299999999999997</v>
      </c>
      <c r="BM189" s="690">
        <v>20.809000000000001</v>
      </c>
      <c r="BN189" s="653">
        <f t="shared" si="53"/>
        <v>4.6278052765630254E-2</v>
      </c>
      <c r="BO189" s="289">
        <f>IF(SUM(BM189:BM191=0),0,SUM(BL189:BL191)/SUM(BM189:BM191))</f>
        <v>4.1746559891721186E-2</v>
      </c>
      <c r="BP189" s="821">
        <v>0.05</v>
      </c>
      <c r="BQ189" s="690"/>
      <c r="BR189" s="690"/>
      <c r="BS189" s="842" t="str">
        <f t="shared" si="54"/>
        <v/>
      </c>
      <c r="BT189" s="289">
        <f>IF(SUM(BR189:BR191=0),0,SUM(BQ189:BQ191)/SUM(BR189:BR191))</f>
        <v>0</v>
      </c>
      <c r="BU189" s="821">
        <v>0.05</v>
      </c>
      <c r="BX189" s="666" t="str">
        <f t="shared" si="51"/>
        <v>Jul</v>
      </c>
      <c r="BY189" s="643">
        <f>IF(CB189=$CB192,SUMIF($BI180:$BI191,$BX189,$BR180:$BR191),SUMIF($BI180:$BI191,$BX189,$BM180:$BM191))</f>
        <v>20.809000000000001</v>
      </c>
      <c r="BZ189" s="821">
        <f>IF(IF(CB189=CB192,SUMIF(BI180:BI191,$BX189,BU180:BU191),SUMIF(BI180:BI191,$BX189,BP180:BP191))=0,NA(),IF(CB189=CB192,SUMIF(BI180:BI191,$BX189,BU180:BU191),SUMIF(BI180:BI191,$BX189,BP180:BP191)))</f>
        <v>0.05</v>
      </c>
      <c r="CA189" s="644">
        <f>IF(IF(CB189=CB192,SUMIF(BI180:BI191,$BX189,BS180:BS191),SUMIF(BI180:BI191,$BX189,BN180:BN191))=0,NA(),IF(CB189=CB192,SUMIF(BI180:BI191,$BX189,BS180:BS191),SUMIF(BI180:BI191,$BX189,BN180:BN191)))</f>
        <v>4.6278052765630254E-2</v>
      </c>
      <c r="CB189" s="645">
        <f t="shared" si="55"/>
        <v>23</v>
      </c>
      <c r="CC189" s="645">
        <f t="shared" si="52"/>
        <v>7</v>
      </c>
    </row>
    <row r="190" spans="61:81" ht="15" customHeight="1">
      <c r="BI190" s="638" t="s">
        <v>343</v>
      </c>
      <c r="BJ190" s="638">
        <v>11</v>
      </c>
      <c r="BK190" s="638" t="s">
        <v>338</v>
      </c>
      <c r="BL190" s="690">
        <v>0.69</v>
      </c>
      <c r="BM190" s="690">
        <v>21.687000000000001</v>
      </c>
      <c r="BN190" s="653">
        <f t="shared" si="53"/>
        <v>3.1816295476552771E-2</v>
      </c>
      <c r="BO190" s="855"/>
      <c r="BP190" s="821">
        <v>0.05</v>
      </c>
      <c r="BQ190" s="690"/>
      <c r="BR190" s="690"/>
      <c r="BS190" s="842" t="str">
        <f t="shared" si="54"/>
        <v/>
      </c>
      <c r="BT190" s="855"/>
      <c r="BU190" s="821">
        <v>0.05</v>
      </c>
      <c r="BX190" s="666" t="str">
        <f t="shared" si="51"/>
        <v>Aug</v>
      </c>
      <c r="BY190" s="643">
        <f>IF(CB190=$CB192,SUMIF($BI180:$BI191,$BX190,$BR180:$BR191),SUMIF($BI180:$BI191,$BX190,$BM180:$BM191))</f>
        <v>21.687000000000001</v>
      </c>
      <c r="BZ190" s="821">
        <f>IF(IF(CB190=CB192,SUMIF(BI180:BI191,$BX190,BU180:BU191),SUMIF(BI180:BI191,$BX190,BP180:BP191))=0,NA(),IF(CB190=CB192,SUMIF(BI180:BI191,$BX190,BU180:BU191),SUMIF(BI180:BI191,$BX190,BP180:BP191)))</f>
        <v>0.05</v>
      </c>
      <c r="CA190" s="644">
        <f>IF(IF(CB190=CB192,SUMIF(BI180:BI191,$BX190,BS180:BS191),SUMIF(BI180:BI191,$BX190,BN180:BN191))=0,NA(),IF(CB190=CB192,SUMIF(BI180:BI191,$BX190,BS180:BS191),SUMIF(BI180:BI191,$BX190,BN180:BN191)))</f>
        <v>3.1816295476552771E-2</v>
      </c>
      <c r="CB190" s="645">
        <f t="shared" si="55"/>
        <v>23</v>
      </c>
      <c r="CC190" s="645">
        <f t="shared" si="52"/>
        <v>8</v>
      </c>
    </row>
    <row r="191" spans="61:81" ht="15" customHeight="1">
      <c r="BI191" s="638" t="s">
        <v>344</v>
      </c>
      <c r="BJ191" s="638">
        <v>12</v>
      </c>
      <c r="BK191" s="638" t="s">
        <v>338</v>
      </c>
      <c r="BL191" s="690">
        <v>1.3080000000000001</v>
      </c>
      <c r="BM191" s="690">
        <v>28.431999999999999</v>
      </c>
      <c r="BN191" s="653">
        <f t="shared" si="53"/>
        <v>4.6004501969611707E-2</v>
      </c>
      <c r="BO191" s="855"/>
      <c r="BP191" s="821">
        <v>0.05</v>
      </c>
      <c r="BQ191" s="690"/>
      <c r="BR191" s="690"/>
      <c r="BS191" s="842" t="str">
        <f t="shared" si="54"/>
        <v/>
      </c>
      <c r="BT191" s="855"/>
      <c r="BU191" s="821">
        <v>0.05</v>
      </c>
      <c r="BX191" s="666" t="str">
        <f t="shared" si="51"/>
        <v>Sep</v>
      </c>
      <c r="BY191" s="643">
        <f>IF(CB191=$CB192,SUMIF($BI180:$BI191,$BX191,$BR180:$BR191),SUMIF($BI180:$BI191,$BX191,$BM180:$BM191))</f>
        <v>28.431999999999999</v>
      </c>
      <c r="BZ191" s="821">
        <f>IF(IF(CB191=CB192,SUMIF(BI180:BI191,$BX191,BU180:BU191),SUMIF(BI180:BI191,$BX191,BP180:BP191))=0,NA(),IF(CB191=CB192,SUMIF(BI180:BI191,$BX191,BU180:BU191),SUMIF(BI180:BI191,$BX191,BP180:BP191)))</f>
        <v>0.05</v>
      </c>
      <c r="CA191" s="644">
        <f>IF(IF(CB191=CB192,SUMIF(BI180:BI191,$BX191,BS180:BS191),SUMIF(BI180:BI191,$BX191,BN180:BN191))=0,NA(),IF(CB191=CB192,SUMIF(BI180:BI191,$BX191,BS180:BS191),SUMIF(BI180:BI191,$BX191,BN180:BN191)))</f>
        <v>4.6004501969611707E-2</v>
      </c>
      <c r="CB191" s="645">
        <f t="shared" si="55"/>
        <v>23</v>
      </c>
      <c r="CC191" s="645">
        <f>IF(CC192-1&lt;1,CC192+11,CC192-1)</f>
        <v>9</v>
      </c>
    </row>
    <row r="192" spans="61:81" ht="15" customHeight="1">
      <c r="BI192" s="6"/>
      <c r="BJ192" s="6"/>
      <c r="BK192" s="6"/>
      <c r="BL192" s="6"/>
      <c r="BM192" s="6"/>
      <c r="BN192" s="6"/>
      <c r="BO192" s="6"/>
      <c r="BP192" s="6"/>
      <c r="BQ192" s="6"/>
      <c r="BR192" s="6"/>
      <c r="BS192" s="6"/>
      <c r="BT192" s="6"/>
      <c r="BU192" s="6"/>
      <c r="BW192" s="667" t="str">
        <f>Cover!$M$34</f>
        <v>OCT FY-24</v>
      </c>
      <c r="BX192" s="666" t="str">
        <f>TEXT(CONCATENATE(CC192,"/01/20",CB192),"MMM")</f>
        <v>Oct</v>
      </c>
      <c r="BY192" s="643">
        <f>SUMIF($BI180:$BI191,$BX192,$BR180:$BR191)</f>
        <v>22.155000000000001</v>
      </c>
      <c r="BZ192" s="821">
        <f>IF(IF(CB192=CB192,SUMIF(BI180:BI191,$BX192,BU180:BU191),SUMIF(BI180:BI191,$BX192,BP180:BP191))=0,NA(),IF(CB192=CB192,SUMIF(BI180:BI191,$BX192,BU180:BU191),SUMIF(BI180:BI191,$BX192,BP180:BP191)))</f>
        <v>0.05</v>
      </c>
      <c r="CA192" s="644">
        <f>IF(SUMIF($BI180:$BI191,$BX192,$BS180:$BS191)=0,NA(),SUMIF($BI180:$BI191,$BX192,$BS180:$BS191))</f>
        <v>4.3466486120514555E-2</v>
      </c>
      <c r="CB192" s="645">
        <f>CB173</f>
        <v>24</v>
      </c>
      <c r="CC192" s="645">
        <f>MONTH(DATEVALUE(LEFT(BW192,3)&amp;" 1"))</f>
        <v>10</v>
      </c>
    </row>
    <row r="193" spans="61:81" ht="15" customHeight="1">
      <c r="BJ193" s="6"/>
      <c r="BK193" s="6"/>
      <c r="BL193" s="6"/>
      <c r="BM193" s="6"/>
      <c r="BN193" s="6"/>
      <c r="BO193" s="6"/>
      <c r="BP193" s="6"/>
      <c r="BQ193" s="6"/>
      <c r="BR193" s="6"/>
      <c r="BS193" s="6"/>
      <c r="BT193" s="6"/>
      <c r="BU193" s="6"/>
    </row>
    <row r="194" spans="61:81" ht="15" customHeight="1">
      <c r="BI194" s="54" t="s">
        <v>292</v>
      </c>
      <c r="BJ194" s="287" t="s">
        <v>157</v>
      </c>
      <c r="BK194" s="287"/>
      <c r="BL194" s="287"/>
      <c r="BM194" s="287"/>
      <c r="BN194" s="287"/>
      <c r="BO194" s="287"/>
      <c r="BP194" s="287"/>
      <c r="BQ194" s="287"/>
      <c r="BR194" s="287"/>
      <c r="BS194" s="287"/>
      <c r="BT194" s="287"/>
      <c r="BU194" s="287"/>
    </row>
    <row r="195" spans="61:81" ht="15" customHeight="1">
      <c r="BI195" s="54" t="s">
        <v>296</v>
      </c>
      <c r="BJ195" s="283" t="s">
        <v>156</v>
      </c>
      <c r="BK195" s="283"/>
      <c r="BL195" s="283"/>
      <c r="BM195" s="283"/>
      <c r="BN195" s="283"/>
      <c r="BO195" s="283"/>
      <c r="BP195" s="283"/>
      <c r="BQ195" s="283"/>
      <c r="BR195" s="283"/>
      <c r="BS195" s="283"/>
      <c r="BT195" s="283"/>
      <c r="BU195" s="283"/>
    </row>
    <row r="196" spans="61:81" ht="15" customHeight="1" thickBot="1">
      <c r="BI196" s="54" t="s">
        <v>300</v>
      </c>
      <c r="BJ196" s="283" t="s">
        <v>472</v>
      </c>
      <c r="BK196" s="283"/>
      <c r="BL196" s="283"/>
      <c r="BM196" s="283"/>
      <c r="BN196" s="283"/>
      <c r="BO196" s="283"/>
      <c r="BP196" s="283"/>
      <c r="BQ196" s="283"/>
      <c r="BR196" s="283"/>
      <c r="BS196" s="283"/>
      <c r="BT196" s="283"/>
      <c r="BU196" s="283"/>
    </row>
    <row r="197" spans="61:81" ht="15" customHeight="1" thickBot="1">
      <c r="BI197" s="1408" t="s">
        <v>451</v>
      </c>
      <c r="BJ197" s="1409"/>
      <c r="BK197" s="1410"/>
      <c r="BL197" s="1408" t="s">
        <v>302</v>
      </c>
      <c r="BM197" s="1409"/>
      <c r="BN197" s="1409"/>
      <c r="BO197" s="1409"/>
      <c r="BP197" s="1410"/>
      <c r="BQ197" s="1408" t="s">
        <v>719</v>
      </c>
      <c r="BR197" s="1409"/>
      <c r="BS197" s="1409"/>
      <c r="BT197" s="1409"/>
      <c r="BU197" s="1410"/>
      <c r="BW197" s="1402" t="s">
        <v>303</v>
      </c>
      <c r="BX197" s="1403"/>
      <c r="BY197" s="1403"/>
      <c r="BZ197" s="1403"/>
      <c r="CA197" s="1403"/>
      <c r="CB197" s="1403"/>
      <c r="CC197" s="1404"/>
    </row>
    <row r="198" spans="61:81" ht="15" customHeight="1">
      <c r="BI198" s="636" t="s">
        <v>23</v>
      </c>
      <c r="BJ198" s="636" t="s">
        <v>37</v>
      </c>
      <c r="BK198" s="636" t="s">
        <v>304</v>
      </c>
      <c r="BL198" s="637" t="s">
        <v>305</v>
      </c>
      <c r="BM198" s="637" t="s">
        <v>310</v>
      </c>
      <c r="BN198" s="637" t="s">
        <v>311</v>
      </c>
      <c r="BO198" s="278" t="s">
        <v>312</v>
      </c>
      <c r="BP198" s="637" t="s">
        <v>313</v>
      </c>
      <c r="BQ198" s="637" t="s">
        <v>305</v>
      </c>
      <c r="BR198" s="637" t="s">
        <v>715</v>
      </c>
      <c r="BS198" s="637" t="s">
        <v>716</v>
      </c>
      <c r="BT198" s="278" t="s">
        <v>717</v>
      </c>
      <c r="BU198" s="637" t="s">
        <v>718</v>
      </c>
      <c r="BW198" s="279" t="s">
        <v>314</v>
      </c>
      <c r="BX198" s="279" t="s">
        <v>23</v>
      </c>
      <c r="BY198" s="280" t="s">
        <v>315</v>
      </c>
      <c r="BZ198" s="279" t="s">
        <v>122</v>
      </c>
      <c r="CA198" s="279" t="s">
        <v>316</v>
      </c>
      <c r="CB198" s="279" t="s">
        <v>317</v>
      </c>
      <c r="CC198" s="279" t="s">
        <v>318</v>
      </c>
    </row>
    <row r="199" spans="61:81" ht="15" customHeight="1">
      <c r="BI199" s="638" t="s">
        <v>319</v>
      </c>
      <c r="BJ199" s="638">
        <v>1</v>
      </c>
      <c r="BK199" s="638" t="s">
        <v>320</v>
      </c>
      <c r="BL199" s="690">
        <v>6.7320000000000002</v>
      </c>
      <c r="BM199" s="869">
        <f>IF(BM161="","",BM161)</f>
        <v>12.15</v>
      </c>
      <c r="BN199" s="653">
        <f>IF(BM199="","",BL199/BM199)</f>
        <v>0.55407407407407405</v>
      </c>
      <c r="BO199" s="289">
        <f>IF(SUM(BM199:BM201=0),0,SUM(BL199:BL201)/SUM(BM199:BM201))</f>
        <v>0.62178442028985503</v>
      </c>
      <c r="BP199" s="819">
        <v>0.8</v>
      </c>
      <c r="BQ199" s="690">
        <v>16.687999999999999</v>
      </c>
      <c r="BR199" s="869">
        <f>IF(BR161="","",BR161)</f>
        <v>19.66</v>
      </c>
      <c r="BS199" s="842">
        <f>IF(BR199="","",BQ199/BR199)</f>
        <v>0.8488301119023397</v>
      </c>
      <c r="BT199" s="289">
        <f>IF(SUM(BR199:BR201=""),0,SUM(BQ199:BQ201)/SUM(BR199:BR201))</f>
        <v>0.8488301119023397</v>
      </c>
      <c r="BU199" s="657">
        <v>0.8</v>
      </c>
      <c r="BX199" s="666" t="str">
        <f t="shared" ref="BX199:BX210" si="56">TEXT(CONCATENATE(CC199,"/01/20",CB199),"MMM")</f>
        <v>Oct</v>
      </c>
      <c r="BY199" s="643">
        <f>IF(CB199=$CB211,SUMIF($BI199:$BI210,$BX199,$BR199:$BR210),SUMIF($BI199:$BI210,$BX199,$BM199:$BM210))</f>
        <v>12.15</v>
      </c>
      <c r="BZ199" s="821">
        <f>IF(IF(CB199=CB211,SUMIF(BI199:BI210,$BX199,BU199:BU210),SUMIF(BI199:BI210,$BX199,BP199:BP210))=0,NA(),IF(CB199=CB211,SUMIF(BI199:BI210,$BX199,BU199:BU210),SUMIF(BI199:BI210,$BX199,BP199:BP210)))</f>
        <v>0.8</v>
      </c>
      <c r="CA199" s="644">
        <f>IF(IF(CB199=CB211,SUMIF(BI199:BI210,$BX199,BS199:BS210),SUMIF(BI199:BI210,$BX199,BN199:BN210))=0,NA(),IF(CB199=CB211,SUMIF(BI199:BI210,$BX199,BS199:BS210),SUMIF(BI199:BI210,$BX199,BN199:BN210)))</f>
        <v>0.55407407407407405</v>
      </c>
      <c r="CB199" s="645">
        <f>CB180</f>
        <v>23</v>
      </c>
      <c r="CC199" s="645">
        <f t="shared" ref="CC199:CC209" si="57">IF(CC200-1&lt;1,CC200+11,CC200-1)</f>
        <v>10</v>
      </c>
    </row>
    <row r="200" spans="61:81" ht="15" customHeight="1">
      <c r="BI200" s="638" t="s">
        <v>321</v>
      </c>
      <c r="BJ200" s="638">
        <v>2</v>
      </c>
      <c r="BK200" s="638" t="s">
        <v>320</v>
      </c>
      <c r="BL200" s="690">
        <v>9.4130000000000003</v>
      </c>
      <c r="BM200" s="869">
        <f t="shared" ref="BM200:BM210" si="58">IF(BM162="","",BM162)</f>
        <v>14.951000000000001</v>
      </c>
      <c r="BN200" s="653">
        <f t="shared" ref="BN200:BN210" si="59">IF(BM200="","",BL200/BM200)</f>
        <v>0.62958999398033577</v>
      </c>
      <c r="BO200" s="855"/>
      <c r="BP200" s="819">
        <v>0.8</v>
      </c>
      <c r="BQ200" s="690"/>
      <c r="BR200" s="869" t="str">
        <f t="shared" ref="BR200:BR210" si="60">IF(BR162="","",BR162)</f>
        <v/>
      </c>
      <c r="BS200" s="842" t="str">
        <f t="shared" ref="BS200:BS210" si="61">IF(BR200="","",BQ200/BR200)</f>
        <v/>
      </c>
      <c r="BT200" s="855"/>
      <c r="BU200" s="657">
        <v>0.8</v>
      </c>
      <c r="BX200" s="666" t="str">
        <f t="shared" si="56"/>
        <v>Nov</v>
      </c>
      <c r="BY200" s="643">
        <f>IF(CB200=$CB211,SUMIF($BI199:$BI210,$BX200,$BR199:$BR210),SUMIF($BI199:$BI210,$BX200,$BM199:$BM210))</f>
        <v>14.951000000000001</v>
      </c>
      <c r="BZ200" s="821">
        <f>IF(IF(CB200=CB211,SUMIF(BI199:BI210,$BX200,BU199:BU210),SUMIF(BI199:BI210,$BX200,BP199:BP210))=0,NA(),IF(CB200=CB211,SUMIF(BI199:BI210,$BX200,BU199:BU210),SUMIF(BI199:BI210,$BX200,BP199:BP210)))</f>
        <v>0.8</v>
      </c>
      <c r="CA200" s="644">
        <f>IF(IF(CB200=CB211,SUMIF(BI199:BI210,$BX200,BS199:BS210),SUMIF(BI199:BI210,$BX200,BN199:BN210))=0,NA(),IF(CB200=CB211,SUMIF(BI199:BI210,$BX200,BS199:BS210),SUMIF(BI199:BI210,$BX200,BN199:BN210)))</f>
        <v>0.62958999398033577</v>
      </c>
      <c r="CB200" s="645">
        <f t="shared" ref="CB200:CB210" si="62">CB181</f>
        <v>23</v>
      </c>
      <c r="CC200" s="645">
        <f t="shared" si="57"/>
        <v>11</v>
      </c>
    </row>
    <row r="201" spans="61:81" ht="15" customHeight="1">
      <c r="BI201" s="638" t="s">
        <v>322</v>
      </c>
      <c r="BJ201" s="638">
        <v>3</v>
      </c>
      <c r="BK201" s="638" t="s">
        <v>320</v>
      </c>
      <c r="BL201" s="690">
        <v>11.313000000000001</v>
      </c>
      <c r="BM201" s="869">
        <f t="shared" si="58"/>
        <v>17.059000000000001</v>
      </c>
      <c r="BN201" s="653">
        <f t="shared" si="59"/>
        <v>0.66316900169998239</v>
      </c>
      <c r="BO201" s="855"/>
      <c r="BP201" s="819">
        <v>0.8</v>
      </c>
      <c r="BQ201" s="690"/>
      <c r="BR201" s="869" t="str">
        <f t="shared" si="60"/>
        <v/>
      </c>
      <c r="BS201" s="842" t="str">
        <f t="shared" si="61"/>
        <v/>
      </c>
      <c r="BT201" s="855"/>
      <c r="BU201" s="657">
        <v>0.8</v>
      </c>
      <c r="BX201" s="666" t="str">
        <f t="shared" si="56"/>
        <v>Dec</v>
      </c>
      <c r="BY201" s="643">
        <f>IF(CB201=$CB211,SUMIF($BI199:$BI210,$BX201,$BR199:$BR210),SUMIF($BI199:$BI210,$BX201,$BM199:$BM210))</f>
        <v>17.059000000000001</v>
      </c>
      <c r="BZ201" s="821">
        <f>IF(IF(CB201=CB211,SUMIF(BI199:BI210,$BX201,BU199:BU210),SUMIF(BI199:BI210,$BX201,BP199:BP210))=0,NA(),IF(CB201=CB211,SUMIF(BI199:BI210,$BX201,BU199:BU210),SUMIF(BI199:BI210,$BX201,BP199:BP210)))</f>
        <v>0.8</v>
      </c>
      <c r="CA201" s="644">
        <f>IF(IF(CB201=CB211,SUMIF(BI199:BI210,$BX201,BS199:BS210),SUMIF(BI199:BI210,$BX201,BN199:BN210))=0,NA(),IF(CB201=CB211,SUMIF(BI199:BI210,$BX201,BS199:BS210),SUMIF(BI199:BI210,$BX201,BN199:BN210)))</f>
        <v>0.66316900169998239</v>
      </c>
      <c r="CB201" s="645">
        <f t="shared" si="62"/>
        <v>23</v>
      </c>
      <c r="CC201" s="645">
        <f t="shared" si="57"/>
        <v>12</v>
      </c>
    </row>
    <row r="202" spans="61:81" ht="15" customHeight="1">
      <c r="BI202" s="638" t="s">
        <v>323</v>
      </c>
      <c r="BJ202" s="638">
        <v>4</v>
      </c>
      <c r="BK202" s="638" t="s">
        <v>324</v>
      </c>
      <c r="BL202" s="690">
        <v>14.593</v>
      </c>
      <c r="BM202" s="869">
        <f t="shared" si="58"/>
        <v>16.963000000000001</v>
      </c>
      <c r="BN202" s="653">
        <f t="shared" si="59"/>
        <v>0.86028414785120555</v>
      </c>
      <c r="BO202" s="289">
        <f>IF(SUM(BM202:BM204=0),0,SUM(BL202:BL204)/SUM(BM202:BM204))</f>
        <v>0.9011797126579143</v>
      </c>
      <c r="BP202" s="819">
        <v>0.8</v>
      </c>
      <c r="BQ202" s="690"/>
      <c r="BR202" s="869" t="str">
        <f t="shared" si="60"/>
        <v/>
      </c>
      <c r="BS202" s="842" t="str">
        <f t="shared" si="61"/>
        <v/>
      </c>
      <c r="BT202" s="289">
        <f>IF(SUM(BR202:BR204=""),0,SUM(BQ202:BQ204)/SUM(BR202:BR204))</f>
        <v>0</v>
      </c>
      <c r="BU202" s="657">
        <v>0.8</v>
      </c>
      <c r="BX202" s="666" t="str">
        <f t="shared" si="56"/>
        <v>Jan</v>
      </c>
      <c r="BY202" s="643">
        <f>IF(CB202=$CB211,SUMIF($BI199:$BI210,$BX202,$BR199:$BR210),SUMIF($BI199:$BI210,$BX202,$BM199:$BM210))</f>
        <v>16.963000000000001</v>
      </c>
      <c r="BZ202" s="821">
        <f>IF(IF(CB202=CB211,SUMIF(BI199:BI210,$BX202,BU199:BU210),SUMIF(BI199:BI210,$BX202,BP199:BP210))=0,NA(),IF(CB202=CB211,SUMIF(BI199:BI210,$BX202,BU199:BU210),SUMIF(BI199:BI210,$BX202,BP199:BP210)))</f>
        <v>0.8</v>
      </c>
      <c r="CA202" s="644">
        <f>IF(IF(CB202=CB211,SUMIF(BI199:BI210,$BX202,BS199:BS210),SUMIF(BI199:BI210,$BX202,BN199:BN210))=0,NA(),IF(CB202=CB211,SUMIF(BI199:BI210,$BX202,BS199:BS210),SUMIF(BI199:BI210,$BX202,BN199:BN210)))</f>
        <v>0.86028414785120555</v>
      </c>
      <c r="CB202" s="645">
        <f t="shared" si="62"/>
        <v>23</v>
      </c>
      <c r="CC202" s="645">
        <f t="shared" si="57"/>
        <v>1</v>
      </c>
    </row>
    <row r="203" spans="61:81" ht="15" customHeight="1">
      <c r="BI203" s="638" t="s">
        <v>325</v>
      </c>
      <c r="BJ203" s="638">
        <v>5</v>
      </c>
      <c r="BK203" s="638" t="s">
        <v>324</v>
      </c>
      <c r="BL203" s="690">
        <v>18.600000000000001</v>
      </c>
      <c r="BM203" s="869">
        <f t="shared" si="58"/>
        <v>20.582000000000001</v>
      </c>
      <c r="BN203" s="653">
        <f t="shared" si="59"/>
        <v>0.90370226411427468</v>
      </c>
      <c r="BO203" s="855"/>
      <c r="BP203" s="819">
        <v>0.8</v>
      </c>
      <c r="BQ203" s="690"/>
      <c r="BR203" s="869" t="str">
        <f t="shared" si="60"/>
        <v/>
      </c>
      <c r="BS203" s="842" t="str">
        <f t="shared" si="61"/>
        <v/>
      </c>
      <c r="BT203" s="855"/>
      <c r="BU203" s="657">
        <v>0.8</v>
      </c>
      <c r="BX203" s="666" t="str">
        <f t="shared" si="56"/>
        <v>Feb</v>
      </c>
      <c r="BY203" s="643">
        <f>IF(CB203=$CB211,SUMIF($BI199:$BI210,$BX203,$BR199:$BR210),SUMIF($BI199:$BI210,$BX203,$BM199:$BM210))</f>
        <v>20.582000000000001</v>
      </c>
      <c r="BZ203" s="821">
        <f>IF(IF(CB203=CB211,SUMIF(BI199:BI210,$BX203,BU199:BU210),SUMIF(BI199:BI210,$BX203,BP199:BP210))=0,NA(),IF(CB203=CB211,SUMIF(BI199:BI210,$BX203,BU199:BU210),SUMIF(BI199:BI210,$BX203,BP199:BP210)))</f>
        <v>0.8</v>
      </c>
      <c r="CA203" s="644">
        <f>IF(IF(CB203=CB211,SUMIF(BI199:BI210,$BX203,BS199:BS210),SUMIF(BI199:BI210,$BX203,BN199:BN210))=0,NA(),IF(CB203=CB211,SUMIF(BI199:BI210,$BX203,BS199:BS210),SUMIF(BI199:BI210,$BX203,BN199:BN210)))</f>
        <v>0.90370226411427468</v>
      </c>
      <c r="CB203" s="645">
        <f t="shared" si="62"/>
        <v>23</v>
      </c>
      <c r="CC203" s="645">
        <f t="shared" si="57"/>
        <v>2</v>
      </c>
    </row>
    <row r="204" spans="61:81" ht="15" customHeight="1">
      <c r="BI204" s="638" t="s">
        <v>326</v>
      </c>
      <c r="BJ204" s="638">
        <v>6</v>
      </c>
      <c r="BK204" s="638" t="s">
        <v>324</v>
      </c>
      <c r="BL204" s="690">
        <v>25.015999999999998</v>
      </c>
      <c r="BM204" s="869">
        <f t="shared" si="58"/>
        <v>27.047000000000001</v>
      </c>
      <c r="BN204" s="653">
        <f t="shared" si="59"/>
        <v>0.92490849262395081</v>
      </c>
      <c r="BO204" s="855"/>
      <c r="BP204" s="819">
        <v>0.8</v>
      </c>
      <c r="BQ204" s="690"/>
      <c r="BR204" s="869" t="str">
        <f t="shared" si="60"/>
        <v/>
      </c>
      <c r="BS204" s="842" t="str">
        <f t="shared" si="61"/>
        <v/>
      </c>
      <c r="BT204" s="855"/>
      <c r="BU204" s="657">
        <v>0.8</v>
      </c>
      <c r="BX204" s="666" t="str">
        <f t="shared" si="56"/>
        <v>Mar</v>
      </c>
      <c r="BY204" s="643">
        <f>IF(CB204=$CB211,SUMIF($BI199:$BI210,$BX204,$BR199:$BR210),SUMIF($BI199:$BI210,$BX204,$BM199:$BM210))</f>
        <v>27.047000000000001</v>
      </c>
      <c r="BZ204" s="821">
        <f>IF(IF(CB204=CB211,SUMIF(BI199:BI210,$BX204,BU199:BU210),SUMIF(BI199:BI210,$BX204,BP199:BP210))=0,NA(),IF(CB204=CB211,SUMIF(BI199:BI210,$BX204,BU199:BU210),SUMIF(BI199:BI210,$BX204,BP199:BP210)))</f>
        <v>0.8</v>
      </c>
      <c r="CA204" s="644">
        <f>IF(IF(CB204=CB211,SUMIF(BI199:BI210,$BX204,BS199:BS210),SUMIF(BI199:BI210,$BX204,BN199:BN210))=0,NA(),IF(CB204=CB211,SUMIF(BI199:BI210,$BX204,BS199:BS210),SUMIF(BI199:BI210,$BX204,BN199:BN210)))</f>
        <v>0.92490849262395081</v>
      </c>
      <c r="CB204" s="645">
        <f t="shared" si="62"/>
        <v>23</v>
      </c>
      <c r="CC204" s="645">
        <f t="shared" si="57"/>
        <v>3</v>
      </c>
    </row>
    <row r="205" spans="61:81" ht="15" customHeight="1">
      <c r="BI205" s="638" t="s">
        <v>327</v>
      </c>
      <c r="BJ205" s="638">
        <v>7</v>
      </c>
      <c r="BK205" s="638" t="s">
        <v>328</v>
      </c>
      <c r="BL205" s="690">
        <v>18.106999999999999</v>
      </c>
      <c r="BM205" s="869">
        <f t="shared" si="58"/>
        <v>19.911000000000001</v>
      </c>
      <c r="BN205" s="653">
        <f t="shared" si="59"/>
        <v>0.9093968158304454</v>
      </c>
      <c r="BO205" s="289">
        <f>IF(SUM(BM205:BM207=0),0,SUM(BL205:BL207)/SUM(BM205:BM207))</f>
        <v>0.89936921920449719</v>
      </c>
      <c r="BP205" s="819">
        <v>0.8</v>
      </c>
      <c r="BQ205" s="690"/>
      <c r="BR205" s="869" t="str">
        <f t="shared" si="60"/>
        <v/>
      </c>
      <c r="BS205" s="842" t="str">
        <f t="shared" si="61"/>
        <v/>
      </c>
      <c r="BT205" s="289">
        <f>IF(SUM(BR205:BR207=""),0,SUM(BQ205:BQ207)/SUM(BR205:BR207))</f>
        <v>0</v>
      </c>
      <c r="BU205" s="657">
        <v>0.8</v>
      </c>
      <c r="BX205" s="666" t="str">
        <f t="shared" si="56"/>
        <v>Apr</v>
      </c>
      <c r="BY205" s="643">
        <f>IF(CB205=$CB211,SUMIF($BI199:$BI210,$BX205,$BR199:$BR210),SUMIF($BI199:$BI210,$BX205,$BM199:$BM210))</f>
        <v>19.911000000000001</v>
      </c>
      <c r="BZ205" s="821">
        <f>IF(IF(CB205=CB211,SUMIF(BI199:BI210,$BX205,BU199:BU210),SUMIF(BI199:BI210,$BX205,BP199:BP210))=0,NA(),IF(CB205=CB211,SUMIF(BI199:BI210,$BX205,BU199:BU210),SUMIF(BI199:BI210,$BX205,BP199:BP210)))</f>
        <v>0.8</v>
      </c>
      <c r="CA205" s="644">
        <f>IF(IF(CB205=CB211,SUMIF(BI199:BI210,$BX205,BS199:BS210),SUMIF(BI199:BI210,$BX205,BN199:BN210))=0,NA(),IF(CB205=CB211,SUMIF(BI199:BI210,$BX205,BS199:BS210),SUMIF(BI199:BI210,$BX205,BN199:BN210)))</f>
        <v>0.9093968158304454</v>
      </c>
      <c r="CB205" s="645">
        <f t="shared" si="62"/>
        <v>23</v>
      </c>
      <c r="CC205" s="645">
        <f t="shared" si="57"/>
        <v>4</v>
      </c>
    </row>
    <row r="206" spans="61:81" ht="15" customHeight="1">
      <c r="BI206" s="638" t="s">
        <v>329</v>
      </c>
      <c r="BJ206" s="638">
        <v>8</v>
      </c>
      <c r="BK206" s="638" t="s">
        <v>328</v>
      </c>
      <c r="BL206" s="690">
        <v>17.120999999999999</v>
      </c>
      <c r="BM206" s="869">
        <f t="shared" si="58"/>
        <v>18.498999999999999</v>
      </c>
      <c r="BN206" s="653">
        <f t="shared" si="59"/>
        <v>0.92550948699929725</v>
      </c>
      <c r="BO206" s="855"/>
      <c r="BP206" s="819">
        <v>0.8</v>
      </c>
      <c r="BQ206" s="690"/>
      <c r="BR206" s="869" t="str">
        <f t="shared" si="60"/>
        <v/>
      </c>
      <c r="BS206" s="842" t="str">
        <f t="shared" si="61"/>
        <v/>
      </c>
      <c r="BT206" s="855"/>
      <c r="BU206" s="657">
        <v>0.8</v>
      </c>
      <c r="BX206" s="666" t="str">
        <f t="shared" si="56"/>
        <v>May</v>
      </c>
      <c r="BY206" s="643">
        <f>IF(CB206=$CB211,SUMIF($BI199:$BI210,$BX206,$BR199:$BR210),SUMIF($BI199:$BI210,$BX206,$BM199:$BM210))</f>
        <v>18.498999999999999</v>
      </c>
      <c r="BZ206" s="821">
        <f>IF(IF(CB206=CB211,SUMIF(BI199:BI210,$BX206,BU199:BU210),SUMIF(BI199:BI210,$BX206,BP199:BP210))=0,NA(),IF(CB206=CB211,SUMIF(BI199:BI210,$BX206,BU199:BU210),SUMIF(BI199:BI210,$BX206,BP199:BP210)))</f>
        <v>0.8</v>
      </c>
      <c r="CA206" s="644">
        <f>IF(IF(CB206=CB211,SUMIF(BI199:BI210,$BX206,BS199:BS210),SUMIF(BI199:BI210,$BX206,BN199:BN210))=0,NA(),IF(CB206=CB211,SUMIF(BI199:BI210,$BX206,BS199:BS210),SUMIF(BI199:BI210,$BX206,BN199:BN210)))</f>
        <v>0.92550948699929725</v>
      </c>
      <c r="CB206" s="645">
        <f t="shared" si="62"/>
        <v>23</v>
      </c>
      <c r="CC206" s="645">
        <f t="shared" si="57"/>
        <v>5</v>
      </c>
    </row>
    <row r="207" spans="61:81" ht="15" customHeight="1">
      <c r="BI207" s="638" t="s">
        <v>331</v>
      </c>
      <c r="BJ207" s="638">
        <v>9</v>
      </c>
      <c r="BK207" s="638" t="s">
        <v>328</v>
      </c>
      <c r="BL207" s="690">
        <v>19.808</v>
      </c>
      <c r="BM207" s="869">
        <f t="shared" si="58"/>
        <v>22.783999999999999</v>
      </c>
      <c r="BN207" s="653">
        <f t="shared" si="59"/>
        <v>0.8693820224719101</v>
      </c>
      <c r="BO207" s="855"/>
      <c r="BP207" s="819">
        <v>0.8</v>
      </c>
      <c r="BQ207" s="690"/>
      <c r="BR207" s="869" t="str">
        <f t="shared" si="60"/>
        <v/>
      </c>
      <c r="BS207" s="842" t="str">
        <f t="shared" si="61"/>
        <v/>
      </c>
      <c r="BT207" s="855"/>
      <c r="BU207" s="657">
        <v>0.8</v>
      </c>
      <c r="BX207" s="666" t="str">
        <f t="shared" si="56"/>
        <v>Jun</v>
      </c>
      <c r="BY207" s="643">
        <f>IF(CB207=$CB211,SUMIF($BI199:$BI210,$BX207,$BR199:$BR210),SUMIF($BI199:$BI210,$BX207,$BM199:$BM210))</f>
        <v>22.783999999999999</v>
      </c>
      <c r="BZ207" s="821">
        <f>IF(IF(CB207=CB211,SUMIF(BI199:BI210,$BX207,BU199:BU210),SUMIF(BI199:BI210,$BX207,BP199:BP210))=0,NA(),IF(CB207=CB211,SUMIF(BI199:BI210,$BX207,BU199:BU210),SUMIF(BI199:BI210,$BX207,BP199:BP210)))</f>
        <v>0.8</v>
      </c>
      <c r="CA207" s="644">
        <f>IF(IF(CB207=CB211,SUMIF(BI199:BI210,$BX207,BS199:BS210),SUMIF(BI199:BI210,$BX207,BN199:BN210))=0,NA(),IF(CB207=CB211,SUMIF(BI199:BI210,$BX207,BS199:BS210),SUMIF(BI199:BI210,$BX207,BN199:BN210)))</f>
        <v>0.8693820224719101</v>
      </c>
      <c r="CB207" s="645">
        <f t="shared" si="62"/>
        <v>23</v>
      </c>
      <c r="CC207" s="645">
        <f t="shared" si="57"/>
        <v>6</v>
      </c>
    </row>
    <row r="208" spans="61:81" ht="15" customHeight="1">
      <c r="BI208" s="638" t="s">
        <v>337</v>
      </c>
      <c r="BJ208" s="638">
        <v>10</v>
      </c>
      <c r="BK208" s="638" t="s">
        <v>338</v>
      </c>
      <c r="BL208" s="690">
        <v>15.816000000000001</v>
      </c>
      <c r="BM208" s="869">
        <f t="shared" si="58"/>
        <v>18.553000000000001</v>
      </c>
      <c r="BN208" s="653">
        <f t="shared" si="59"/>
        <v>0.85247668840618773</v>
      </c>
      <c r="BO208" s="289">
        <f>IF(SUM(BM208:BM210=0),0,SUM(BL208:BL210)/SUM(BM208:BM210))</f>
        <v>0.8657423328227094</v>
      </c>
      <c r="BP208" s="819">
        <v>0.8</v>
      </c>
      <c r="BQ208" s="690"/>
      <c r="BR208" s="869" t="str">
        <f t="shared" si="60"/>
        <v/>
      </c>
      <c r="BS208" s="842" t="str">
        <f t="shared" si="61"/>
        <v/>
      </c>
      <c r="BT208" s="289">
        <f>IF(SUM(BR208:BR210=""),0,SUM(BQ208:BQ210)/SUM(BR208:BR210))</f>
        <v>0</v>
      </c>
      <c r="BU208" s="657">
        <v>0.8</v>
      </c>
      <c r="BX208" s="666" t="str">
        <f t="shared" si="56"/>
        <v>Jul</v>
      </c>
      <c r="BY208" s="643">
        <f>IF(CB208=$CB211,SUMIF($BI199:$BI210,$BX208,$BR199:$BR210),SUMIF($BI199:$BI210,$BX208,$BM199:$BM210))</f>
        <v>18.553000000000001</v>
      </c>
      <c r="BZ208" s="821">
        <f>IF(IF(CB208=CB211,SUMIF(BI199:BI210,$BX208,BU199:BU210),SUMIF(BI199:BI210,$BX208,BP199:BP210))=0,NA(),IF(CB208=CB211,SUMIF(BI199:BI210,$BX208,BU199:BU210),SUMIF(BI199:BI210,$BX208,BP199:BP210)))</f>
        <v>0.8</v>
      </c>
      <c r="CA208" s="644">
        <f>IF(IF(CB208=CB211,SUMIF(BI199:BI210,$BX208,BS199:BS210),SUMIF(BI199:BI210,$BX208,BN199:BN210))=0,NA(),IF(CB208=CB211,SUMIF(BI199:BI210,$BX208,BS199:BS210),SUMIF(BI199:BI210,$BX208,BN199:BN210)))</f>
        <v>0.85247668840618773</v>
      </c>
      <c r="CB208" s="645">
        <f t="shared" si="62"/>
        <v>23</v>
      </c>
      <c r="CC208" s="645">
        <f t="shared" si="57"/>
        <v>7</v>
      </c>
    </row>
    <row r="209" spans="61:81" ht="15" customHeight="1">
      <c r="BI209" s="638" t="s">
        <v>343</v>
      </c>
      <c r="BJ209" s="638">
        <v>11</v>
      </c>
      <c r="BK209" s="638" t="s">
        <v>338</v>
      </c>
      <c r="BL209" s="690">
        <v>18.039000000000001</v>
      </c>
      <c r="BM209" s="869">
        <f t="shared" si="58"/>
        <v>20.128</v>
      </c>
      <c r="BN209" s="653">
        <f t="shared" si="59"/>
        <v>0.89621422893481728</v>
      </c>
      <c r="BO209" s="855"/>
      <c r="BP209" s="819">
        <v>0.8</v>
      </c>
      <c r="BQ209" s="690"/>
      <c r="BR209" s="869" t="str">
        <f t="shared" si="60"/>
        <v/>
      </c>
      <c r="BS209" s="842" t="str">
        <f t="shared" si="61"/>
        <v/>
      </c>
      <c r="BT209" s="855"/>
      <c r="BU209" s="657">
        <v>0.8</v>
      </c>
      <c r="BX209" s="666" t="str">
        <f t="shared" si="56"/>
        <v>Aug</v>
      </c>
      <c r="BY209" s="643">
        <f>IF(CB209=$CB211,SUMIF($BI199:$BI210,$BX209,$BR199:$BR210),SUMIF($BI199:$BI210,$BX209,$BM199:$BM210))</f>
        <v>20.128</v>
      </c>
      <c r="BZ209" s="821">
        <f>IF(IF(CB209=CB211,SUMIF(BI199:BI210,$BX209,BU199:BU210),SUMIF(BI199:BI210,$BX209,BP199:BP210))=0,NA(),IF(CB209=CB211,SUMIF(BI199:BI210,$BX209,BU199:BU210),SUMIF(BI199:BI210,$BX209,BP199:BP210)))</f>
        <v>0.8</v>
      </c>
      <c r="CA209" s="644">
        <f>IF(IF(CB209=CB211,SUMIF(BI199:BI210,$BX209,BS199:BS210),SUMIF(BI199:BI210,$BX209,BN199:BN210))=0,NA(),IF(CB209=CB211,SUMIF(BI199:BI210,$BX209,BS199:BS210),SUMIF(BI199:BI210,$BX209,BN199:BN210)))</f>
        <v>0.89621422893481728</v>
      </c>
      <c r="CB209" s="645">
        <f t="shared" si="62"/>
        <v>23</v>
      </c>
      <c r="CC209" s="645">
        <f t="shared" si="57"/>
        <v>8</v>
      </c>
    </row>
    <row r="210" spans="61:81" ht="15" customHeight="1">
      <c r="BI210" s="638" t="s">
        <v>344</v>
      </c>
      <c r="BJ210" s="638">
        <v>12</v>
      </c>
      <c r="BK210" s="638" t="s">
        <v>338</v>
      </c>
      <c r="BL210" s="690">
        <v>21.53</v>
      </c>
      <c r="BM210" s="869">
        <f t="shared" si="58"/>
        <v>25.292999999999999</v>
      </c>
      <c r="BN210" s="653">
        <f t="shared" si="59"/>
        <v>0.85122365871980399</v>
      </c>
      <c r="BO210" s="855"/>
      <c r="BP210" s="819">
        <v>0.8</v>
      </c>
      <c r="BQ210" s="690"/>
      <c r="BR210" s="869" t="str">
        <f t="shared" si="60"/>
        <v/>
      </c>
      <c r="BS210" s="842" t="str">
        <f t="shared" si="61"/>
        <v/>
      </c>
      <c r="BT210" s="855"/>
      <c r="BU210" s="657">
        <v>0.8</v>
      </c>
      <c r="BX210" s="666" t="str">
        <f t="shared" si="56"/>
        <v>Sep</v>
      </c>
      <c r="BY210" s="643">
        <f>IF(CB210=$CB211,SUMIF($BI199:$BI210,$BX210,$BR199:$BR210),SUMIF($BI199:$BI210,$BX210,$BM199:$BM210))</f>
        <v>25.292999999999999</v>
      </c>
      <c r="BZ210" s="821">
        <f>IF(IF(CB210=CB211,SUMIF(BI199:BI210,$BX210,BU199:BU210),SUMIF(BI199:BI210,$BX210,BP199:BP210))=0,NA(),IF(CB210=CB211,SUMIF(BI199:BI210,$BX210,BU199:BU210),SUMIF(BI199:BI210,$BX210,BP199:BP210)))</f>
        <v>0.8</v>
      </c>
      <c r="CA210" s="644">
        <f>IF(IF(CB210=CB211,SUMIF(BI199:BI210,$BX210,BS199:BS210),SUMIF(BI199:BI210,$BX210,BN199:BN210))=0,NA(),IF(CB210=CB211,SUMIF(BI199:BI210,$BX210,BS199:BS210),SUMIF(BI199:BI210,$BX210,BN199:BN210)))</f>
        <v>0.85122365871980399</v>
      </c>
      <c r="CB210" s="645">
        <f t="shared" si="62"/>
        <v>23</v>
      </c>
      <c r="CC210" s="645">
        <f>IF(CC211-1&lt;1,CC211+11,CC211-1)</f>
        <v>9</v>
      </c>
    </row>
    <row r="211" spans="61:81" ht="15" customHeight="1">
      <c r="BW211" s="667" t="str">
        <f>Cover!$M$34</f>
        <v>OCT FY-24</v>
      </c>
      <c r="BX211" s="666" t="str">
        <f>TEXT(CONCATENATE(CC211,"/01/20",CB211),"MMM")</f>
        <v>Oct</v>
      </c>
      <c r="BY211" s="643">
        <f>SUMIF($BI199:$BI210,$BX211,$BR199:$BR210)</f>
        <v>19.66</v>
      </c>
      <c r="BZ211" s="821">
        <f>IF(IF(CB211=CB211,SUMIF(BI199:BI210,$BX211,BU199:BU210),SUMIF(BI199:BI210,$BX211,BP199:BP210))=0,NA(),IF(CB211=CB211,SUMIF(BI199:BI210,$BX211,BU199:BU210),SUMIF(BI199:BI210,$BX211,BP199:BP210)))</f>
        <v>0.8</v>
      </c>
      <c r="CA211" s="644">
        <f>IF(SUMIF($BI199:$BI210,$BX211,$BS199:$BS210)=0,NA(),SUMIF($BI199:$BI210,$BX211,$BS199:$BS210))</f>
        <v>0.8488301119023397</v>
      </c>
      <c r="CB211" s="645">
        <f>CB192</f>
        <v>24</v>
      </c>
      <c r="CC211" s="645">
        <f>MONTH(DATEVALUE(LEFT(BW211,3)&amp;" 1"))</f>
        <v>10</v>
      </c>
    </row>
    <row r="212" spans="61:81" ht="15" customHeight="1">
      <c r="BJ212" s="6"/>
      <c r="BK212" s="6"/>
      <c r="BL212" s="6"/>
      <c r="BM212" s="6"/>
      <c r="BN212" s="6"/>
      <c r="BO212" s="6"/>
      <c r="BP212" s="6"/>
      <c r="BQ212" s="6"/>
      <c r="BR212" s="6"/>
      <c r="BS212" s="6"/>
      <c r="BT212" s="6"/>
      <c r="BU212" s="6"/>
      <c r="BV212" s="6"/>
    </row>
    <row r="213" spans="61:81" ht="15" customHeight="1">
      <c r="BI213" s="272" t="s">
        <v>245</v>
      </c>
      <c r="BJ213" s="276"/>
      <c r="BK213" s="276"/>
      <c r="BL213" s="276"/>
      <c r="BM213" s="276"/>
      <c r="BN213" s="276"/>
      <c r="BO213" s="276"/>
      <c r="BP213" s="276"/>
      <c r="BQ213" s="276"/>
      <c r="BR213" s="276"/>
      <c r="BS213" s="276"/>
      <c r="BT213" s="276"/>
      <c r="BU213" s="276"/>
    </row>
    <row r="214" spans="61:81" ht="15" customHeight="1">
      <c r="BI214" s="54" t="s">
        <v>292</v>
      </c>
      <c r="BJ214" s="1116" t="s">
        <v>463</v>
      </c>
      <c r="BK214" s="1116"/>
      <c r="BL214" s="1116"/>
      <c r="BM214" s="1116"/>
      <c r="BN214" s="1116"/>
      <c r="BO214" s="1116"/>
      <c r="BP214" s="1116"/>
      <c r="BQ214" s="1116"/>
      <c r="BR214" s="1116"/>
      <c r="BS214" s="1116"/>
      <c r="BT214" s="1116"/>
      <c r="BU214" s="1116"/>
    </row>
    <row r="215" spans="61:81" ht="15" customHeight="1">
      <c r="BI215" s="54" t="s">
        <v>296</v>
      </c>
      <c r="BJ215" s="1233" t="s">
        <v>461</v>
      </c>
      <c r="BK215" s="1233"/>
      <c r="BL215" s="1233"/>
      <c r="BM215" s="1233"/>
      <c r="BN215" s="1233"/>
      <c r="BO215" s="1233"/>
      <c r="BP215" s="1233"/>
      <c r="BQ215" s="1233"/>
      <c r="BR215" s="1233"/>
      <c r="BS215" s="1233"/>
      <c r="BT215" s="1233"/>
      <c r="BU215" s="1233"/>
    </row>
    <row r="216" spans="61:81" ht="15" customHeight="1" thickBot="1">
      <c r="BI216" s="54" t="s">
        <v>300</v>
      </c>
      <c r="BJ216" s="1222" t="s">
        <v>462</v>
      </c>
      <c r="BK216" s="1222"/>
      <c r="BL216" s="1222"/>
      <c r="BM216" s="1222"/>
      <c r="BN216" s="1222"/>
      <c r="BO216" s="1222"/>
      <c r="BP216" s="1222"/>
      <c r="BQ216" s="1222"/>
      <c r="BR216" s="1222"/>
      <c r="BS216" s="1222"/>
      <c r="BT216" s="1222"/>
      <c r="BU216" s="1222"/>
    </row>
    <row r="217" spans="61:81" ht="15" customHeight="1" thickBot="1">
      <c r="BI217" s="1405" t="s">
        <v>452</v>
      </c>
      <c r="BJ217" s="1406"/>
      <c r="BK217" s="1407"/>
      <c r="BL217" s="1405" t="s">
        <v>302</v>
      </c>
      <c r="BM217" s="1406"/>
      <c r="BN217" s="1406"/>
      <c r="BO217" s="1406"/>
      <c r="BP217" s="1407"/>
      <c r="BQ217" s="1405" t="s">
        <v>719</v>
      </c>
      <c r="BR217" s="1406"/>
      <c r="BS217" s="1406"/>
      <c r="BT217" s="1406"/>
      <c r="BU217" s="1407"/>
      <c r="BW217" s="1405" t="s">
        <v>303</v>
      </c>
      <c r="BX217" s="1406"/>
      <c r="BY217" s="1406"/>
      <c r="BZ217" s="1406"/>
      <c r="CA217" s="1406"/>
      <c r="CB217" s="1406"/>
      <c r="CC217" s="1407"/>
    </row>
    <row r="218" spans="61:81" ht="15" customHeight="1">
      <c r="BI218" s="636" t="s">
        <v>23</v>
      </c>
      <c r="BJ218" s="636" t="s">
        <v>37</v>
      </c>
      <c r="BK218" s="636" t="s">
        <v>304</v>
      </c>
      <c r="BL218" s="637" t="s">
        <v>305</v>
      </c>
      <c r="BM218" s="637" t="s">
        <v>310</v>
      </c>
      <c r="BN218" s="637" t="s">
        <v>311</v>
      </c>
      <c r="BO218" s="278" t="s">
        <v>312</v>
      </c>
      <c r="BP218" s="637" t="s">
        <v>313</v>
      </c>
      <c r="BQ218" s="637" t="s">
        <v>305</v>
      </c>
      <c r="BR218" s="637" t="s">
        <v>715</v>
      </c>
      <c r="BS218" s="637" t="s">
        <v>716</v>
      </c>
      <c r="BT218" s="278" t="s">
        <v>717</v>
      </c>
      <c r="BU218" s="637" t="s">
        <v>718</v>
      </c>
      <c r="BW218" s="279" t="s">
        <v>314</v>
      </c>
      <c r="BX218" s="279" t="s">
        <v>23</v>
      </c>
      <c r="BY218" s="280" t="s">
        <v>315</v>
      </c>
      <c r="BZ218" s="279" t="s">
        <v>122</v>
      </c>
      <c r="CA218" s="878" t="s">
        <v>316</v>
      </c>
      <c r="CB218" s="279" t="s">
        <v>317</v>
      </c>
      <c r="CC218" s="279" t="s">
        <v>318</v>
      </c>
    </row>
    <row r="219" spans="61:81" ht="15" customHeight="1">
      <c r="BI219" s="638" t="s">
        <v>319</v>
      </c>
      <c r="BJ219" s="638">
        <v>1</v>
      </c>
      <c r="BK219" s="638" t="s">
        <v>320</v>
      </c>
      <c r="BL219" s="858">
        <v>9.5999999999999992E-3</v>
      </c>
      <c r="BM219" s="858">
        <v>0.01</v>
      </c>
      <c r="BN219" s="653">
        <f>IF(BM219="","",BL219/BM219)</f>
        <v>0.95999999999999985</v>
      </c>
      <c r="BO219" s="289">
        <f>IF(SUM(BM219:BM221=0),0,SUM(BL219:BL221)/SUM(BM219:BM221))</f>
        <v>0.87397260273972588</v>
      </c>
      <c r="BP219" s="821">
        <v>0.9</v>
      </c>
      <c r="BQ219" s="858">
        <v>0.6</v>
      </c>
      <c r="BR219" s="689">
        <v>0.6</v>
      </c>
      <c r="BS219" s="842">
        <f>IF(BR219="","",BQ219/BR219)</f>
        <v>1</v>
      </c>
      <c r="BT219" s="289">
        <f>IF(SUM(BR219:BR221=0),0,SUM(BQ219:BQ221)/SUM(BR219:BR221))</f>
        <v>1</v>
      </c>
      <c r="BU219" s="821">
        <v>0.9</v>
      </c>
      <c r="BX219" s="666" t="str">
        <f t="shared" ref="BX219:BX230" si="63">TEXT(CONCATENATE(CC219,"/01/20",CB219),"MMM")</f>
        <v>Oct</v>
      </c>
      <c r="BY219" s="643">
        <f>IF(CB219=$CB231,SUMIF($BI219:$BI230,$BX219,$BR219:$BR230),SUMIF($BI219:$BI230,$BX219,$BM219:$BM230))</f>
        <v>0.01</v>
      </c>
      <c r="BZ219" s="821">
        <f>IF(IF(CB219=CB231,SUMIF(BI219:BI230,$BX219,BU219:BU230),SUMIF(BI219:BI230,$BX219,BP219:BP230))=0,NA(),IF(CB219=CB231,SUMIF(BI219:BI230,$BX219,BU219:BU230),SUMIF(BI219:BI230,$BX219,BP219:BP230)))</f>
        <v>0.9</v>
      </c>
      <c r="CA219" s="644">
        <f>IF(IF(CB219=CB231,SUMIF(BI219:BI230,$BX219,BS219:BS230),SUMIF(BI219:BI230,$BX219,BN219:BN230))=0,NA(),IF(CB219=CB231,SUMIF(BI219:BI230,$BX219,BS219:BS230),SUMIF(BI219:BI230,$BX219,BN219:BN230)))</f>
        <v>0.95999999999999985</v>
      </c>
      <c r="CB219" s="645">
        <f>CB199</f>
        <v>23</v>
      </c>
      <c r="CC219" s="645">
        <f t="shared" ref="CC219:CC229" si="64">IF(CC220-1&lt;1,CC220+11,CC220-1)</f>
        <v>10</v>
      </c>
    </row>
    <row r="220" spans="61:81" ht="15" customHeight="1">
      <c r="BI220" s="638" t="s">
        <v>321</v>
      </c>
      <c r="BJ220" s="638">
        <v>2</v>
      </c>
      <c r="BK220" s="638" t="s">
        <v>320</v>
      </c>
      <c r="BL220" s="858">
        <v>4.3999999999999997E-2</v>
      </c>
      <c r="BM220" s="858">
        <v>0.05</v>
      </c>
      <c r="BN220" s="653">
        <f t="shared" ref="BN220:BN230" si="65">IF(BM220="","",BL220/BM220)</f>
        <v>0.87999999999999989</v>
      </c>
      <c r="BO220" s="854"/>
      <c r="BP220" s="821">
        <v>0.9</v>
      </c>
      <c r="BQ220" s="689"/>
      <c r="BR220" s="689"/>
      <c r="BS220" s="842" t="str">
        <f t="shared" ref="BS220:BS230" si="66">IF(BR220="","",BQ220/BR220)</f>
        <v/>
      </c>
      <c r="BT220" s="854"/>
      <c r="BU220" s="821">
        <v>0.9</v>
      </c>
      <c r="BX220" s="666" t="str">
        <f t="shared" si="63"/>
        <v>Nov</v>
      </c>
      <c r="BY220" s="643">
        <f>IF(CB220=$CB231,SUMIF($BI219:$BI230,$BX220,$BR219:$BR230),SUMIF($BI219:$BI230,$BX220,$BM219:$BM230))</f>
        <v>0.05</v>
      </c>
      <c r="BZ220" s="821">
        <f>IF(IF(CB220=CB231,SUMIF(BI219:BI230,$BX220,BU219:BU230),SUMIF(BI219:BI230,$BX220,BP219:BP230))=0,NA(),IF(CB220=CB231,SUMIF(BI219:BI230,$BX220,BU219:BU230),SUMIF(BI219:BI230,$BX220,BP219:BP230)))</f>
        <v>0.9</v>
      </c>
      <c r="CA220" s="644">
        <f>IF(IF(CB220=CB231,SUMIF(BI219:BI230,$BX220,BS219:BS230),SUMIF(BI219:BI230,$BX220,BN219:BN230))=0,NA(),IF(CB220=CB231,SUMIF(BI219:BI230,$BX220,BS219:BS230),SUMIF(BI219:BI230,$BX220,BN219:BN230)))</f>
        <v>0.87999999999999989</v>
      </c>
      <c r="CB220" s="645">
        <f t="shared" ref="CB220:CB230" si="67">CB200</f>
        <v>23</v>
      </c>
      <c r="CC220" s="645">
        <f t="shared" si="64"/>
        <v>11</v>
      </c>
    </row>
    <row r="221" spans="61:81" ht="15" customHeight="1">
      <c r="BI221" s="638" t="s">
        <v>322</v>
      </c>
      <c r="BJ221" s="638">
        <v>3</v>
      </c>
      <c r="BK221" s="638" t="s">
        <v>320</v>
      </c>
      <c r="BL221" s="858">
        <v>1.0200000000000001E-2</v>
      </c>
      <c r="BM221" s="858">
        <v>1.2999999999999999E-2</v>
      </c>
      <c r="BN221" s="653">
        <f t="shared" si="65"/>
        <v>0.78461538461538471</v>
      </c>
      <c r="BO221" s="854"/>
      <c r="BP221" s="821">
        <v>0.9</v>
      </c>
      <c r="BQ221" s="858"/>
      <c r="BR221" s="689"/>
      <c r="BS221" s="842" t="str">
        <f t="shared" si="66"/>
        <v/>
      </c>
      <c r="BT221" s="854"/>
      <c r="BU221" s="821">
        <v>0.9</v>
      </c>
      <c r="BX221" s="666" t="str">
        <f t="shared" si="63"/>
        <v>Dec</v>
      </c>
      <c r="BY221" s="643">
        <f>IF(CB221=$CB231,SUMIF($BI219:$BI230,$BX221,$BR219:$BR230),SUMIF($BI219:$BI230,$BX221,$BM219:$BM230))</f>
        <v>1.2999999999999999E-2</v>
      </c>
      <c r="BZ221" s="821">
        <f>IF(IF(CB221=CB231,SUMIF(BI219:BI230,$BX221,BU219:BU230),SUMIF(BI219:BI230,$BX221,BP219:BP230))=0,NA(),IF(CB221=CB231,SUMIF(BI219:BI230,$BX221,BU219:BU230),SUMIF(BI219:BI230,$BX221,BP219:BP230)))</f>
        <v>0.9</v>
      </c>
      <c r="CA221" s="644">
        <f>IF(IF(CB221=CB231,SUMIF(BI219:BI230,$BX221,BS219:BS230),SUMIF(BI219:BI230,$BX221,BN219:BN230))=0,NA(),IF(CB221=CB231,SUMIF(BI219:BI230,$BX221,BS219:BS230),SUMIF(BI219:BI230,$BX221,BN219:BN230)))</f>
        <v>0.78461538461538471</v>
      </c>
      <c r="CB221" s="645">
        <f t="shared" si="67"/>
        <v>23</v>
      </c>
      <c r="CC221" s="645">
        <f t="shared" si="64"/>
        <v>12</v>
      </c>
    </row>
    <row r="222" spans="61:81" ht="15" customHeight="1">
      <c r="BI222" s="638" t="s">
        <v>323</v>
      </c>
      <c r="BJ222" s="638">
        <v>4</v>
      </c>
      <c r="BK222" s="638" t="s">
        <v>324</v>
      </c>
      <c r="BL222" s="858">
        <v>3.2000000000000001E-2</v>
      </c>
      <c r="BM222" s="858">
        <v>0.04</v>
      </c>
      <c r="BN222" s="653">
        <f t="shared" si="65"/>
        <v>0.8</v>
      </c>
      <c r="BO222" s="289">
        <f>IF(SUM(BM222:BM224=0),0,SUM(BL222:BL224)/SUM(BM222:BM224))</f>
        <v>0.9023255813953488</v>
      </c>
      <c r="BP222" s="821">
        <v>0.9</v>
      </c>
      <c r="BQ222" s="689"/>
      <c r="BR222" s="689"/>
      <c r="BS222" s="842" t="str">
        <f t="shared" si="66"/>
        <v/>
      </c>
      <c r="BT222" s="289">
        <f>IF(SUM(BR222:BR224=0),0,SUM(BQ222:BQ224)/SUM(BR222:BR224))</f>
        <v>0</v>
      </c>
      <c r="BU222" s="821">
        <v>0.9</v>
      </c>
      <c r="BX222" s="666" t="str">
        <f t="shared" si="63"/>
        <v>Jan</v>
      </c>
      <c r="BY222" s="643">
        <f>IF(CB222=$CB231,SUMIF($BI219:$BI230,$BX222,$BR219:$BR230),SUMIF($BI219:$BI230,$BX222,$BM219:$BM230))</f>
        <v>0.04</v>
      </c>
      <c r="BZ222" s="821">
        <f>IF(IF(CB222=CB231,SUMIF(BI219:BI230,$BX222,BU219:BU230),SUMIF(BI219:BI230,$BX222,BP219:BP230))=0,NA(),IF(CB222=CB231,SUMIF(BI219:BI230,$BX222,BU219:BU230),SUMIF(BI219:BI230,$BX222,BP219:BP230)))</f>
        <v>0.9</v>
      </c>
      <c r="CA222" s="644">
        <f>IF(IF(CB222=CB231,SUMIF(BI219:BI230,$BX222,BS219:BS230),SUMIF(BI219:BI230,$BX222,BN219:BN230))=0,NA(),IF(CB222=CB231,SUMIF(BI219:BI230,$BX222,BS219:BS230),SUMIF(BI219:BI230,$BX222,BN219:BN230)))</f>
        <v>0.8</v>
      </c>
      <c r="CB222" s="645">
        <f t="shared" si="67"/>
        <v>23</v>
      </c>
      <c r="CC222" s="645">
        <f t="shared" si="64"/>
        <v>1</v>
      </c>
    </row>
    <row r="223" spans="61:81" ht="15" customHeight="1">
      <c r="BI223" s="638" t="s">
        <v>325</v>
      </c>
      <c r="BJ223" s="638">
        <v>5</v>
      </c>
      <c r="BK223" s="638" t="s">
        <v>324</v>
      </c>
      <c r="BL223" s="859">
        <v>3.4000000000000002E-2</v>
      </c>
      <c r="BM223" s="859">
        <v>3.5000000000000003E-2</v>
      </c>
      <c r="BN223" s="653">
        <f t="shared" si="65"/>
        <v>0.97142857142857142</v>
      </c>
      <c r="BO223" s="854"/>
      <c r="BP223" s="821">
        <v>0.9</v>
      </c>
      <c r="BQ223" s="690"/>
      <c r="BR223" s="690"/>
      <c r="BS223" s="842" t="str">
        <f t="shared" si="66"/>
        <v/>
      </c>
      <c r="BT223" s="854"/>
      <c r="BU223" s="821">
        <v>0.9</v>
      </c>
      <c r="BX223" s="666" t="str">
        <f t="shared" si="63"/>
        <v>Feb</v>
      </c>
      <c r="BY223" s="643">
        <f>IF(CB223=$CB231,SUMIF($BI219:$BI230,$BX223,$BR219:$BR230),SUMIF($BI219:$BI230,$BX223,$BM219:$BM230))</f>
        <v>3.5000000000000003E-2</v>
      </c>
      <c r="BZ223" s="821">
        <f>IF(IF(CB223=CB231,SUMIF(BI219:BI230,$BX223,BU219:BU230),SUMIF(BI219:BI230,$BX223,BP219:BP230))=0,NA(),IF(CB223=CB231,SUMIF(BI219:BI230,$BX223,BU219:BU230),SUMIF(BI219:BI230,$BX223,BP219:BP230)))</f>
        <v>0.9</v>
      </c>
      <c r="CA223" s="644">
        <f>IF(IF(CB223=CB231,SUMIF(BI219:BI230,$BX223,BS219:BS230),SUMIF(BI219:BI230,$BX223,BN219:BN230))=0,NA(),IF(CB223=CB231,SUMIF(BI219:BI230,$BX223,BS219:BS230),SUMIF(BI219:BI230,$BX223,BN219:BN230)))</f>
        <v>0.97142857142857142</v>
      </c>
      <c r="CB223" s="645">
        <f t="shared" si="67"/>
        <v>23</v>
      </c>
      <c r="CC223" s="645">
        <f t="shared" si="64"/>
        <v>2</v>
      </c>
    </row>
    <row r="224" spans="61:81" ht="15" customHeight="1">
      <c r="BI224" s="638" t="s">
        <v>326</v>
      </c>
      <c r="BJ224" s="638">
        <v>6</v>
      </c>
      <c r="BK224" s="638" t="s">
        <v>324</v>
      </c>
      <c r="BL224" s="859">
        <v>0.128</v>
      </c>
      <c r="BM224" s="859">
        <v>0.14000000000000001</v>
      </c>
      <c r="BN224" s="653">
        <f t="shared" si="65"/>
        <v>0.91428571428571426</v>
      </c>
      <c r="BO224" s="854"/>
      <c r="BP224" s="821">
        <v>0.9</v>
      </c>
      <c r="BQ224" s="690"/>
      <c r="BR224" s="690"/>
      <c r="BS224" s="842" t="str">
        <f t="shared" si="66"/>
        <v/>
      </c>
      <c r="BT224" s="854"/>
      <c r="BU224" s="821">
        <v>0.9</v>
      </c>
      <c r="BX224" s="666" t="str">
        <f t="shared" si="63"/>
        <v>Mar</v>
      </c>
      <c r="BY224" s="643">
        <f>IF(CB224=$CB231,SUMIF($BI219:$BI230,$BX224,$BR219:$BR230),SUMIF($BI219:$BI230,$BX224,$BM219:$BM230))</f>
        <v>0.14000000000000001</v>
      </c>
      <c r="BZ224" s="821">
        <f>IF(IF(CB224=CB231,SUMIF(BI219:BI230,$BX224,BU219:BU230),SUMIF(BI219:BI230,$BX224,BP219:BP230))=0,NA(),IF(CB224=CB231,SUMIF(BI219:BI230,$BX224,BU219:BU230),SUMIF(BI219:BI230,$BX224,BP219:BP230)))</f>
        <v>0.9</v>
      </c>
      <c r="CA224" s="644">
        <f>IF(IF(CB224=CB231,SUMIF(BI219:BI230,$BX224,BS219:BS230),SUMIF(BI219:BI230,$BX224,BN219:BN230))=0,NA(),IF(CB224=CB231,SUMIF(BI219:BI230,$BX224,BS219:BS230),SUMIF(BI219:BI230,$BX224,BN219:BN230)))</f>
        <v>0.91428571428571426</v>
      </c>
      <c r="CB224" s="645">
        <f t="shared" si="67"/>
        <v>23</v>
      </c>
      <c r="CC224" s="645">
        <f t="shared" si="64"/>
        <v>3</v>
      </c>
    </row>
    <row r="225" spans="61:81" ht="15" customHeight="1">
      <c r="BI225" s="638" t="s">
        <v>327</v>
      </c>
      <c r="BJ225" s="638">
        <v>7</v>
      </c>
      <c r="BK225" s="638" t="s">
        <v>328</v>
      </c>
      <c r="BL225" s="859">
        <v>0.54</v>
      </c>
      <c r="BM225" s="859">
        <v>0.6</v>
      </c>
      <c r="BN225" s="653">
        <f t="shared" si="65"/>
        <v>0.90000000000000013</v>
      </c>
      <c r="BO225" s="289">
        <f>IF(SUM(BM225:BM227=0),0,SUM(BL225:BL227)/SUM(BM225:BM227))</f>
        <v>0.91764705882352937</v>
      </c>
      <c r="BP225" s="821">
        <v>0.9</v>
      </c>
      <c r="BQ225" s="690"/>
      <c r="BR225" s="690"/>
      <c r="BS225" s="842" t="str">
        <f t="shared" si="66"/>
        <v/>
      </c>
      <c r="BT225" s="289">
        <f>IF(SUM(BR225:BR227=0),0,SUM(BQ225:BQ227)/SUM(BR225:BR227))</f>
        <v>0</v>
      </c>
      <c r="BU225" s="821">
        <v>0.9</v>
      </c>
      <c r="BX225" s="666" t="str">
        <f t="shared" si="63"/>
        <v>Apr</v>
      </c>
      <c r="BY225" s="643">
        <f>IF(CB225=$CB231,SUMIF($BI219:$BI230,$BX225,$BR219:$BR230),SUMIF($BI219:$BI230,$BX225,$BM219:$BM230))</f>
        <v>0.6</v>
      </c>
      <c r="BZ225" s="821">
        <f>IF(IF(CB225=CB231,SUMIF(BI219:BI230,$BX225,BU219:BU230),SUMIF(BI219:BI230,$BX225,BP219:BP230))=0,NA(),IF(CB225=CB231,SUMIF(BI219:BI230,$BX225,BU219:BU230),SUMIF(BI219:BI230,$BX225,BP219:BP230)))</f>
        <v>0.9</v>
      </c>
      <c r="CA225" s="644">
        <f>IF(IF(CB225=CB231,SUMIF(BI219:BI230,$BX225,BS219:BS230),SUMIF(BI219:BI230,$BX225,BN219:BN230))=0,NA(),IF(CB225=CB231,SUMIF(BI219:BI230,$BX225,BS219:BS230),SUMIF(BI219:BI230,$BX225,BN219:BN230)))</f>
        <v>0.90000000000000013</v>
      </c>
      <c r="CB225" s="645">
        <f t="shared" si="67"/>
        <v>23</v>
      </c>
      <c r="CC225" s="645">
        <f t="shared" si="64"/>
        <v>4</v>
      </c>
    </row>
    <row r="226" spans="61:81" ht="15" customHeight="1">
      <c r="BI226" s="638" t="s">
        <v>329</v>
      </c>
      <c r="BJ226" s="638">
        <v>8</v>
      </c>
      <c r="BK226" s="638" t="s">
        <v>328</v>
      </c>
      <c r="BL226" s="859">
        <v>0.42</v>
      </c>
      <c r="BM226" s="859">
        <v>0.5</v>
      </c>
      <c r="BN226" s="653">
        <f t="shared" si="65"/>
        <v>0.84</v>
      </c>
      <c r="BO226" s="854"/>
      <c r="BP226" s="821">
        <v>0.9</v>
      </c>
      <c r="BQ226" s="690"/>
      <c r="BR226" s="690"/>
      <c r="BS226" s="842" t="str">
        <f t="shared" si="66"/>
        <v/>
      </c>
      <c r="BT226" s="854"/>
      <c r="BU226" s="821">
        <v>0.9</v>
      </c>
      <c r="BX226" s="666" t="str">
        <f t="shared" si="63"/>
        <v>May</v>
      </c>
      <c r="BY226" s="643">
        <f>IF(CB226=$CB231,SUMIF($BI219:$BI230,$BX226,$BR219:$BR230),SUMIF($BI219:$BI230,$BX226,$BM219:$BM230))</f>
        <v>0.5</v>
      </c>
      <c r="BZ226" s="821">
        <f>IF(IF(CB226=CB231,SUMIF(BI219:BI230,$BX226,BU219:BU230),SUMIF(BI219:BI230,$BX226,BP219:BP230))=0,NA(),IF(CB226=CB231,SUMIF(BI219:BI230,$BX226,BU219:BU230),SUMIF(BI219:BI230,$BX226,BP219:BP230)))</f>
        <v>0.9</v>
      </c>
      <c r="CA226" s="644">
        <f>IF(IF(CB226=CB231,SUMIF(BI219:BI230,$BX226,BS219:BS230),SUMIF(BI219:BI230,$BX226,BN219:BN230))=0,NA(),IF(CB226=CB231,SUMIF(BI219:BI230,$BX226,BS219:BS230),SUMIF(BI219:BI230,$BX226,BN219:BN230)))</f>
        <v>0.84</v>
      </c>
      <c r="CB226" s="645">
        <f t="shared" si="67"/>
        <v>23</v>
      </c>
      <c r="CC226" s="645">
        <f t="shared" si="64"/>
        <v>5</v>
      </c>
    </row>
    <row r="227" spans="61:81" ht="15" customHeight="1">
      <c r="BI227" s="638" t="s">
        <v>331</v>
      </c>
      <c r="BJ227" s="638">
        <v>9</v>
      </c>
      <c r="BK227" s="638" t="s">
        <v>328</v>
      </c>
      <c r="BL227" s="859">
        <v>0.6</v>
      </c>
      <c r="BM227" s="859">
        <v>0.6</v>
      </c>
      <c r="BN227" s="653">
        <f t="shared" si="65"/>
        <v>1</v>
      </c>
      <c r="BO227" s="854"/>
      <c r="BP227" s="821">
        <v>0.9</v>
      </c>
      <c r="BQ227" s="690"/>
      <c r="BR227" s="690"/>
      <c r="BS227" s="842" t="str">
        <f t="shared" si="66"/>
        <v/>
      </c>
      <c r="BT227" s="854"/>
      <c r="BU227" s="821">
        <v>0.9</v>
      </c>
      <c r="BX227" s="666" t="str">
        <f t="shared" si="63"/>
        <v>Jun</v>
      </c>
      <c r="BY227" s="643">
        <f>IF(CB227=$CB231,SUMIF($BI219:$BI230,$BX227,$BR219:$BR230),SUMIF($BI219:$BI230,$BX227,$BM219:$BM230))</f>
        <v>0.6</v>
      </c>
      <c r="BZ227" s="821">
        <f>IF(IF(CB227=CB231,SUMIF(BI219:BI230,$BX227,BU219:BU230),SUMIF(BI219:BI230,$BX227,BP219:BP230))=0,NA(),IF(CB227=CB231,SUMIF(BI219:BI230,$BX227,BU219:BU230),SUMIF(BI219:BI230,$BX227,BP219:BP230)))</f>
        <v>0.9</v>
      </c>
      <c r="CA227" s="644">
        <f>IF(IF(CB227=CB231,SUMIF(BI219:BI230,$BX227,BS219:BS230),SUMIF(BI219:BI230,$BX227,BN219:BN230))=0,NA(),IF(CB227=CB231,SUMIF(BI219:BI230,$BX227,BS219:BS230),SUMIF(BI219:BI230,$BX227,BN219:BN230)))</f>
        <v>1</v>
      </c>
      <c r="CB227" s="645">
        <f t="shared" si="67"/>
        <v>23</v>
      </c>
      <c r="CC227" s="645">
        <f t="shared" si="64"/>
        <v>6</v>
      </c>
    </row>
    <row r="228" spans="61:81" ht="15" customHeight="1">
      <c r="BI228" s="638" t="s">
        <v>337</v>
      </c>
      <c r="BJ228" s="638">
        <v>10</v>
      </c>
      <c r="BK228" s="638" t="s">
        <v>338</v>
      </c>
      <c r="BL228" s="859">
        <v>0.66</v>
      </c>
      <c r="BM228" s="859">
        <v>0.7</v>
      </c>
      <c r="BN228" s="653">
        <f t="shared" si="65"/>
        <v>0.94285714285714295</v>
      </c>
      <c r="BO228" s="289">
        <f>IF(SUM(BM228:BM230=0),0,SUM(BL228:BL230)/SUM(BM228:BM230))</f>
        <v>0.89523809523809528</v>
      </c>
      <c r="BP228" s="821">
        <v>0.9</v>
      </c>
      <c r="BQ228" s="690"/>
      <c r="BR228" s="690"/>
      <c r="BS228" s="842" t="str">
        <f t="shared" si="66"/>
        <v/>
      </c>
      <c r="BT228" s="289">
        <f>IF(SUM(BR228:BR230=0),0,SUM(BQ228:BQ230)/SUM(BR228:BR230))</f>
        <v>0</v>
      </c>
      <c r="BU228" s="821">
        <v>0.9</v>
      </c>
      <c r="BX228" s="666" t="str">
        <f t="shared" si="63"/>
        <v>Jul</v>
      </c>
      <c r="BY228" s="643">
        <f>IF(CB228=$CB231,SUMIF($BI219:$BI230,$BX228,$BR219:$BR230),SUMIF($BI219:$BI230,$BX228,$BM219:$BM230))</f>
        <v>0.7</v>
      </c>
      <c r="BZ228" s="821">
        <f>IF(IF(CB228=CB231,SUMIF(BI219:BI230,$BX228,BU219:BU230),SUMIF(BI219:BI230,$BX228,BP219:BP230))=0,NA(),IF(CB228=CB231,SUMIF(BI219:BI230,$BX228,BU219:BU230),SUMIF(BI219:BI230,$BX228,BP219:BP230)))</f>
        <v>0.9</v>
      </c>
      <c r="CA228" s="644">
        <f>IF(IF(CB228=CB231,SUMIF(BI219:BI230,$BX228,BS219:BS230),SUMIF(BI219:BI230,$BX228,BN219:BN230))=0,NA(),IF(CB228=CB231,SUMIF(BI219:BI230,$BX228,BS219:BS230),SUMIF(BI219:BI230,$BX228,BN219:BN230)))</f>
        <v>0.94285714285714295</v>
      </c>
      <c r="CB228" s="645">
        <f t="shared" si="67"/>
        <v>23</v>
      </c>
      <c r="CC228" s="645">
        <f t="shared" si="64"/>
        <v>7</v>
      </c>
    </row>
    <row r="229" spans="61:81" ht="15" customHeight="1">
      <c r="BI229" s="638" t="s">
        <v>343</v>
      </c>
      <c r="BJ229" s="638">
        <v>11</v>
      </c>
      <c r="BK229" s="638" t="s">
        <v>338</v>
      </c>
      <c r="BL229" s="859">
        <v>0.48</v>
      </c>
      <c r="BM229" s="859">
        <v>0.5</v>
      </c>
      <c r="BN229" s="653">
        <f t="shared" si="65"/>
        <v>0.96</v>
      </c>
      <c r="BO229" s="854"/>
      <c r="BP229" s="821">
        <v>0.9</v>
      </c>
      <c r="BQ229" s="690"/>
      <c r="BR229" s="690"/>
      <c r="BS229" s="842" t="str">
        <f t="shared" si="66"/>
        <v/>
      </c>
      <c r="BT229" s="854"/>
      <c r="BU229" s="821">
        <v>0.9</v>
      </c>
      <c r="BX229" s="666" t="str">
        <f t="shared" si="63"/>
        <v>Aug</v>
      </c>
      <c r="BY229" s="643">
        <f>IF(CB229=$CB231,SUMIF($BI219:$BI230,$BX229,$BR219:$BR230),SUMIF($BI219:$BI230,$BX229,$BM219:$BM230))</f>
        <v>0.5</v>
      </c>
      <c r="BZ229" s="821">
        <f>IF(IF(CB229=CB231,SUMIF(BI219:BI230,$BX229,BU219:BU230),SUMIF(BI219:BI230,$BX229,BP219:BP230))=0,NA(),IF(CB229=CB231,SUMIF(BI219:BI230,$BX229,BU219:BU230),SUMIF(BI219:BI230,$BX229,BP219:BP230)))</f>
        <v>0.9</v>
      </c>
      <c r="CA229" s="644">
        <f>IF(IF(CB229=CB231,SUMIF(BI219:BI230,$BX229,BS219:BS230),SUMIF(BI219:BI230,$BX229,BN219:BN230))=0,NA(),IF(CB229=CB231,SUMIF(BI219:BI230,$BX229,BS219:BS230),SUMIF(BI219:BI230,$BX229,BN219:BN230)))</f>
        <v>0.96</v>
      </c>
      <c r="CB229" s="645">
        <f t="shared" si="67"/>
        <v>23</v>
      </c>
      <c r="CC229" s="645">
        <f t="shared" si="64"/>
        <v>8</v>
      </c>
    </row>
    <row r="230" spans="61:81" ht="15" customHeight="1">
      <c r="BI230" s="638" t="s">
        <v>344</v>
      </c>
      <c r="BJ230" s="638">
        <v>12</v>
      </c>
      <c r="BK230" s="638" t="s">
        <v>338</v>
      </c>
      <c r="BL230" s="859">
        <v>0.74</v>
      </c>
      <c r="BM230" s="859">
        <v>0.9</v>
      </c>
      <c r="BN230" s="653">
        <f t="shared" si="65"/>
        <v>0.82222222222222219</v>
      </c>
      <c r="BO230" s="854"/>
      <c r="BP230" s="821">
        <v>0.9</v>
      </c>
      <c r="BQ230" s="690"/>
      <c r="BR230" s="690"/>
      <c r="BS230" s="842" t="str">
        <f t="shared" si="66"/>
        <v/>
      </c>
      <c r="BT230" s="854"/>
      <c r="BU230" s="821">
        <v>0.9</v>
      </c>
      <c r="BX230" s="666" t="str">
        <f t="shared" si="63"/>
        <v>Sep</v>
      </c>
      <c r="BY230" s="643">
        <f>IF(CB230=$CB231,SUMIF($BI219:$BI230,$BX230,$BR219:$BR230),SUMIF($BI219:$BI230,$BX230,$BM219:$BM230))</f>
        <v>0.9</v>
      </c>
      <c r="BZ230" s="821">
        <f>IF(IF(CB230=CB231,SUMIF(BI219:BI230,$BX230,BU219:BU230),SUMIF(BI219:BI230,$BX230,BP219:BP230))=0,NA(),IF(CB230=CB231,SUMIF(BI219:BI230,$BX230,BU219:BU230),SUMIF(BI219:BI230,$BX230,BP219:BP230)))</f>
        <v>0.9</v>
      </c>
      <c r="CA230" s="644">
        <f>IF(IF(CB230=CB231,SUMIF(BI219:BI230,$BX230,BS219:BS230),SUMIF(BI219:BI230,$BX230,BN219:BN230))=0,NA(),IF(CB230=CB231,SUMIF(BI219:BI230,$BX230,BS219:BS230),SUMIF(BI219:BI230,$BX230,BN219:BN230)))</f>
        <v>0.82222222222222219</v>
      </c>
      <c r="CB230" s="645">
        <f t="shared" si="67"/>
        <v>23</v>
      </c>
      <c r="CC230" s="645">
        <f>IF(CC231-1&lt;1,CC231+11,CC231-1)</f>
        <v>9</v>
      </c>
    </row>
    <row r="231" spans="61:81" ht="15" customHeight="1">
      <c r="BJ231" s="277"/>
      <c r="BK231" s="277"/>
      <c r="BL231" s="277"/>
      <c r="BM231" s="277"/>
      <c r="BN231" s="277"/>
      <c r="BO231" s="277"/>
      <c r="BP231" s="277"/>
      <c r="BQ231" s="277"/>
      <c r="BR231" s="277"/>
      <c r="BS231" s="277"/>
      <c r="BT231" s="277"/>
      <c r="BW231" s="667" t="str">
        <f>Cover!$M$34</f>
        <v>OCT FY-24</v>
      </c>
      <c r="BX231" s="666" t="str">
        <f>TEXT(CONCATENATE(CC231,"/01/20",CB231),"MMM")</f>
        <v>Oct</v>
      </c>
      <c r="BY231" s="643">
        <f>SUMIF($BI219:$BI230,$BX231,$BR219:$BR230)</f>
        <v>0.6</v>
      </c>
      <c r="BZ231" s="821">
        <f>IF(IF(CB231=CB231,SUMIF(BI219:BI230,$BX231,BU219:BU230),SUMIF(BI219:BI230,$BX231,BP219:BP230))=0,NA(),IF(CB231=CB231,SUMIF(BI219:BI230,$BX231,BU219:BU230),SUMIF(BI219:BI230,$BX231,BP219:BP230)))</f>
        <v>0.9</v>
      </c>
      <c r="CA231" s="644">
        <f>IF(SUMIF($BI219:$BI230,$BX231,$BS219:$BS230)=0,NA(),SUMIF($BI219:$BI230,$BX231,$BS219:$BS230))</f>
        <v>1</v>
      </c>
      <c r="CB231" s="645">
        <f>CB211</f>
        <v>24</v>
      </c>
      <c r="CC231" s="645">
        <f>MONTH(DATEVALUE(LEFT(BW231,3)&amp;" 1"))</f>
        <v>10</v>
      </c>
    </row>
    <row r="232" spans="61:81" ht="15" customHeight="1">
      <c r="BI232" s="6"/>
      <c r="BJ232" s="6"/>
      <c r="BK232" s="6"/>
      <c r="BL232" s="6"/>
      <c r="BM232" s="6"/>
      <c r="BN232" s="6"/>
      <c r="BO232" s="6"/>
      <c r="BP232" s="6"/>
      <c r="BQ232" s="6"/>
      <c r="BR232" s="6"/>
      <c r="BS232" s="6"/>
      <c r="BT232" s="6"/>
      <c r="BU232" s="6"/>
      <c r="BV232" s="6"/>
    </row>
    <row r="233" spans="61:81" ht="15" customHeight="1">
      <c r="BI233" s="54" t="s">
        <v>292</v>
      </c>
      <c r="BJ233" s="287" t="s">
        <v>464</v>
      </c>
      <c r="BK233" s="287"/>
      <c r="BL233" s="287"/>
      <c r="BM233" s="287"/>
      <c r="BN233" s="287"/>
      <c r="BO233" s="287"/>
      <c r="BP233" s="287"/>
      <c r="BQ233" s="287"/>
      <c r="BR233" s="287"/>
      <c r="BS233" s="287"/>
      <c r="BT233" s="287"/>
      <c r="BU233" s="287"/>
    </row>
    <row r="234" spans="61:81" ht="15" customHeight="1">
      <c r="BI234" s="54" t="s">
        <v>296</v>
      </c>
      <c r="BJ234" s="283" t="s">
        <v>468</v>
      </c>
      <c r="BK234" s="283"/>
      <c r="BL234" s="283"/>
      <c r="BM234" s="283"/>
      <c r="BN234" s="283"/>
      <c r="BO234" s="283"/>
      <c r="BP234" s="283"/>
      <c r="BQ234" s="283"/>
      <c r="BR234" s="283"/>
      <c r="BS234" s="283"/>
      <c r="BT234" s="283"/>
      <c r="BU234" s="283"/>
    </row>
    <row r="235" spans="61:81" ht="15" customHeight="1" thickBot="1">
      <c r="BI235" s="54" t="s">
        <v>300</v>
      </c>
      <c r="BJ235" s="288" t="s">
        <v>470</v>
      </c>
      <c r="BK235" s="288"/>
      <c r="BL235" s="288"/>
      <c r="BM235" s="288"/>
      <c r="BN235" s="288"/>
      <c r="BO235" s="288"/>
      <c r="BP235" s="288"/>
      <c r="BQ235" s="288"/>
      <c r="BR235" s="288"/>
      <c r="BS235" s="288"/>
      <c r="BT235" s="288"/>
      <c r="BU235" s="288"/>
    </row>
    <row r="236" spans="61:81" ht="15" customHeight="1" thickBot="1">
      <c r="BI236" s="1405" t="s">
        <v>452</v>
      </c>
      <c r="BJ236" s="1406"/>
      <c r="BK236" s="1407"/>
      <c r="BL236" s="1405" t="s">
        <v>302</v>
      </c>
      <c r="BM236" s="1406"/>
      <c r="BN236" s="1406"/>
      <c r="BO236" s="1406"/>
      <c r="BP236" s="1407"/>
      <c r="BQ236" s="1405" t="s">
        <v>719</v>
      </c>
      <c r="BR236" s="1406"/>
      <c r="BS236" s="1406"/>
      <c r="BT236" s="1406"/>
      <c r="BU236" s="1407"/>
      <c r="BW236" s="1405" t="s">
        <v>303</v>
      </c>
      <c r="BX236" s="1406"/>
      <c r="BY236" s="1406"/>
      <c r="BZ236" s="1406"/>
      <c r="CA236" s="1406"/>
      <c r="CB236" s="1406"/>
      <c r="CC236" s="1407"/>
    </row>
    <row r="237" spans="61:81" ht="15" customHeight="1">
      <c r="BI237" s="636" t="s">
        <v>23</v>
      </c>
      <c r="BJ237" s="636" t="s">
        <v>37</v>
      </c>
      <c r="BK237" s="636" t="s">
        <v>304</v>
      </c>
      <c r="BL237" s="637" t="s">
        <v>305</v>
      </c>
      <c r="BM237" s="637" t="s">
        <v>310</v>
      </c>
      <c r="BN237" s="637" t="s">
        <v>311</v>
      </c>
      <c r="BO237" s="278" t="s">
        <v>312</v>
      </c>
      <c r="BP237" s="637" t="s">
        <v>313</v>
      </c>
      <c r="BQ237" s="637" t="s">
        <v>305</v>
      </c>
      <c r="BR237" s="637" t="s">
        <v>715</v>
      </c>
      <c r="BS237" s="637" t="s">
        <v>716</v>
      </c>
      <c r="BT237" s="278" t="s">
        <v>717</v>
      </c>
      <c r="BU237" s="637" t="s">
        <v>718</v>
      </c>
      <c r="BW237" s="279" t="s">
        <v>314</v>
      </c>
      <c r="BX237" s="279" t="s">
        <v>23</v>
      </c>
      <c r="BY237" s="280" t="s">
        <v>315</v>
      </c>
      <c r="BZ237" s="279" t="s">
        <v>122</v>
      </c>
      <c r="CA237" s="279" t="s">
        <v>316</v>
      </c>
      <c r="CB237" s="279" t="s">
        <v>317</v>
      </c>
      <c r="CC237" s="279" t="s">
        <v>318</v>
      </c>
    </row>
    <row r="238" spans="61:81" ht="15" customHeight="1">
      <c r="BI238" s="638" t="s">
        <v>319</v>
      </c>
      <c r="BJ238" s="638">
        <v>1</v>
      </c>
      <c r="BK238" s="638" t="s">
        <v>320</v>
      </c>
      <c r="BL238" s="825">
        <f>IF(BM219="","",BM219)</f>
        <v>0.01</v>
      </c>
      <c r="BM238" s="858">
        <v>3.1E-2</v>
      </c>
      <c r="BN238" s="653">
        <f>IF(BM238="","",BL238/BM238)</f>
        <v>0.32258064516129031</v>
      </c>
      <c r="BO238" s="289">
        <f>IF(SUM(BM238:BM240=0),0,SUM(BL238:BL240)/SUM(BM238:BM240))</f>
        <v>0.24745762711864411</v>
      </c>
      <c r="BP238" s="657">
        <v>0.3</v>
      </c>
      <c r="BQ238" s="846">
        <f>IF(BR219="","",BR219)</f>
        <v>0.6</v>
      </c>
      <c r="BR238" s="689">
        <v>1.7</v>
      </c>
      <c r="BS238" s="653">
        <f>IF(BR238="","",BQ238/BR238)</f>
        <v>0.35294117647058826</v>
      </c>
      <c r="BT238" s="289">
        <f>IF(SUM(BR238:BR240=0),0,SUM(BQ238:BQ240)/SUM(BR238:BR240))</f>
        <v>0.35294117647058826</v>
      </c>
      <c r="BU238" s="657">
        <v>0.3</v>
      </c>
      <c r="BV238" s="6"/>
      <c r="BX238" s="666" t="str">
        <f t="shared" ref="BX238:BX249" si="68">TEXT(CONCATENATE(CC238,"/01/20",CB238),"MMM")</f>
        <v>Oct</v>
      </c>
      <c r="BY238" s="643">
        <f>IF(CB238=$CB250,SUMIF($BI238:$BI249,$BX238,$BR238:$BR249),SUMIF($BI238:$BI249,$BX238,$BM238:$BM249))</f>
        <v>3.1E-2</v>
      </c>
      <c r="BZ238" s="821">
        <f>IF(IF(CB238=CB250,SUMIF(BI238:BI249,$BX238,BU238:BU249),SUMIF(BI238:BI249,$BX238,BP238:BP249))=0,NA(),IF(CB238=CB250,SUMIF(BI238:BI249,$BX238,BU238:BU249),SUMIF(BI238:BI249,$BX238,BP238:BP249)))</f>
        <v>0.3</v>
      </c>
      <c r="CA238" s="640">
        <f>IF(IF(CB238=CB250,SUMIF(BI238:BI249,$BX238,BS238:BS249),SUMIF(BI238:BI249,$BX238,BN238:BN249))=0,NA(),IF(CB238=CB250,SUMIF(BI238:BI249,$BX238,BS238:BS249),SUMIF(BI238:BI249,$BX238,BN238:BN249)))</f>
        <v>0.32258064516129031</v>
      </c>
      <c r="CB238" s="645">
        <f>CB219</f>
        <v>23</v>
      </c>
      <c r="CC238" s="645">
        <f t="shared" ref="CC238:CC248" si="69">IF(CC239-1&lt;1,CC239+11,CC239-1)</f>
        <v>10</v>
      </c>
    </row>
    <row r="239" spans="61:81" ht="15" customHeight="1">
      <c r="BI239" s="638" t="s">
        <v>321</v>
      </c>
      <c r="BJ239" s="638">
        <v>2</v>
      </c>
      <c r="BK239" s="638" t="s">
        <v>320</v>
      </c>
      <c r="BL239" s="825">
        <f t="shared" ref="BL239:BL249" si="70">IF(BM220="","",BM220)</f>
        <v>0.05</v>
      </c>
      <c r="BM239" s="860">
        <v>0.21</v>
      </c>
      <c r="BN239" s="653">
        <f t="shared" ref="BN239:BN249" si="71">IF(BM239="","",BL239/BM239)</f>
        <v>0.23809523809523811</v>
      </c>
      <c r="BO239" s="855"/>
      <c r="BP239" s="657">
        <v>0.3</v>
      </c>
      <c r="BQ239" s="846" t="str">
        <f t="shared" ref="BQ239:BQ249" si="72">IF(BR220="","",BR220)</f>
        <v/>
      </c>
      <c r="BR239" s="822"/>
      <c r="BS239" s="653" t="str">
        <f t="shared" ref="BS239:BS249" si="73">IF(BR239="","",BQ239/BR239)</f>
        <v/>
      </c>
      <c r="BT239" s="854"/>
      <c r="BU239" s="657">
        <v>0.3</v>
      </c>
      <c r="BX239" s="666" t="str">
        <f t="shared" si="68"/>
        <v>Nov</v>
      </c>
      <c r="BY239" s="643">
        <f>IF(CB239=$CB250,SUMIF($BI238:$BI249,$BX239,$BR238:$BR249),SUMIF($BI238:$BI249,$BX239,$BM238:$BM249))</f>
        <v>0.21</v>
      </c>
      <c r="BZ239" s="821">
        <f>IF(IF(CB239=CB250,SUMIF(BI238:BI249,$BX239,BU238:BU249),SUMIF(BI238:BI249,$BX239,BP238:BP249))=0,NA(),IF(CB239=CB250,SUMIF(BI238:BI249,$BX239,BU238:BU249),SUMIF(BI238:BI249,$BX239,BP238:BP249)))</f>
        <v>0.3</v>
      </c>
      <c r="CA239" s="640">
        <f>IF(IF(CB239=CB250,SUMIF(BI238:BI249,$BX239,BS238:BS249),SUMIF(BI238:BI249,$BX239,BN238:BN249))=0,NA(),IF(CB239=CB250,SUMIF(BI238:BI249,$BX239,BS238:BS249),SUMIF(BI238:BI249,$BX239,BN238:BN249)))</f>
        <v>0.23809523809523811</v>
      </c>
      <c r="CB239" s="645">
        <f t="shared" ref="CB239:CB250" si="74">CB220</f>
        <v>23</v>
      </c>
      <c r="CC239" s="645">
        <f t="shared" si="69"/>
        <v>11</v>
      </c>
    </row>
    <row r="240" spans="61:81" ht="15" customHeight="1">
      <c r="BI240" s="638" t="s">
        <v>322</v>
      </c>
      <c r="BJ240" s="638">
        <v>3</v>
      </c>
      <c r="BK240" s="638" t="s">
        <v>320</v>
      </c>
      <c r="BL240" s="825">
        <f t="shared" si="70"/>
        <v>1.2999999999999999E-2</v>
      </c>
      <c r="BM240" s="860">
        <v>5.3999999999999999E-2</v>
      </c>
      <c r="BN240" s="653">
        <f t="shared" si="71"/>
        <v>0.24074074074074073</v>
      </c>
      <c r="BO240" s="855"/>
      <c r="BP240" s="657">
        <v>0.3</v>
      </c>
      <c r="BQ240" s="846" t="str">
        <f t="shared" si="72"/>
        <v/>
      </c>
      <c r="BR240" s="822"/>
      <c r="BS240" s="653" t="str">
        <f t="shared" si="73"/>
        <v/>
      </c>
      <c r="BT240" s="854"/>
      <c r="BU240" s="657">
        <v>0.3</v>
      </c>
      <c r="BX240" s="666" t="str">
        <f t="shared" si="68"/>
        <v>Dec</v>
      </c>
      <c r="BY240" s="643">
        <f>IF(CB240=$CB250,SUMIF($BI238:$BI249,$BX240,$BR238:$BR249),SUMIF($BI238:$BI249,$BX240,$BM238:$BM249))</f>
        <v>5.3999999999999999E-2</v>
      </c>
      <c r="BZ240" s="821">
        <f>IF(IF(CB240=CB250,SUMIF(BI238:BI249,$BX240,BU238:BU249),SUMIF(BI238:BI249,$BX240,BP238:BP249))=0,NA(),IF(CB240=CB250,SUMIF(BI238:BI249,$BX240,BU238:BU249),SUMIF(BI238:BI249,$BX240,BP238:BP249)))</f>
        <v>0.3</v>
      </c>
      <c r="CA240" s="640">
        <f>IF(IF(CB240=CB250,SUMIF(BI238:BI249,$BX240,BS238:BS249),SUMIF(BI238:BI249,$BX240,BN238:BN249))=0,NA(),IF(CB240=CB250,SUMIF(BI238:BI249,$BX240,BS238:BS249),SUMIF(BI238:BI249,$BX240,BN238:BN249)))</f>
        <v>0.24074074074074073</v>
      </c>
      <c r="CB240" s="645">
        <f t="shared" si="74"/>
        <v>23</v>
      </c>
      <c r="CC240" s="645">
        <f t="shared" si="69"/>
        <v>12</v>
      </c>
    </row>
    <row r="241" spans="61:81" ht="15" customHeight="1">
      <c r="BI241" s="638" t="s">
        <v>323</v>
      </c>
      <c r="BJ241" s="638">
        <v>4</v>
      </c>
      <c r="BK241" s="638" t="s">
        <v>324</v>
      </c>
      <c r="BL241" s="825">
        <f t="shared" si="70"/>
        <v>0.04</v>
      </c>
      <c r="BM241" s="860">
        <v>0.17</v>
      </c>
      <c r="BN241" s="653">
        <f t="shared" si="71"/>
        <v>0.23529411764705882</v>
      </c>
      <c r="BO241" s="289">
        <f>IF(SUM(BM241:BM243=0),0,SUM(BL241:BL243)/SUM(BM241:BM243))</f>
        <v>0.25779376498800965</v>
      </c>
      <c r="BP241" s="657">
        <v>0.3</v>
      </c>
      <c r="BQ241" s="846" t="str">
        <f>IF(BR222="","",BR222)</f>
        <v/>
      </c>
      <c r="BR241" s="822"/>
      <c r="BS241" s="653" t="str">
        <f t="shared" si="73"/>
        <v/>
      </c>
      <c r="BT241" s="289">
        <f>IF(SUM(BR241:BR243=0),0,SUM(BQ241:BQ243)/SUM(BR241:BR243))</f>
        <v>0</v>
      </c>
      <c r="BU241" s="657">
        <v>0.3</v>
      </c>
      <c r="BX241" s="666" t="str">
        <f t="shared" si="68"/>
        <v>Jan</v>
      </c>
      <c r="BY241" s="643">
        <f>IF(CB241=$CB250,SUMIF($BI238:$BI249,$BX241,$BR238:$BR249),SUMIF($BI238:$BI249,$BX241,$BM238:$BM249))</f>
        <v>0.17</v>
      </c>
      <c r="BZ241" s="821">
        <f>IF(IF(CB241=CB250,SUMIF(BI238:BI249,$BX241,BU238:BU249),SUMIF(BI238:BI249,$BX241,BP238:BP249))=0,NA(),IF(CB241=CB250,SUMIF(BI238:BI249,$BX241,BU238:BU249),SUMIF(BI238:BI249,$BX241,BP238:BP249)))</f>
        <v>0.3</v>
      </c>
      <c r="CA241" s="640">
        <f>IF(IF(CB241=CB250,SUMIF(BI238:BI249,$BX241,BS238:BS249),SUMIF(BI238:BI249,$BX241,BN238:BN249))=0,NA(),IF(CB241=CB250,SUMIF(BI238:BI249,$BX241,BS238:BS249),SUMIF(BI238:BI249,$BX241,BN238:BN249)))</f>
        <v>0.23529411764705882</v>
      </c>
      <c r="CB241" s="645">
        <f t="shared" si="74"/>
        <v>23</v>
      </c>
      <c r="CC241" s="645">
        <f t="shared" si="69"/>
        <v>1</v>
      </c>
    </row>
    <row r="242" spans="61:81" ht="15" customHeight="1">
      <c r="BI242" s="638" t="s">
        <v>325</v>
      </c>
      <c r="BJ242" s="638">
        <v>5</v>
      </c>
      <c r="BK242" s="638" t="s">
        <v>324</v>
      </c>
      <c r="BL242" s="825">
        <f t="shared" si="70"/>
        <v>3.5000000000000003E-2</v>
      </c>
      <c r="BM242" s="859">
        <v>9.4E-2</v>
      </c>
      <c r="BN242" s="653">
        <f t="shared" si="71"/>
        <v>0.37234042553191493</v>
      </c>
      <c r="BO242" s="855"/>
      <c r="BP242" s="657">
        <v>0.3</v>
      </c>
      <c r="BQ242" s="846" t="str">
        <f t="shared" si="72"/>
        <v/>
      </c>
      <c r="BR242" s="690"/>
      <c r="BS242" s="653" t="str">
        <f t="shared" si="73"/>
        <v/>
      </c>
      <c r="BT242" s="854"/>
      <c r="BU242" s="657">
        <v>0.3</v>
      </c>
      <c r="BX242" s="666" t="str">
        <f t="shared" si="68"/>
        <v>Feb</v>
      </c>
      <c r="BY242" s="643">
        <f>IF(CB242=$CB250,SUMIF($BI238:$BI249,$BX242,$BR238:$BR249),SUMIF($BI238:$BI249,$BX242,$BM238:$BM249))</f>
        <v>9.4E-2</v>
      </c>
      <c r="BZ242" s="821">
        <f>IF(IF(CB242=CB250,SUMIF(BI238:BI249,$BX242,BU238:BU249),SUMIF(BI238:BI249,$BX242,BP238:BP249))=0,NA(),IF(CB242=CB250,SUMIF(BI238:BI249,$BX242,BU238:BU249),SUMIF(BI238:BI249,$BX242,BP238:BP249)))</f>
        <v>0.3</v>
      </c>
      <c r="CA242" s="640">
        <f>IF(IF(CB242=CB250,SUMIF(BI238:BI249,$BX242,BS238:BS249),SUMIF(BI238:BI249,$BX242,BN238:BN249))=0,NA(),IF(CB242=CB250,SUMIF(BI238:BI249,$BX242,BS238:BS249),SUMIF(BI238:BI249,$BX242,BN238:BN249)))</f>
        <v>0.37234042553191493</v>
      </c>
      <c r="CB242" s="645">
        <f t="shared" si="74"/>
        <v>23</v>
      </c>
      <c r="CC242" s="645">
        <f t="shared" si="69"/>
        <v>2</v>
      </c>
    </row>
    <row r="243" spans="61:81" ht="15" customHeight="1">
      <c r="BI243" s="638" t="s">
        <v>326</v>
      </c>
      <c r="BJ243" s="638">
        <v>6</v>
      </c>
      <c r="BK243" s="638" t="s">
        <v>324</v>
      </c>
      <c r="BL243" s="825">
        <f t="shared" si="70"/>
        <v>0.14000000000000001</v>
      </c>
      <c r="BM243" s="859">
        <v>0.56999999999999995</v>
      </c>
      <c r="BN243" s="653">
        <f t="shared" si="71"/>
        <v>0.24561403508771934</v>
      </c>
      <c r="BO243" s="855"/>
      <c r="BP243" s="657">
        <v>0.3</v>
      </c>
      <c r="BQ243" s="846" t="str">
        <f t="shared" si="72"/>
        <v/>
      </c>
      <c r="BR243" s="690"/>
      <c r="BS243" s="653" t="str">
        <f t="shared" si="73"/>
        <v/>
      </c>
      <c r="BT243" s="854"/>
      <c r="BU243" s="657">
        <v>0.3</v>
      </c>
      <c r="BX243" s="666" t="str">
        <f t="shared" si="68"/>
        <v>Mar</v>
      </c>
      <c r="BY243" s="643">
        <f>IF(CB243=$CB250,SUMIF($BI238:$BI249,$BX243,$BR238:$BR249),SUMIF($BI238:$BI249,$BX243,$BM238:$BM249))</f>
        <v>0.56999999999999995</v>
      </c>
      <c r="BZ243" s="821">
        <f>IF(IF(CB243=CB250,SUMIF(BI238:BI249,$BX243,BU238:BU249),SUMIF(BI238:BI249,$BX243,BP238:BP249))=0,NA(),IF(CB243=CB250,SUMIF(BI238:BI249,$BX243,BU238:BU249),SUMIF(BI238:BI249,$BX243,BP238:BP249)))</f>
        <v>0.3</v>
      </c>
      <c r="CA243" s="640">
        <f>IF(IF(CB243=CB250,SUMIF(BI238:BI249,$BX243,BS238:BS249),SUMIF(BI238:BI249,$BX243,BN238:BN249))=0,NA(),IF(CB243=CB250,SUMIF(BI238:BI249,$BX243,BS238:BS249),SUMIF(BI238:BI249,$BX243,BN238:BN249)))</f>
        <v>0.24561403508771934</v>
      </c>
      <c r="CB243" s="645">
        <f t="shared" si="74"/>
        <v>23</v>
      </c>
      <c r="CC243" s="645">
        <f t="shared" si="69"/>
        <v>3</v>
      </c>
    </row>
    <row r="244" spans="61:81" ht="15" customHeight="1">
      <c r="BI244" s="638" t="s">
        <v>327</v>
      </c>
      <c r="BJ244" s="638">
        <v>7</v>
      </c>
      <c r="BK244" s="638" t="s">
        <v>328</v>
      </c>
      <c r="BL244" s="825">
        <f t="shared" si="70"/>
        <v>0.6</v>
      </c>
      <c r="BM244" s="859">
        <v>1.7</v>
      </c>
      <c r="BN244" s="653">
        <f t="shared" si="71"/>
        <v>0.35294117647058826</v>
      </c>
      <c r="BO244" s="289">
        <f>IF(SUM(BM244:BM246=0),0,SUM(BL244:BL246)/SUM(BM244:BM246))</f>
        <v>0.37777777777777782</v>
      </c>
      <c r="BP244" s="657">
        <v>0.3</v>
      </c>
      <c r="BQ244" s="846" t="str">
        <f t="shared" si="72"/>
        <v/>
      </c>
      <c r="BR244" s="690"/>
      <c r="BS244" s="653" t="str">
        <f t="shared" si="73"/>
        <v/>
      </c>
      <c r="BT244" s="289">
        <f>IF(SUM(BR244:BR246=0),0,SUM(BQ244:BQ246)/SUM(BR244:BR246))</f>
        <v>0</v>
      </c>
      <c r="BU244" s="657">
        <v>0.3</v>
      </c>
      <c r="BX244" s="666" t="str">
        <f t="shared" si="68"/>
        <v>Apr</v>
      </c>
      <c r="BY244" s="643">
        <f>IF(CB244=$CB250,SUMIF($BI238:$BI249,$BX244,$BR238:$BR249),SUMIF($BI238:$BI249,$BX244,$BM238:$BM249))</f>
        <v>1.7</v>
      </c>
      <c r="BZ244" s="821">
        <f>IF(IF(CB244=CB250,SUMIF(BI238:BI249,$BX244,BU238:BU249),SUMIF(BI238:BI249,$BX244,BP238:BP249))=0,NA(),IF(CB244=CB250,SUMIF(BI238:BI249,$BX244,BU238:BU249),SUMIF(BI238:BI249,$BX244,BP238:BP249)))</f>
        <v>0.3</v>
      </c>
      <c r="CA244" s="640">
        <f>IF(IF(CB244=CB250,SUMIF(BI238:BI249,$BX244,BS238:BS249),SUMIF(BI238:BI249,$BX244,BN238:BN249))=0,NA(),IF(CB244=CB250,SUMIF(BI238:BI249,$BX244,BS238:BS249),SUMIF(BI238:BI249,$BX244,BN238:BN249)))</f>
        <v>0.35294117647058826</v>
      </c>
      <c r="CB244" s="645">
        <f t="shared" si="74"/>
        <v>23</v>
      </c>
      <c r="CC244" s="645">
        <f t="shared" si="69"/>
        <v>4</v>
      </c>
    </row>
    <row r="245" spans="61:81" ht="15" customHeight="1">
      <c r="BI245" s="638" t="s">
        <v>329</v>
      </c>
      <c r="BJ245" s="638">
        <v>8</v>
      </c>
      <c r="BK245" s="638" t="s">
        <v>328</v>
      </c>
      <c r="BL245" s="825">
        <f>IF(BM226="","",BM226)</f>
        <v>0.5</v>
      </c>
      <c r="BM245" s="859">
        <v>1.6</v>
      </c>
      <c r="BN245" s="653">
        <f t="shared" si="71"/>
        <v>0.3125</v>
      </c>
      <c r="BO245" s="855"/>
      <c r="BP245" s="657">
        <v>0.3</v>
      </c>
      <c r="BQ245" s="846" t="str">
        <f t="shared" si="72"/>
        <v/>
      </c>
      <c r="BR245" s="690"/>
      <c r="BS245" s="653" t="str">
        <f t="shared" si="73"/>
        <v/>
      </c>
      <c r="BT245" s="854"/>
      <c r="BU245" s="657">
        <v>0.3</v>
      </c>
      <c r="BX245" s="666" t="str">
        <f t="shared" si="68"/>
        <v>May</v>
      </c>
      <c r="BY245" s="643">
        <f>IF(CB245=$CB250,SUMIF($BI238:$BI249,$BX245,$BR238:$BR249),SUMIF($BI238:$BI249,$BX245,$BM238:$BM249))</f>
        <v>1.6</v>
      </c>
      <c r="BZ245" s="821">
        <f>IF(IF(CB245=CB250,SUMIF(BI238:BI249,$BX245,BU238:BU249),SUMIF(BI238:BI249,$BX245,BP238:BP249))=0,NA(),IF(CB245=CB250,SUMIF(BI238:BI249,$BX245,BU238:BU249),SUMIF(BI238:BI249,$BX245,BP238:BP249)))</f>
        <v>0.3</v>
      </c>
      <c r="CA245" s="640">
        <f>IF(IF(CB245=CB250,SUMIF(BI238:BI249,$BX245,BS238:BS249),SUMIF(BI238:BI249,$BX245,BN238:BN249))=0,NA(),IF(CB245=CB250,SUMIF(BI238:BI249,$BX245,BS238:BS249),SUMIF(BI238:BI249,$BX245,BN238:BN249)))</f>
        <v>0.3125</v>
      </c>
      <c r="CB245" s="645">
        <f t="shared" si="74"/>
        <v>23</v>
      </c>
      <c r="CC245" s="645">
        <f t="shared" si="69"/>
        <v>5</v>
      </c>
    </row>
    <row r="246" spans="61:81" ht="15" customHeight="1">
      <c r="BI246" s="638" t="s">
        <v>331</v>
      </c>
      <c r="BJ246" s="638">
        <v>9</v>
      </c>
      <c r="BK246" s="638" t="s">
        <v>328</v>
      </c>
      <c r="BL246" s="825">
        <f t="shared" si="70"/>
        <v>0.6</v>
      </c>
      <c r="BM246" s="859">
        <v>1.2</v>
      </c>
      <c r="BN246" s="653">
        <f t="shared" si="71"/>
        <v>0.5</v>
      </c>
      <c r="BO246" s="855"/>
      <c r="BP246" s="657">
        <v>0.3</v>
      </c>
      <c r="BQ246" s="846" t="str">
        <f t="shared" si="72"/>
        <v/>
      </c>
      <c r="BR246" s="690"/>
      <c r="BS246" s="653" t="str">
        <f t="shared" si="73"/>
        <v/>
      </c>
      <c r="BT246" s="854"/>
      <c r="BU246" s="657">
        <v>0.3</v>
      </c>
      <c r="BX246" s="666" t="str">
        <f t="shared" si="68"/>
        <v>Jun</v>
      </c>
      <c r="BY246" s="643">
        <f>IF(CB246=$CB250,SUMIF($BI238:$BI249,$BX246,$BR238:$BR249),SUMIF($BI238:$BI249,$BX246,$BM238:$BM249))</f>
        <v>1.2</v>
      </c>
      <c r="BZ246" s="821">
        <f>IF(IF(CB246=CB250,SUMIF(BI238:BI249,$BX246,BU238:BU249),SUMIF(BI238:BI249,$BX246,BP238:BP249))=0,NA(),IF(CB246=CB250,SUMIF(BI238:BI249,$BX246,BU238:BU249),SUMIF(BI238:BI249,$BX246,BP238:BP249)))</f>
        <v>0.3</v>
      </c>
      <c r="CA246" s="640">
        <f>IF(IF(CB246=CB250,SUMIF(BI238:BI249,$BX246,BS238:BS249),SUMIF(BI238:BI249,$BX246,BN238:BN249))=0,NA(),IF(CB246=CB250,SUMIF(BI238:BI249,$BX246,BS238:BS249),SUMIF(BI238:BI249,$BX246,BN238:BN249)))</f>
        <v>0.5</v>
      </c>
      <c r="CB246" s="645">
        <f t="shared" si="74"/>
        <v>23</v>
      </c>
      <c r="CC246" s="645">
        <f t="shared" si="69"/>
        <v>6</v>
      </c>
    </row>
    <row r="247" spans="61:81" ht="15" customHeight="1">
      <c r="BI247" s="638" t="s">
        <v>337</v>
      </c>
      <c r="BJ247" s="638">
        <v>10</v>
      </c>
      <c r="BK247" s="638" t="s">
        <v>338</v>
      </c>
      <c r="BL247" s="825">
        <f t="shared" si="70"/>
        <v>0.7</v>
      </c>
      <c r="BM247" s="859">
        <v>2</v>
      </c>
      <c r="BN247" s="653">
        <f t="shared" si="71"/>
        <v>0.35</v>
      </c>
      <c r="BO247" s="289">
        <f>IF(SUM(BM247:BM249=0),0,SUM(BL247:BL249)/SUM(BM247:BM249))</f>
        <v>0.27272727272727276</v>
      </c>
      <c r="BP247" s="657">
        <v>0.3</v>
      </c>
      <c r="BQ247" s="846" t="str">
        <f t="shared" si="72"/>
        <v/>
      </c>
      <c r="BR247" s="690"/>
      <c r="BS247" s="653" t="str">
        <f t="shared" si="73"/>
        <v/>
      </c>
      <c r="BT247" s="289">
        <f>IF(SUM(BR247:BR249=0),0,SUM(BQ247:BQ249)/SUM(BR247:BR249))</f>
        <v>0</v>
      </c>
      <c r="BU247" s="657">
        <v>0.3</v>
      </c>
      <c r="BX247" s="666" t="str">
        <f t="shared" si="68"/>
        <v>Jul</v>
      </c>
      <c r="BY247" s="643">
        <f>IF(CB247=$CB250,SUMIF($BI238:$BI249,$BX247,$BR238:$BR249),SUMIF($BI238:$BI249,$BX247,$BM238:$BM249))</f>
        <v>2</v>
      </c>
      <c r="BZ247" s="821">
        <f>IF(IF(CB247=CB250,SUMIF(BI238:BI249,$BX247,BU238:BU249),SUMIF(BI238:BI249,$BX247,BP238:BP249))=0,NA(),IF(CB247=CB250,SUMIF(BI238:BI249,$BX247,BU238:BU249),SUMIF(BI238:BI249,$BX247,BP238:BP249)))</f>
        <v>0.3</v>
      </c>
      <c r="CA247" s="640">
        <f>IF(IF(CB247=CB250,SUMIF(BI238:BI249,$BX247,BS238:BS249),SUMIF(BI238:BI249,$BX247,BN238:BN249))=0,NA(),IF(CB247=CB250,SUMIF(BI238:BI249,$BX247,BS238:BS249),SUMIF(BI238:BI249,$BX247,BN238:BN249)))</f>
        <v>0.35</v>
      </c>
      <c r="CB247" s="645">
        <f t="shared" si="74"/>
        <v>23</v>
      </c>
      <c r="CC247" s="645">
        <f t="shared" si="69"/>
        <v>7</v>
      </c>
    </row>
    <row r="248" spans="61:81" ht="15" customHeight="1">
      <c r="BI248" s="638" t="s">
        <v>343</v>
      </c>
      <c r="BJ248" s="638">
        <v>11</v>
      </c>
      <c r="BK248" s="638" t="s">
        <v>338</v>
      </c>
      <c r="BL248" s="825">
        <f t="shared" si="70"/>
        <v>0.5</v>
      </c>
      <c r="BM248" s="859">
        <v>1.6</v>
      </c>
      <c r="BN248" s="653">
        <f t="shared" si="71"/>
        <v>0.3125</v>
      </c>
      <c r="BO248" s="855"/>
      <c r="BP248" s="657">
        <v>0.3</v>
      </c>
      <c r="BQ248" s="846" t="str">
        <f t="shared" si="72"/>
        <v/>
      </c>
      <c r="BR248" s="690"/>
      <c r="BS248" s="653" t="str">
        <f t="shared" si="73"/>
        <v/>
      </c>
      <c r="BT248" s="854"/>
      <c r="BU248" s="657">
        <v>0.3</v>
      </c>
      <c r="BX248" s="666" t="str">
        <f t="shared" si="68"/>
        <v>Aug</v>
      </c>
      <c r="BY248" s="643">
        <f>IF(CB248=$CB250,SUMIF($BI238:$BI249,$BX248,$BR238:$BR249),SUMIF($BI238:$BI249,$BX248,$BM238:$BM249))</f>
        <v>1.6</v>
      </c>
      <c r="BZ248" s="821">
        <f>IF(IF(CB248=CB250,SUMIF(BI238:BI249,$BX248,BU238:BU249),SUMIF(BI238:BI249,$BX248,BP238:BP249))=0,NA(),IF(CB248=CB250,SUMIF(BI238:BI249,$BX248,BU238:BU249),SUMIF(BI238:BI249,$BX248,BP238:BP249)))</f>
        <v>0.3</v>
      </c>
      <c r="CA248" s="640">
        <f>IF(IF(CB248=CB250,SUMIF(BI238:BI249,$BX248,BS238:BS249),SUMIF(BI238:BI249,$BX248,BN238:BN249))=0,NA(),IF(CB248=CB250,SUMIF(BI238:BI249,$BX248,BS238:BS249),SUMIF(BI238:BI249,$BX248,BN238:BN249)))</f>
        <v>0.3125</v>
      </c>
      <c r="CB248" s="645">
        <f t="shared" si="74"/>
        <v>23</v>
      </c>
      <c r="CC248" s="645">
        <f t="shared" si="69"/>
        <v>8</v>
      </c>
    </row>
    <row r="249" spans="61:81" ht="15" customHeight="1">
      <c r="BI249" s="638" t="s">
        <v>344</v>
      </c>
      <c r="BJ249" s="638">
        <v>12</v>
      </c>
      <c r="BK249" s="638" t="s">
        <v>338</v>
      </c>
      <c r="BL249" s="825">
        <f t="shared" si="70"/>
        <v>0.9</v>
      </c>
      <c r="BM249" s="859">
        <v>4.0999999999999996</v>
      </c>
      <c r="BN249" s="653">
        <f t="shared" si="71"/>
        <v>0.21951219512195125</v>
      </c>
      <c r="BO249" s="855"/>
      <c r="BP249" s="657">
        <v>0.3</v>
      </c>
      <c r="BQ249" s="846" t="str">
        <f t="shared" si="72"/>
        <v/>
      </c>
      <c r="BR249" s="690"/>
      <c r="BS249" s="653" t="str">
        <f t="shared" si="73"/>
        <v/>
      </c>
      <c r="BT249" s="854"/>
      <c r="BU249" s="657">
        <v>0.3</v>
      </c>
      <c r="BX249" s="666" t="str">
        <f t="shared" si="68"/>
        <v>Sep</v>
      </c>
      <c r="BY249" s="643">
        <f>IF(CB249=$CB250,SUMIF($BI238:$BI249,$BX249,$BR238:$BR249),SUMIF($BI238:$BI249,$BX249,$BM238:$BM249))</f>
        <v>4.0999999999999996</v>
      </c>
      <c r="BZ249" s="821">
        <f>IF(IF(CB249=CB250,SUMIF(BI238:BI249,$BX249,BU238:BU249),SUMIF(BI238:BI249,$BX249,BP238:BP249))=0,NA(),IF(CB249=CB250,SUMIF(BI238:BI249,$BX249,BU238:BU249),SUMIF(BI238:BI249,$BX249,BP238:BP249)))</f>
        <v>0.3</v>
      </c>
      <c r="CA249" s="640">
        <f>IF(IF(CB249=CB250,SUMIF(BI238:BI249,$BX249,BS238:BS249),SUMIF(BI238:BI249,$BX249,BN238:BN249))=0,NA(),IF(CB249=CB250,SUMIF(BI238:BI249,$BX249,BS238:BS249),SUMIF(BI238:BI249,$BX249,BN238:BN249)))</f>
        <v>0.21951219512195125</v>
      </c>
      <c r="CB249" s="645">
        <f t="shared" si="74"/>
        <v>23</v>
      </c>
      <c r="CC249" s="645">
        <f>IF(CC250-1&lt;1,CC250+11,CC250-1)</f>
        <v>9</v>
      </c>
    </row>
    <row r="250" spans="61:81" ht="15" customHeight="1">
      <c r="BJ250" s="277"/>
      <c r="BK250" s="277"/>
      <c r="BL250" s="277"/>
      <c r="BM250" s="277"/>
      <c r="BN250" s="698" t="str">
        <f t="shared" ref="BN250" si="75">IFERROR(BL250/BM250,"")</f>
        <v/>
      </c>
      <c r="BO250" s="277"/>
      <c r="BP250" s="277"/>
      <c r="BQ250" s="277"/>
      <c r="BR250" s="277"/>
      <c r="BS250" s="277"/>
      <c r="BT250" s="277"/>
      <c r="BW250" s="667" t="str">
        <f>Cover!$M$34</f>
        <v>OCT FY-24</v>
      </c>
      <c r="BX250" s="666" t="str">
        <f>TEXT(CONCATENATE(CC250,"/01/20",CB250),"MMM")</f>
        <v>Oct</v>
      </c>
      <c r="BY250" s="643">
        <f>SUMIF($BI238:$BI249,$BX250,$BR238:$BR249)</f>
        <v>1.7</v>
      </c>
      <c r="BZ250" s="821">
        <f>IF(IF(CB250=CB250,SUMIF(BI238:BI249,$BX250,BU238:BU249),SUMIF(BI238:BI249,$BX250,BP238:BP249))=0,NA(),IF(CB250=CB250,SUMIF(BI238:BI249,$BX250,BU238:BU249),SUMIF(BI238:BI249,$BX250,BP238:BP249)))</f>
        <v>0.3</v>
      </c>
      <c r="CA250" s="640">
        <f>IF(SUMIF($BI238:$BI249,$BX250,$BS238:$BS249)=0,NA(),SUMIF($BI238:$BI249,$BX250,$BS238:$BS249))</f>
        <v>0.35294117647058826</v>
      </c>
      <c r="CB250" s="645">
        <f t="shared" si="74"/>
        <v>24</v>
      </c>
      <c r="CC250" s="645">
        <f>MONTH(DATEVALUE(LEFT(BW250,3)&amp;" 1"))</f>
        <v>10</v>
      </c>
    </row>
    <row r="252" spans="61:81" ht="15" customHeight="1">
      <c r="BI252" s="54" t="s">
        <v>292</v>
      </c>
      <c r="BJ252" s="1116" t="s">
        <v>465</v>
      </c>
      <c r="BK252" s="1116"/>
      <c r="BL252" s="1116"/>
      <c r="BM252" s="1116"/>
      <c r="BN252" s="1116"/>
      <c r="BO252" s="1116"/>
      <c r="BP252" s="1116"/>
      <c r="BQ252" s="1116"/>
      <c r="BR252" s="1116"/>
      <c r="BS252" s="1116"/>
      <c r="BT252" s="1116"/>
      <c r="BU252" s="1116"/>
      <c r="BY252" s="270"/>
      <c r="BZ252" s="270"/>
      <c r="CA252" s="270"/>
      <c r="CB252" s="270"/>
      <c r="CC252" s="270"/>
    </row>
    <row r="253" spans="61:81" ht="15" customHeight="1">
      <c r="BI253" s="54" t="s">
        <v>296</v>
      </c>
      <c r="BJ253" s="283" t="s">
        <v>472</v>
      </c>
      <c r="BK253" s="283"/>
      <c r="BL253" s="283"/>
      <c r="BM253" s="283"/>
      <c r="BN253" s="283"/>
      <c r="BO253" s="283"/>
      <c r="BP253" s="283"/>
      <c r="BQ253" s="283"/>
      <c r="BR253" s="283"/>
      <c r="BS253" s="283"/>
      <c r="BT253" s="283"/>
      <c r="BU253" s="283"/>
      <c r="BW253" s="270"/>
      <c r="BX253" s="270"/>
    </row>
    <row r="254" spans="61:81" ht="15" customHeight="1">
      <c r="BI254" s="54" t="s">
        <v>300</v>
      </c>
      <c r="BJ254" s="283" t="s">
        <v>473</v>
      </c>
      <c r="BK254" s="283"/>
      <c r="BL254" s="283"/>
      <c r="BM254" s="283"/>
      <c r="BN254" s="283"/>
      <c r="BO254" s="283"/>
      <c r="BP254" s="283"/>
      <c r="BQ254" s="283"/>
      <c r="BR254" s="283"/>
      <c r="BS254" s="283"/>
      <c r="BT254" s="283"/>
      <c r="BU254" s="283"/>
      <c r="BY254" s="270"/>
      <c r="BZ254" s="270"/>
      <c r="CA254" s="270"/>
      <c r="CB254" s="270"/>
      <c r="CC254" s="270"/>
    </row>
    <row r="255" spans="61:81" ht="15" customHeight="1" thickBot="1">
      <c r="BI255" s="54"/>
      <c r="BJ255" s="292"/>
      <c r="BK255" s="292"/>
      <c r="BL255" s="292"/>
      <c r="BM255" s="292"/>
      <c r="BN255" s="292"/>
      <c r="BO255" s="292"/>
      <c r="BP255" s="292"/>
      <c r="BQ255" s="292"/>
      <c r="BR255" s="292"/>
      <c r="BS255" s="292"/>
      <c r="BT255" s="292"/>
      <c r="BU255" s="292"/>
      <c r="BY255" s="270"/>
      <c r="BZ255" s="270"/>
      <c r="CA255" s="270"/>
      <c r="CB255" s="270"/>
      <c r="CC255" s="270"/>
    </row>
    <row r="256" spans="61:81" ht="15" customHeight="1" thickBot="1">
      <c r="BI256" s="1405" t="s">
        <v>452</v>
      </c>
      <c r="BJ256" s="1406"/>
      <c r="BK256" s="1407"/>
      <c r="BL256" s="1405" t="s">
        <v>302</v>
      </c>
      <c r="BM256" s="1406"/>
      <c r="BN256" s="1406"/>
      <c r="BO256" s="1406"/>
      <c r="BP256" s="1407"/>
      <c r="BQ256" s="1405" t="s">
        <v>719</v>
      </c>
      <c r="BR256" s="1406"/>
      <c r="BS256" s="1406"/>
      <c r="BT256" s="1406"/>
      <c r="BU256" s="1407"/>
      <c r="BW256" s="1405" t="s">
        <v>303</v>
      </c>
      <c r="BX256" s="1406"/>
      <c r="BY256" s="1406"/>
      <c r="BZ256" s="1406"/>
      <c r="CA256" s="1406"/>
      <c r="CB256" s="1406"/>
      <c r="CC256" s="1407"/>
    </row>
    <row r="257" spans="61:81" ht="15" customHeight="1">
      <c r="BI257" s="636" t="s">
        <v>23</v>
      </c>
      <c r="BJ257" s="636" t="s">
        <v>37</v>
      </c>
      <c r="BK257" s="636" t="s">
        <v>304</v>
      </c>
      <c r="BL257" s="637" t="s">
        <v>305</v>
      </c>
      <c r="BM257" s="637" t="s">
        <v>310</v>
      </c>
      <c r="BN257" s="637" t="s">
        <v>311</v>
      </c>
      <c r="BO257" s="278" t="s">
        <v>312</v>
      </c>
      <c r="BP257" s="637" t="s">
        <v>313</v>
      </c>
      <c r="BQ257" s="637" t="s">
        <v>305</v>
      </c>
      <c r="BR257" s="637" t="s">
        <v>715</v>
      </c>
      <c r="BS257" s="637" t="s">
        <v>716</v>
      </c>
      <c r="BT257" s="278" t="s">
        <v>717</v>
      </c>
      <c r="BU257" s="637" t="s">
        <v>718</v>
      </c>
      <c r="BW257" s="279" t="s">
        <v>314</v>
      </c>
      <c r="BX257" s="279" t="s">
        <v>23</v>
      </c>
      <c r="BY257" s="280" t="s">
        <v>315</v>
      </c>
      <c r="BZ257" s="279" t="s">
        <v>122</v>
      </c>
      <c r="CA257" s="279" t="s">
        <v>316</v>
      </c>
      <c r="CB257" s="279" t="s">
        <v>317</v>
      </c>
      <c r="CC257" s="279" t="s">
        <v>318</v>
      </c>
    </row>
    <row r="258" spans="61:81" ht="15" customHeight="1">
      <c r="BI258" s="638" t="s">
        <v>319</v>
      </c>
      <c r="BJ258" s="638">
        <v>1</v>
      </c>
      <c r="BK258" s="638" t="s">
        <v>320</v>
      </c>
      <c r="BL258" s="857">
        <f>IF(BM258="","",BN258*BM258)</f>
        <v>8.6111111111111119E-6</v>
      </c>
      <c r="BM258" s="817">
        <v>3.1E-2</v>
      </c>
      <c r="BN258" s="847">
        <v>2.7777777777777778E-4</v>
      </c>
      <c r="BO258" s="849">
        <f>IF(SUM(BM258:BM260=0),0,SUM(BL258:BL260)/SUM(BM258:BM260))</f>
        <v>3.4777866809116803E-4</v>
      </c>
      <c r="BP258" s="851">
        <v>6.9444444444444447E-4</v>
      </c>
      <c r="BQ258" s="857">
        <f>IF(BR258="","",BS258*BR258)</f>
        <v>7.9629629629629636E-5</v>
      </c>
      <c r="BR258" s="685">
        <v>0.16</v>
      </c>
      <c r="BS258" s="847">
        <v>4.9768518518518521E-4</v>
      </c>
      <c r="BT258" s="849">
        <f>IF(SUM(BR258:BR260=0),0,SUM(BQ258:BQ260)/SUM(BR258:BR260))</f>
        <v>4.9768518518518521E-4</v>
      </c>
      <c r="BU258" s="851">
        <v>6.9444444444444447E-4</v>
      </c>
      <c r="BX258" s="666" t="str">
        <f t="shared" ref="BX258:BX269" si="76">TEXT(CONCATENATE(CC258,"/01/20",CB258),"MMM")</f>
        <v>Oct</v>
      </c>
      <c r="BY258" s="643">
        <f>IF(CB258=$CB270,SUMIF($BI258:$BI269,$BX258,$BR258:$BR269),SUMIF($BI258:$BI269,$BX258,$BM258:$BM269))</f>
        <v>3.1E-2</v>
      </c>
      <c r="BZ258" s="877">
        <f>IF(IF(CB258=CB270,SUMIF(BI258:BI269,$BX258,BU258:BU269),SUMIF(BI258:BI269,$BX258,BP258:BP269))=0,NA(),IF(CB258=CB270,SUMIF(BI258:BI269,$BX258,BU258:BU269),SUMIF(BI258:BI269,$BX258,BP258:BP269)))</f>
        <v>6.9444444444444447E-4</v>
      </c>
      <c r="CA258" s="876">
        <f>IF(IF(CB258=CB270,SUMIF(BI258:BI269,$BX258,BS258:BS269),SUMIF(BI258:BI269,$BX258,BN258:BN269))=0,NA(),IF(CB258=CB270,SUMIF(BI258:BI269,$BX258,BS258:BS269),SUMIF(BI258:BI269,$BX258,BN258:BN269)))</f>
        <v>2.7777777777777778E-4</v>
      </c>
      <c r="CB258" s="645">
        <f>CB238</f>
        <v>23</v>
      </c>
      <c r="CC258" s="645">
        <f t="shared" ref="CC258:CC268" si="77">IF(CC259-1&lt;1,CC259+11,CC259-1)</f>
        <v>10</v>
      </c>
    </row>
    <row r="259" spans="61:81" ht="15" customHeight="1">
      <c r="BI259" s="638" t="s">
        <v>321</v>
      </c>
      <c r="BJ259" s="638">
        <v>2</v>
      </c>
      <c r="BK259" s="638" t="s">
        <v>320</v>
      </c>
      <c r="BL259" s="857">
        <f t="shared" ref="BL259:BL269" si="78">IF(BM259="","",BN259*BM259)</f>
        <v>1.1909722222222222E-5</v>
      </c>
      <c r="BM259" s="817">
        <v>2.1000000000000001E-2</v>
      </c>
      <c r="BN259" s="847">
        <v>5.6712962962962956E-4</v>
      </c>
      <c r="BO259" s="852"/>
      <c r="BP259" s="851">
        <v>6.9444444444444447E-4</v>
      </c>
      <c r="BQ259" s="857" t="str">
        <f t="shared" ref="BQ259:BQ269" si="79">IF(BR259="","",BS259*BR259)</f>
        <v/>
      </c>
      <c r="BR259" s="685"/>
      <c r="BS259" s="847"/>
      <c r="BT259" s="852"/>
      <c r="BU259" s="851">
        <v>6.9444444444444447E-4</v>
      </c>
      <c r="BX259" s="666" t="str">
        <f t="shared" si="76"/>
        <v>Nov</v>
      </c>
      <c r="BY259" s="643">
        <f>IF(CB259=$CB270,SUMIF($BI258:$BI269,$BX259,$BR258:$BR269),SUMIF($BI258:$BI269,$BX259,$BM258:$BM269))</f>
        <v>2.1000000000000001E-2</v>
      </c>
      <c r="BZ259" s="877">
        <f>IF(IF(CB259=CB270,SUMIF(BI258:BI269,$BX259,BU258:BU269),SUMIF(BI258:BI269,$BX259,BP258:BP269))=0,NA(),IF(CB259=CB270,SUMIF(BI258:BI269,$BX259,BU258:BU269),SUMIF(BI258:BI269,$BX259,BP258:BP269)))</f>
        <v>6.9444444444444447E-4</v>
      </c>
      <c r="CA259" s="876">
        <f>IF(IF(CB259=CB270,SUMIF(BI258:BI269,$BX259,BS258:BS269),SUMIF(BI258:BI269,$BX259,BN258:BN269))=0,NA(),IF(CB259=CB270,SUMIF(BI258:BI269,$BX259,BS258:BS269),SUMIF(BI258:BI269,$BX259,BN258:BN269)))</f>
        <v>5.6712962962962956E-4</v>
      </c>
      <c r="CB259" s="645">
        <f t="shared" ref="CB259:CB269" si="80">CB239</f>
        <v>23</v>
      </c>
      <c r="CC259" s="645">
        <f t="shared" si="77"/>
        <v>11</v>
      </c>
    </row>
    <row r="260" spans="61:81" ht="15" customHeight="1">
      <c r="BI260" s="638" t="s">
        <v>322</v>
      </c>
      <c r="BJ260" s="638">
        <v>3</v>
      </c>
      <c r="BK260" s="638" t="s">
        <v>320</v>
      </c>
      <c r="BL260" s="857">
        <f t="shared" si="78"/>
        <v>1.5648148148148148E-5</v>
      </c>
      <c r="BM260" s="817">
        <v>5.1999999999999998E-2</v>
      </c>
      <c r="BN260" s="847">
        <v>3.0092592592592595E-4</v>
      </c>
      <c r="BO260" s="852"/>
      <c r="BP260" s="851">
        <v>6.9444444444444447E-4</v>
      </c>
      <c r="BQ260" s="857" t="str">
        <f t="shared" si="79"/>
        <v/>
      </c>
      <c r="BR260" s="685"/>
      <c r="BS260" s="847"/>
      <c r="BT260" s="852"/>
      <c r="BU260" s="851">
        <v>6.9444444444444447E-4</v>
      </c>
      <c r="BX260" s="666" t="str">
        <f t="shared" si="76"/>
        <v>Dec</v>
      </c>
      <c r="BY260" s="643">
        <f>IF(CB260=$CB270,SUMIF($BI258:$BI269,$BX260,$BR258:$BR269),SUMIF($BI258:$BI269,$BX260,$BM258:$BM269))</f>
        <v>5.1999999999999998E-2</v>
      </c>
      <c r="BZ260" s="877">
        <f>IF(IF(CB260=CB270,SUMIF(BI258:BI269,$BX260,BU258:BU269),SUMIF(BI258:BI269,$BX260,BP258:BP269))=0,NA(),IF(CB260=CB270,SUMIF(BI258:BI269,$BX260,BU258:BU269),SUMIF(BI258:BI269,$BX260,BP258:BP269)))</f>
        <v>6.9444444444444447E-4</v>
      </c>
      <c r="CA260" s="876">
        <f>IF(IF(CB260=CB270,SUMIF(BI258:BI269,$BX260,BS258:BS269),SUMIF(BI258:BI269,$BX260,BN258:BN269))=0,NA(),IF(CB260=CB270,SUMIF(BI258:BI269,$BX260,BS258:BS269),SUMIF(BI258:BI269,$BX260,BN258:BN269)))</f>
        <v>3.0092592592592595E-4</v>
      </c>
      <c r="CB260" s="645">
        <f t="shared" si="80"/>
        <v>23</v>
      </c>
      <c r="CC260" s="645">
        <f t="shared" si="77"/>
        <v>12</v>
      </c>
    </row>
    <row r="261" spans="61:81" ht="15" customHeight="1">
      <c r="BI261" s="638" t="s">
        <v>323</v>
      </c>
      <c r="BJ261" s="638">
        <v>4</v>
      </c>
      <c r="BK261" s="638" t="s">
        <v>324</v>
      </c>
      <c r="BL261" s="857">
        <f t="shared" si="78"/>
        <v>5.3125000000000004E-6</v>
      </c>
      <c r="BM261" s="817">
        <v>1.7000000000000001E-2</v>
      </c>
      <c r="BN261" s="847">
        <v>3.1250000000000001E-4</v>
      </c>
      <c r="BO261" s="849">
        <f>IF(SUM(BM261:BM263=0),0,SUM(BL261:BL263)/SUM(BM261:BM263))</f>
        <v>2.8609064865970941E-4</v>
      </c>
      <c r="BP261" s="851">
        <v>6.9444444444444447E-4</v>
      </c>
      <c r="BQ261" s="857" t="str">
        <f t="shared" si="79"/>
        <v/>
      </c>
      <c r="BR261" s="685"/>
      <c r="BS261" s="847"/>
      <c r="BT261" s="849">
        <f>IF(SUM(BR261:BR263=0),0,SUM(BQ261:BQ263)/SUM(BR261:BR263))</f>
        <v>0</v>
      </c>
      <c r="BU261" s="851">
        <v>6.9444444444444447E-4</v>
      </c>
      <c r="BX261" s="666" t="str">
        <f t="shared" si="76"/>
        <v>Jan</v>
      </c>
      <c r="BY261" s="643">
        <f>IF(CB261=$CB270,SUMIF($BI258:$BI269,$BX261,$BR258:$BR269),SUMIF($BI258:$BI269,$BX261,$BM258:$BM269))</f>
        <v>1.7000000000000001E-2</v>
      </c>
      <c r="BZ261" s="877">
        <f>IF(IF(CB261=CB270,SUMIF(BI258:BI269,$BX261,BU258:BU269),SUMIF(BI258:BI269,$BX261,BP258:BP269))=0,NA(),IF(CB261=CB270,SUMIF(BI258:BI269,$BX261,BU258:BU269),SUMIF(BI258:BI269,$BX261,BP258:BP269)))</f>
        <v>6.9444444444444447E-4</v>
      </c>
      <c r="CA261" s="876">
        <f>IF(IF(CB261=CB270,SUMIF(BI258:BI269,$BX261,BS258:BS269),SUMIF(BI258:BI269,$BX261,BN258:BN269))=0,NA(),IF(CB261=CB270,SUMIF(BI258:BI269,$BX261,BS258:BS269),SUMIF(BI258:BI269,$BX261,BN258:BN269)))</f>
        <v>3.1250000000000001E-4</v>
      </c>
      <c r="CB261" s="645">
        <f t="shared" si="80"/>
        <v>23</v>
      </c>
      <c r="CC261" s="645">
        <f t="shared" si="77"/>
        <v>1</v>
      </c>
    </row>
    <row r="262" spans="61:81" ht="15" customHeight="1">
      <c r="BI262" s="638" t="s">
        <v>325</v>
      </c>
      <c r="BJ262" s="638">
        <v>5</v>
      </c>
      <c r="BK262" s="638" t="s">
        <v>324</v>
      </c>
      <c r="BL262" s="857">
        <f t="shared" si="78"/>
        <v>3.2812499999999998E-5</v>
      </c>
      <c r="BM262" s="818">
        <v>0.105</v>
      </c>
      <c r="BN262" s="848">
        <v>3.1250000000000001E-4</v>
      </c>
      <c r="BO262" s="852"/>
      <c r="BP262" s="851">
        <v>6.9444444444444447E-4</v>
      </c>
      <c r="BQ262" s="857" t="str">
        <f t="shared" si="79"/>
        <v/>
      </c>
      <c r="BR262" s="687"/>
      <c r="BS262" s="848"/>
      <c r="BT262" s="852"/>
      <c r="BU262" s="851">
        <v>6.9444444444444447E-4</v>
      </c>
      <c r="BX262" s="666" t="str">
        <f t="shared" si="76"/>
        <v>Feb</v>
      </c>
      <c r="BY262" s="643">
        <f>IF(CB262=$CB270,SUMIF($BI258:$BI269,$BX262,$BR258:$BR269),SUMIF($BI258:$BI269,$BX262,$BM258:$BM269))</f>
        <v>0.105</v>
      </c>
      <c r="BZ262" s="877">
        <f>IF(IF(CB262=CB270,SUMIF(BI258:BI269,$BX262,BU258:BU269),SUMIF(BI258:BI269,$BX262,BP258:BP269))=0,NA(),IF(CB262=CB270,SUMIF(BI258:BI269,$BX262,BU258:BU269),SUMIF(BI258:BI269,$BX262,BP258:BP269)))</f>
        <v>6.9444444444444447E-4</v>
      </c>
      <c r="CA262" s="876">
        <f>IF(IF(CB262=CB270,SUMIF(BI258:BI269,$BX262,BS258:BS269),SUMIF(BI258:BI269,$BX262,BN258:BN269))=0,NA(),IF(CB262=CB270,SUMIF(BI258:BI269,$BX262,BS258:BS269),SUMIF(BI258:BI269,$BX262,BN258:BN269)))</f>
        <v>3.1250000000000001E-4</v>
      </c>
      <c r="CB262" s="645">
        <f t="shared" si="80"/>
        <v>23</v>
      </c>
      <c r="CC262" s="645">
        <f t="shared" si="77"/>
        <v>2</v>
      </c>
    </row>
    <row r="263" spans="61:81" ht="15" customHeight="1">
      <c r="BI263" s="638" t="s">
        <v>326</v>
      </c>
      <c r="BJ263" s="638">
        <v>6</v>
      </c>
      <c r="BK263" s="638" t="s">
        <v>324</v>
      </c>
      <c r="BL263" s="857">
        <f t="shared" si="78"/>
        <v>1.3657407407407406E-5</v>
      </c>
      <c r="BM263" s="818">
        <v>5.8999999999999997E-2</v>
      </c>
      <c r="BN263" s="848">
        <v>2.3148148148148146E-4</v>
      </c>
      <c r="BO263" s="852"/>
      <c r="BP263" s="851">
        <v>6.9444444444444447E-4</v>
      </c>
      <c r="BQ263" s="857" t="str">
        <f t="shared" si="79"/>
        <v/>
      </c>
      <c r="BR263" s="687"/>
      <c r="BS263" s="848"/>
      <c r="BT263" s="852"/>
      <c r="BU263" s="851">
        <v>6.9444444444444447E-4</v>
      </c>
      <c r="BX263" s="666" t="str">
        <f t="shared" si="76"/>
        <v>Mar</v>
      </c>
      <c r="BY263" s="643">
        <f>IF(CB263=$CB270,SUMIF($BI258:$BI269,$BX263,$BR258:$BR269),SUMIF($BI258:$BI269,$BX263,$BM258:$BM269))</f>
        <v>5.8999999999999997E-2</v>
      </c>
      <c r="BZ263" s="877">
        <f>IF(IF(CB263=CB270,SUMIF(BI258:BI269,$BX263,BU258:BU269),SUMIF(BI258:BI269,$BX263,BP258:BP269))=0,NA(),IF(CB263=CB270,SUMIF(BI258:BI269,$BX263,BU258:BU269),SUMIF(BI258:BI269,$BX263,BP258:BP269)))</f>
        <v>6.9444444444444447E-4</v>
      </c>
      <c r="CA263" s="876">
        <f>IF(IF(CB263=CB270,SUMIF(BI258:BI269,$BX263,BS258:BS269),SUMIF(BI258:BI269,$BX263,BN258:BN269))=0,NA(),IF(CB263=CB270,SUMIF(BI258:BI269,$BX263,BS258:BS269),SUMIF(BI258:BI269,$BX263,BN258:BN269)))</f>
        <v>2.3148148148148146E-4</v>
      </c>
      <c r="CB263" s="645">
        <f t="shared" si="80"/>
        <v>23</v>
      </c>
      <c r="CC263" s="645">
        <f t="shared" si="77"/>
        <v>3</v>
      </c>
    </row>
    <row r="264" spans="61:81" ht="15" customHeight="1">
      <c r="BI264" s="638" t="s">
        <v>327</v>
      </c>
      <c r="BJ264" s="638">
        <v>7</v>
      </c>
      <c r="BK264" s="638" t="s">
        <v>328</v>
      </c>
      <c r="BL264" s="857">
        <f t="shared" si="78"/>
        <v>1.9675925925925925E-6</v>
      </c>
      <c r="BM264" s="818">
        <v>1.7000000000000001E-2</v>
      </c>
      <c r="BN264" s="848">
        <v>1.1574074074074073E-4</v>
      </c>
      <c r="BO264" s="849">
        <f>IF(SUM(BM264:BM266=0),0,SUM(BL264:BL266)/SUM(BM264:BM266))</f>
        <v>1.7098063973063974E-4</v>
      </c>
      <c r="BP264" s="851">
        <v>6.9444444444444447E-4</v>
      </c>
      <c r="BQ264" s="857" t="str">
        <f t="shared" si="79"/>
        <v/>
      </c>
      <c r="BR264" s="687"/>
      <c r="BS264" s="848"/>
      <c r="BT264" s="849">
        <f>IF(SUM(BR264:BR266=0),0,SUM(BQ264:BQ266)/SUM(BR264:BR266))</f>
        <v>0</v>
      </c>
      <c r="BU264" s="851">
        <v>6.9444444444444447E-4</v>
      </c>
      <c r="BX264" s="666" t="str">
        <f t="shared" si="76"/>
        <v>Apr</v>
      </c>
      <c r="BY264" s="643">
        <f>IF(CB264=$CB270,SUMIF($BI258:$BI269,$BX264,$BR258:$BR269),SUMIF($BI258:$BI269,$BX264,$BM258:$BM269))</f>
        <v>1.7000000000000001E-2</v>
      </c>
      <c r="BZ264" s="877">
        <f>IF(IF(CB264=CB270,SUMIF(BI258:BI269,$BX264,BU258:BU269),SUMIF(BI258:BI269,$BX264,BP258:BP269))=0,NA(),IF(CB264=CB270,SUMIF(BI258:BI269,$BX264,BU258:BU269),SUMIF(BI258:BI269,$BX264,BP258:BP269)))</f>
        <v>6.9444444444444447E-4</v>
      </c>
      <c r="CA264" s="876">
        <f>IF(IF(CB264=CB270,SUMIF(BI258:BI269,$BX264,BS258:BS269),SUMIF(BI258:BI269,$BX264,BN258:BN269))=0,NA(),IF(CB264=CB270,SUMIF(BI258:BI269,$BX264,BS258:BS269),SUMIF(BI258:BI269,$BX264,BN258:BN269)))</f>
        <v>1.1574074074074073E-4</v>
      </c>
      <c r="CB264" s="645">
        <f t="shared" si="80"/>
        <v>23</v>
      </c>
      <c r="CC264" s="645">
        <f t="shared" si="77"/>
        <v>4</v>
      </c>
    </row>
    <row r="265" spans="61:81" ht="15" customHeight="1">
      <c r="BI265" s="638" t="s">
        <v>329</v>
      </c>
      <c r="BJ265" s="638">
        <v>8</v>
      </c>
      <c r="BK265" s="638" t="s">
        <v>328</v>
      </c>
      <c r="BL265" s="857">
        <f t="shared" si="78"/>
        <v>3.472222222222222E-6</v>
      </c>
      <c r="BM265" s="818">
        <v>1.4999999999999999E-2</v>
      </c>
      <c r="BN265" s="848">
        <v>2.3148148148148146E-4</v>
      </c>
      <c r="BO265" s="852"/>
      <c r="BP265" s="851">
        <v>6.9444444444444447E-4</v>
      </c>
      <c r="BQ265" s="857" t="str">
        <f t="shared" si="79"/>
        <v/>
      </c>
      <c r="BR265" s="687"/>
      <c r="BS265" s="848"/>
      <c r="BT265" s="852"/>
      <c r="BU265" s="851">
        <v>6.9444444444444447E-4</v>
      </c>
      <c r="BX265" s="666" t="str">
        <f t="shared" si="76"/>
        <v>May</v>
      </c>
      <c r="BY265" s="643">
        <f>IF(CB265=$CB270,SUMIF($BI258:$BI269,$BX265,$BR258:$BR269),SUMIF($BI258:$BI269,$BX265,$BM258:$BM269))</f>
        <v>1.4999999999999999E-2</v>
      </c>
      <c r="BZ265" s="877">
        <f>IF(IF(CB265=CB270,SUMIF(BI258:BI269,$BX265,BU258:BU269),SUMIF(BI258:BI269,$BX265,BP258:BP269))=0,NA(),IF(CB265=CB270,SUMIF(BI258:BI269,$BX265,BU258:BU269),SUMIF(BI258:BI269,$BX265,BP258:BP269)))</f>
        <v>6.9444444444444447E-4</v>
      </c>
      <c r="CA265" s="876">
        <f>IF(IF(CB265=CB270,SUMIF(BI258:BI269,$BX265,BS258:BS269),SUMIF(BI258:BI269,$BX265,BN258:BN269))=0,NA(),IF(CB265=CB270,SUMIF(BI258:BI269,$BX265,BS258:BS269),SUMIF(BI258:BI269,$BX265,BN258:BN269)))</f>
        <v>2.3148148148148146E-4</v>
      </c>
      <c r="CB265" s="645">
        <f t="shared" si="80"/>
        <v>23</v>
      </c>
      <c r="CC265" s="645">
        <f t="shared" si="77"/>
        <v>5</v>
      </c>
    </row>
    <row r="266" spans="61:81" ht="15" customHeight="1">
      <c r="BI266" s="638" t="s">
        <v>331</v>
      </c>
      <c r="BJ266" s="638">
        <v>9</v>
      </c>
      <c r="BK266" s="638" t="s">
        <v>328</v>
      </c>
      <c r="BL266" s="857">
        <f t="shared" si="78"/>
        <v>2.0833333333333334E-6</v>
      </c>
      <c r="BM266" s="818">
        <v>1.2E-2</v>
      </c>
      <c r="BN266" s="848">
        <v>1.7361111111111112E-4</v>
      </c>
      <c r="BO266" s="852"/>
      <c r="BP266" s="851">
        <v>6.9444444444444447E-4</v>
      </c>
      <c r="BQ266" s="857" t="str">
        <f t="shared" si="79"/>
        <v/>
      </c>
      <c r="BR266" s="687"/>
      <c r="BS266" s="848"/>
      <c r="BT266" s="852"/>
      <c r="BU266" s="851">
        <v>6.9444444444444447E-4</v>
      </c>
      <c r="BX266" s="666" t="str">
        <f t="shared" si="76"/>
        <v>Jun</v>
      </c>
      <c r="BY266" s="643">
        <f>IF(CB266=$CB270,SUMIF($BI258:$BI269,$BX266,$BR258:$BR269),SUMIF($BI258:$BI269,$BX266,$BM258:$BM269))</f>
        <v>1.2E-2</v>
      </c>
      <c r="BZ266" s="877">
        <f>IF(IF(CB266=CB270,SUMIF(BI258:BI269,$BX266,BU258:BU269),SUMIF(BI258:BI269,$BX266,BP258:BP269))=0,NA(),IF(CB266=CB270,SUMIF(BI258:BI269,$BX266,BU258:BU269),SUMIF(BI258:BI269,$BX266,BP258:BP269)))</f>
        <v>6.9444444444444447E-4</v>
      </c>
      <c r="CA266" s="876">
        <f>IF(IF(CB266=CB270,SUMIF(BI258:BI269,$BX266,BS258:BS269),SUMIF(BI258:BI269,$BX266,BN258:BN269))=0,NA(),IF(CB266=CB270,SUMIF(BI258:BI269,$BX266,BS258:BS269),SUMIF(BI258:BI269,$BX266,BN258:BN269)))</f>
        <v>1.7361111111111112E-4</v>
      </c>
      <c r="CB266" s="645">
        <f t="shared" si="80"/>
        <v>23</v>
      </c>
      <c r="CC266" s="645">
        <f t="shared" si="77"/>
        <v>6</v>
      </c>
    </row>
    <row r="267" spans="61:81" ht="15" customHeight="1">
      <c r="BI267" s="638" t="s">
        <v>337</v>
      </c>
      <c r="BJ267" s="638">
        <v>10</v>
      </c>
      <c r="BK267" s="638" t="s">
        <v>338</v>
      </c>
      <c r="BL267" s="857">
        <f t="shared" si="78"/>
        <v>3.9351851851851851E-6</v>
      </c>
      <c r="BM267" s="818">
        <v>0.02</v>
      </c>
      <c r="BN267" s="848">
        <v>1.9675925925925926E-4</v>
      </c>
      <c r="BO267" s="849">
        <f>IF(SUM(BM267:BM269=0),0,SUM(BL267:BL269)/SUM(BM267:BM269))</f>
        <v>3.142806267806267E-4</v>
      </c>
      <c r="BP267" s="851">
        <v>6.9444444444444447E-4</v>
      </c>
      <c r="BQ267" s="857" t="str">
        <f t="shared" si="79"/>
        <v/>
      </c>
      <c r="BR267" s="687"/>
      <c r="BS267" s="848"/>
      <c r="BT267" s="849">
        <f>IF(SUM(BR267:BR269=0),0,SUM(BQ267:BQ269)/SUM(BR267:BR269))</f>
        <v>0</v>
      </c>
      <c r="BU267" s="851">
        <v>6.9444444444444447E-4</v>
      </c>
      <c r="BX267" s="666" t="str">
        <f t="shared" si="76"/>
        <v>Jul</v>
      </c>
      <c r="BY267" s="643">
        <f>IF(CB267=$CB270,SUMIF($BI258:$BI269,$BX267,$BR258:$BR269),SUMIF($BI258:$BI269,$BX267,$BM258:$BM269))</f>
        <v>0.02</v>
      </c>
      <c r="BZ267" s="877">
        <f>IF(IF(CB267=CB270,SUMIF(BI258:BI269,$BX267,BU258:BU269),SUMIF(BI258:BI269,$BX267,BP258:BP269))=0,NA(),IF(CB267=CB270,SUMIF(BI258:BI269,$BX267,BU258:BU269),SUMIF(BI258:BI269,$BX267,BP258:BP269)))</f>
        <v>6.9444444444444447E-4</v>
      </c>
      <c r="CA267" s="876">
        <f>IF(IF(CB267=CB270,SUMIF(BI258:BI269,$BX267,BS258:BS269),SUMIF(BI258:BI269,$BX267,BN258:BN269))=0,NA(),IF(CB267=CB270,SUMIF(BI258:BI269,$BX267,BS258:BS269),SUMIF(BI258:BI269,$BX267,BN258:BN269)))</f>
        <v>1.9675925925925926E-4</v>
      </c>
      <c r="CB267" s="645">
        <f t="shared" si="80"/>
        <v>23</v>
      </c>
      <c r="CC267" s="645">
        <f t="shared" si="77"/>
        <v>7</v>
      </c>
    </row>
    <row r="268" spans="61:81" ht="15" customHeight="1">
      <c r="BI268" s="638" t="s">
        <v>343</v>
      </c>
      <c r="BJ268" s="638">
        <v>11</v>
      </c>
      <c r="BK268" s="638" t="s">
        <v>338</v>
      </c>
      <c r="BL268" s="857">
        <f t="shared" si="78"/>
        <v>6.4814814814814812E-6</v>
      </c>
      <c r="BM268" s="818">
        <v>1.6E-2</v>
      </c>
      <c r="BN268" s="848">
        <v>4.0509259259259258E-4</v>
      </c>
      <c r="BO268" s="852"/>
      <c r="BP268" s="851">
        <v>6.9444444444444447E-4</v>
      </c>
      <c r="BQ268" s="857" t="str">
        <f t="shared" si="79"/>
        <v/>
      </c>
      <c r="BR268" s="687"/>
      <c r="BS268" s="848"/>
      <c r="BT268" s="852"/>
      <c r="BU268" s="851">
        <v>6.9444444444444447E-4</v>
      </c>
      <c r="BX268" s="666" t="str">
        <f t="shared" si="76"/>
        <v>Aug</v>
      </c>
      <c r="BY268" s="643">
        <f>IF(CB268=$CB270,SUMIF($BI258:$BI269,$BX268,$BR258:$BR269),SUMIF($BI258:$BI269,$BX268,$BM258:$BM269))</f>
        <v>1.6E-2</v>
      </c>
      <c r="BZ268" s="877">
        <f>IF(IF(CB268=CB270,SUMIF(BI258:BI269,$BX268,BU258:BU269),SUMIF(BI258:BI269,$BX268,BP258:BP269))=0,NA(),IF(CB268=CB270,SUMIF(BI258:BI269,$BX268,BU258:BU269),SUMIF(BI258:BI269,$BX268,BP258:BP269)))</f>
        <v>6.9444444444444447E-4</v>
      </c>
      <c r="CA268" s="876">
        <f>IF(IF(CB268=CB270,SUMIF(BI258:BI269,$BX268,BS258:BS269),SUMIF(BI258:BI269,$BX268,BN258:BN269))=0,NA(),IF(CB268=CB270,SUMIF(BI258:BI269,$BX268,BS258:BS269),SUMIF(BI258:BI269,$BX268,BN258:BN269)))</f>
        <v>4.0509259259259258E-4</v>
      </c>
      <c r="CB268" s="645">
        <f t="shared" si="80"/>
        <v>23</v>
      </c>
      <c r="CC268" s="645">
        <f t="shared" si="77"/>
        <v>8</v>
      </c>
    </row>
    <row r="269" spans="61:81" ht="15" customHeight="1">
      <c r="BI269" s="638" t="s">
        <v>344</v>
      </c>
      <c r="BJ269" s="638">
        <v>12</v>
      </c>
      <c r="BK269" s="638" t="s">
        <v>338</v>
      </c>
      <c r="BL269" s="857">
        <f t="shared" si="78"/>
        <v>1.4097222222222222E-5</v>
      </c>
      <c r="BM269" s="818">
        <v>4.2000000000000003E-2</v>
      </c>
      <c r="BN269" s="848">
        <v>3.3564814814814812E-4</v>
      </c>
      <c r="BO269" s="852"/>
      <c r="BP269" s="851">
        <v>6.9444444444444447E-4</v>
      </c>
      <c r="BQ269" s="857" t="str">
        <f t="shared" si="79"/>
        <v/>
      </c>
      <c r="BR269" s="687"/>
      <c r="BS269" s="848"/>
      <c r="BT269" s="852"/>
      <c r="BU269" s="851">
        <v>6.9444444444444447E-4</v>
      </c>
      <c r="BX269" s="666" t="str">
        <f t="shared" si="76"/>
        <v>Sep</v>
      </c>
      <c r="BY269" s="643">
        <f>IF(CB269=$CB270,SUMIF($BI258:$BI269,$BX269,$BR258:$BR269),SUMIF($BI258:$BI269,$BX269,$BM258:$BM269))</f>
        <v>4.2000000000000003E-2</v>
      </c>
      <c r="BZ269" s="877">
        <f>IF(IF(CB269=CB270,SUMIF(BI258:BI269,$BX269,BU258:BU269),SUMIF(BI258:BI269,$BX269,BP258:BP269))=0,NA(),IF(CB269=CB270,SUMIF(BI258:BI269,$BX269,BU258:BU269),SUMIF(BI258:BI269,$BX269,BP258:BP269)))</f>
        <v>6.9444444444444447E-4</v>
      </c>
      <c r="CA269" s="876">
        <f>IF(IF(CB269=CB270,SUMIF(BI258:BI269,$BX269,BS258:BS269),SUMIF(BI258:BI269,$BX269,BN258:BN269))=0,NA(),IF(CB269=CB270,SUMIF(BI258:BI269,$BX269,BS258:BS269),SUMIF(BI258:BI269,$BX269,BN258:BN269)))</f>
        <v>3.3564814814814812E-4</v>
      </c>
      <c r="CB269" s="645">
        <f t="shared" si="80"/>
        <v>23</v>
      </c>
      <c r="CC269" s="645">
        <f>IF(CC270-1&lt;1,CC270+11,CC270-1)</f>
        <v>9</v>
      </c>
    </row>
    <row r="270" spans="61:81" ht="15" customHeight="1">
      <c r="BJ270" s="277"/>
      <c r="BK270" s="277"/>
      <c r="BL270" s="277"/>
      <c r="BM270" s="277"/>
      <c r="BN270" s="277"/>
      <c r="BO270" s="277"/>
      <c r="BP270" s="277"/>
      <c r="BQ270" s="277"/>
      <c r="BR270" s="277"/>
      <c r="BS270" s="277"/>
      <c r="BT270" s="277"/>
      <c r="BW270" s="667" t="str">
        <f>Cover!$M$34</f>
        <v>OCT FY-24</v>
      </c>
      <c r="BX270" s="666" t="str">
        <f>TEXT(CONCATENATE(CC270,"/01/20",CB270),"MMM")</f>
        <v>Oct</v>
      </c>
      <c r="BY270" s="643">
        <f>SUMIF($BI258:$BI269,$BX270,$BR258:$BR269)</f>
        <v>0.16</v>
      </c>
      <c r="BZ270" s="877">
        <f>IF(IF(CB270=CB270,SUMIF(BI258:BI269,$BX270,BU258:BU269),SUMIF(BI258:BI269,$BX270,BP258:BP269))=0,NA(),IF(CB270=CB270,SUMIF(BI258:BI269,$BX270,BU258:BU269),SUMIF(BI258:BI269,$BX270,BP258:BP269)))</f>
        <v>6.9444444444444447E-4</v>
      </c>
      <c r="CA270" s="876">
        <f>IF(SUMIF($BI258:$BI269,$BX270,$BS258:$BS269)=0,NA(),SUMIF($BI258:$BI269,$BX270,$BS258:$BS269))</f>
        <v>4.9768518518518521E-4</v>
      </c>
      <c r="CB270" s="645">
        <f>CB250</f>
        <v>24</v>
      </c>
      <c r="CC270" s="645">
        <f>MONTH(DATEVALUE(LEFT(BW270,3)&amp;" 1"))</f>
        <v>10</v>
      </c>
    </row>
    <row r="271" spans="61:81" ht="15" customHeight="1">
      <c r="BI271" s="6"/>
      <c r="BJ271" s="6"/>
      <c r="BK271" s="6"/>
      <c r="BL271" s="6"/>
      <c r="BM271" s="6"/>
      <c r="BN271" s="6"/>
      <c r="BO271" s="6"/>
      <c r="BP271" s="6"/>
      <c r="BQ271" s="6"/>
      <c r="BR271" s="6"/>
      <c r="BS271" s="6"/>
      <c r="BT271" s="6"/>
      <c r="BU271" s="6"/>
      <c r="BV271" s="6"/>
    </row>
    <row r="272" spans="61:81" ht="15" customHeight="1">
      <c r="BI272" s="54" t="s">
        <v>292</v>
      </c>
      <c r="BJ272" s="287" t="s">
        <v>478</v>
      </c>
      <c r="BK272" s="287"/>
      <c r="BL272" s="287"/>
      <c r="BM272" s="287"/>
      <c r="BN272" s="287"/>
      <c r="BO272" s="287"/>
      <c r="BP272" s="287"/>
      <c r="BQ272" s="287"/>
      <c r="BR272" s="287"/>
      <c r="BS272" s="287"/>
      <c r="BT272" s="287"/>
      <c r="BU272" s="287"/>
    </row>
    <row r="273" spans="61:81" ht="15" customHeight="1">
      <c r="BI273" s="54" t="s">
        <v>296</v>
      </c>
      <c r="BJ273" s="283" t="s">
        <v>475</v>
      </c>
      <c r="BK273" s="283"/>
      <c r="BL273" s="283"/>
      <c r="BM273" s="283"/>
      <c r="BN273" s="283"/>
      <c r="BO273" s="283"/>
      <c r="BP273" s="283"/>
      <c r="BQ273" s="283"/>
      <c r="BR273" s="283"/>
      <c r="BS273" s="283"/>
      <c r="BT273" s="283"/>
      <c r="BU273" s="283"/>
    </row>
    <row r="274" spans="61:81" ht="15" customHeight="1" thickBot="1">
      <c r="BI274" s="54" t="s">
        <v>300</v>
      </c>
      <c r="BJ274" s="283" t="s">
        <v>476</v>
      </c>
      <c r="BK274" s="283"/>
      <c r="BL274" s="283"/>
      <c r="BM274" s="283"/>
      <c r="BN274" s="283"/>
      <c r="BO274" s="283"/>
      <c r="BP274" s="283"/>
      <c r="BQ274" s="283"/>
      <c r="BR274" s="283"/>
      <c r="BS274" s="283"/>
      <c r="BT274" s="283"/>
      <c r="BU274" s="283"/>
    </row>
    <row r="275" spans="61:81" ht="15" customHeight="1" thickBot="1">
      <c r="BI275" s="1405" t="s">
        <v>452</v>
      </c>
      <c r="BJ275" s="1406"/>
      <c r="BK275" s="1407"/>
      <c r="BL275" s="1405" t="s">
        <v>302</v>
      </c>
      <c r="BM275" s="1406"/>
      <c r="BN275" s="1406"/>
      <c r="BO275" s="1406"/>
      <c r="BP275" s="1407"/>
      <c r="BQ275" s="1405" t="s">
        <v>719</v>
      </c>
      <c r="BR275" s="1406"/>
      <c r="BS275" s="1406"/>
      <c r="BT275" s="1406"/>
      <c r="BU275" s="1407"/>
      <c r="BW275" s="1405" t="s">
        <v>303</v>
      </c>
      <c r="BX275" s="1406"/>
      <c r="BY275" s="1406"/>
      <c r="BZ275" s="1406"/>
      <c r="CA275" s="1406"/>
      <c r="CB275" s="1406"/>
      <c r="CC275" s="1407"/>
    </row>
    <row r="276" spans="61:81" ht="15" customHeight="1">
      <c r="BI276" s="636" t="s">
        <v>23</v>
      </c>
      <c r="BJ276" s="636" t="s">
        <v>37</v>
      </c>
      <c r="BK276" s="636" t="s">
        <v>304</v>
      </c>
      <c r="BL276" s="637" t="s">
        <v>305</v>
      </c>
      <c r="BM276" s="637" t="s">
        <v>310</v>
      </c>
      <c r="BN276" s="637" t="s">
        <v>311</v>
      </c>
      <c r="BO276" s="278" t="s">
        <v>312</v>
      </c>
      <c r="BP276" s="637" t="s">
        <v>313</v>
      </c>
      <c r="BQ276" s="637" t="s">
        <v>305</v>
      </c>
      <c r="BR276" s="637" t="s">
        <v>715</v>
      </c>
      <c r="BS276" s="637" t="s">
        <v>716</v>
      </c>
      <c r="BT276" s="278" t="s">
        <v>717</v>
      </c>
      <c r="BU276" s="637" t="s">
        <v>718</v>
      </c>
      <c r="BW276" s="279" t="s">
        <v>314</v>
      </c>
      <c r="BX276" s="279" t="s">
        <v>23</v>
      </c>
      <c r="BY276" s="280" t="s">
        <v>315</v>
      </c>
      <c r="BZ276" s="279" t="s">
        <v>122</v>
      </c>
      <c r="CA276" s="279" t="s">
        <v>316</v>
      </c>
      <c r="CB276" s="279" t="s">
        <v>317</v>
      </c>
      <c r="CC276" s="279" t="s">
        <v>318</v>
      </c>
    </row>
    <row r="277" spans="61:81" ht="15" customHeight="1">
      <c r="BI277" s="638" t="s">
        <v>319</v>
      </c>
      <c r="BJ277" s="638">
        <v>1</v>
      </c>
      <c r="BK277" s="638" t="s">
        <v>320</v>
      </c>
      <c r="BL277" s="859">
        <v>0</v>
      </c>
      <c r="BM277" s="858">
        <v>3.1E-2</v>
      </c>
      <c r="BN277" s="653">
        <f>IF(BM277="","",BL277/BM277)</f>
        <v>0</v>
      </c>
      <c r="BO277" s="289">
        <f>IF(SUM(BM277:BM279=0),0,SUM(BL277:BL279)/SUM(BM277:BM279))</f>
        <v>5.3571428571428568E-2</v>
      </c>
      <c r="BP277" s="821">
        <v>0.05</v>
      </c>
      <c r="BQ277" s="690">
        <v>4.0000000000000001E-3</v>
      </c>
      <c r="BR277" s="689">
        <v>0.02</v>
      </c>
      <c r="BS277" s="842">
        <f>IF(BR277="","",BQ277/BR277)</f>
        <v>0.2</v>
      </c>
      <c r="BT277" s="289">
        <f>IF(SUM(BR277:BR279=0),0,SUM(BQ277:BQ279)/SUM(BR277:BR279))</f>
        <v>0.2</v>
      </c>
      <c r="BU277" s="821">
        <v>0.05</v>
      </c>
      <c r="BX277" s="666" t="str">
        <f t="shared" ref="BX277:BX288" si="81">TEXT(CONCATENATE(CC277,"/01/20",CB277),"MMM")</f>
        <v>Oct</v>
      </c>
      <c r="BY277" s="643">
        <f>IF(CB277=$CB289,SUMIF($BI277:$BI288,$BX277,$BR277:$BR288),SUMIF($BI277:$BI288,$BX277,$BM277:$BM288))</f>
        <v>3.1E-2</v>
      </c>
      <c r="BZ277" s="821">
        <f>IF(IF(CB277=CB289,SUMIF(BI277:BI288,$BX277,BU277:BU288),SUMIF(BI277:BI288,$BX277,BP277:BP288))=0,NA(),IF(CB277=CB289,SUMIF(BI277:BI288,$BX277,BU277:BU288),SUMIF(BI277:BI288,$BX277,BP277:BP288)))</f>
        <v>0.05</v>
      </c>
      <c r="CA277" s="644">
        <f>IF(IF(CB277=CB289,SUMIF(BI277:BI288,$BX277,BS277:BS288),SUMIF(BI277:BI288,$BX277,BN277:BN288))=0,0,IF(CB277=CB289,SUMIF(BI277:BI288,$BX277,BS277:BS288),SUMIF(BI277:BI288,$BX277,BN277:BN288)))</f>
        <v>0</v>
      </c>
      <c r="CB277" s="645">
        <f>CB258</f>
        <v>23</v>
      </c>
      <c r="CC277" s="645">
        <f t="shared" ref="CC277:CC287" si="82">IF(CC278-1&lt;1,CC278+11,CC278-1)</f>
        <v>10</v>
      </c>
    </row>
    <row r="278" spans="61:81" ht="15" customHeight="1">
      <c r="BI278" s="638" t="s">
        <v>321</v>
      </c>
      <c r="BJ278" s="638">
        <v>2</v>
      </c>
      <c r="BK278" s="638" t="s">
        <v>320</v>
      </c>
      <c r="BL278" s="859">
        <v>2E-3</v>
      </c>
      <c r="BM278" s="858">
        <v>2.3E-2</v>
      </c>
      <c r="BN278" s="653">
        <f t="shared" ref="BN278:BN288" si="83">IF(BM278="","",BL278/BM278)</f>
        <v>8.6956521739130432E-2</v>
      </c>
      <c r="BO278" s="855"/>
      <c r="BP278" s="821">
        <v>0.05</v>
      </c>
      <c r="BQ278" s="690"/>
      <c r="BR278" s="689"/>
      <c r="BS278" s="842" t="str">
        <f t="shared" ref="BS278:BS288" si="84">IF(BR278="","",BQ278/BR278)</f>
        <v/>
      </c>
      <c r="BT278" s="855"/>
      <c r="BU278" s="821">
        <v>0.05</v>
      </c>
      <c r="BX278" s="666" t="str">
        <f t="shared" si="81"/>
        <v>Nov</v>
      </c>
      <c r="BY278" s="643">
        <f>IF(CB278=$CB289,SUMIF($BI277:$BI288,$BX278,$BR277:$BR288),SUMIF($BI277:$BI288,$BX278,$BM277:$BM288))</f>
        <v>2.3E-2</v>
      </c>
      <c r="BZ278" s="821">
        <f>IF(IF(CB278=CB289,SUMIF(BI277:BI288,$BX278,BU277:BU288),SUMIF(BI277:BI288,$BX278,BP277:BP288))=0,NA(),IF(CB278=CB289,SUMIF(BI277:BI288,$BX278,BU277:BU288),SUMIF(BI277:BI288,$BX278,BP277:BP288)))</f>
        <v>0.05</v>
      </c>
      <c r="CA278" s="644">
        <f>IF(IF(CB278=CB289,SUMIF(BI277:BI288,$BX278,BS277:BS288),SUMIF(BI277:BI288,$BX278,BN277:BN288))=0,0,IF(CB278=CB289,SUMIF(BI277:BI288,$BX278,BS277:BS288),SUMIF(BI277:BI288,$BX278,BN277:BN288)))</f>
        <v>8.6956521739130432E-2</v>
      </c>
      <c r="CB278" s="645">
        <f t="shared" ref="CB278:CB288" si="85">CB259</f>
        <v>23</v>
      </c>
      <c r="CC278" s="645">
        <f t="shared" si="82"/>
        <v>11</v>
      </c>
    </row>
    <row r="279" spans="61:81" ht="15" customHeight="1">
      <c r="BI279" s="638" t="s">
        <v>322</v>
      </c>
      <c r="BJ279" s="638">
        <v>3</v>
      </c>
      <c r="BK279" s="638" t="s">
        <v>320</v>
      </c>
      <c r="BL279" s="859">
        <v>4.0000000000000001E-3</v>
      </c>
      <c r="BM279" s="858">
        <v>5.8000000000000003E-2</v>
      </c>
      <c r="BN279" s="653">
        <f t="shared" si="83"/>
        <v>6.8965517241379309E-2</v>
      </c>
      <c r="BO279" s="855"/>
      <c r="BP279" s="821">
        <v>0.05</v>
      </c>
      <c r="BQ279" s="690"/>
      <c r="BR279" s="689"/>
      <c r="BS279" s="842" t="str">
        <f t="shared" si="84"/>
        <v/>
      </c>
      <c r="BT279" s="855"/>
      <c r="BU279" s="821">
        <v>0.05</v>
      </c>
      <c r="BX279" s="666" t="str">
        <f t="shared" si="81"/>
        <v>Dec</v>
      </c>
      <c r="BY279" s="643">
        <f>IF(CB279=$CB289,SUMIF($BI277:$BI288,$BX279,$BR277:$BR288),SUMIF($BI277:$BI288,$BX279,$BM277:$BM288))</f>
        <v>5.8000000000000003E-2</v>
      </c>
      <c r="BZ279" s="821">
        <f>IF(IF(CB279=CB289,SUMIF(BI277:BI288,$BX279,BU277:BU288),SUMIF(BI277:BI288,$BX279,BP277:BP288))=0,NA(),IF(CB279=CB289,SUMIF(BI277:BI288,$BX279,BU277:BU288),SUMIF(BI277:BI288,$BX279,BP277:BP288)))</f>
        <v>0.05</v>
      </c>
      <c r="CA279" s="644">
        <f>IF(IF(CB279=CB289,SUMIF(BI277:BI288,$BX279,BS277:BS288),SUMIF(BI277:BI288,$BX279,BN277:BN288))=0,0,IF(CB279=CB289,SUMIF(BI277:BI288,$BX279,BS277:BS288),SUMIF(BI277:BI288,$BX279,BN277:BN288)))</f>
        <v>6.8965517241379309E-2</v>
      </c>
      <c r="CB279" s="645">
        <f t="shared" si="85"/>
        <v>23</v>
      </c>
      <c r="CC279" s="645">
        <f t="shared" si="82"/>
        <v>12</v>
      </c>
    </row>
    <row r="280" spans="61:81" ht="15" customHeight="1">
      <c r="BI280" s="638" t="s">
        <v>323</v>
      </c>
      <c r="BJ280" s="638">
        <v>4</v>
      </c>
      <c r="BK280" s="638" t="s">
        <v>324</v>
      </c>
      <c r="BL280" s="859">
        <v>2E-3</v>
      </c>
      <c r="BM280" s="858">
        <v>1.9E-2</v>
      </c>
      <c r="BN280" s="653">
        <f t="shared" si="83"/>
        <v>0.10526315789473685</v>
      </c>
      <c r="BO280" s="289">
        <f>IF(SUM(BM280:BM282=0),0,SUM(BL280:BL282)/SUM(BM280:BM282))</f>
        <v>3.6458333333333336E-2</v>
      </c>
      <c r="BP280" s="821">
        <v>0.05</v>
      </c>
      <c r="BQ280" s="690"/>
      <c r="BR280" s="689"/>
      <c r="BS280" s="842" t="str">
        <f t="shared" si="84"/>
        <v/>
      </c>
      <c r="BT280" s="289">
        <f>IF(SUM(BR280:BR282=0),0,SUM(BQ280:BQ282)/SUM(BR280:BR282))</f>
        <v>0</v>
      </c>
      <c r="BU280" s="821">
        <v>0.05</v>
      </c>
      <c r="BX280" s="666" t="str">
        <f t="shared" si="81"/>
        <v>Jan</v>
      </c>
      <c r="BY280" s="643">
        <f>IF(CB280=$CB289,SUMIF($BI277:$BI288,$BX280,$BR277:$BR288),SUMIF($BI277:$BI288,$BX280,$BM277:$BM288))</f>
        <v>1.9E-2</v>
      </c>
      <c r="BZ280" s="821">
        <f>IF(IF(CB280=CB289,SUMIF(BI277:BI288,$BX280,BU277:BU288),SUMIF(BI277:BI288,$BX280,BP277:BP288))=0,NA(),IF(CB280=CB289,SUMIF(BI277:BI288,$BX280,BU277:BU288),SUMIF(BI277:BI288,$BX280,BP277:BP288)))</f>
        <v>0.05</v>
      </c>
      <c r="CA280" s="644">
        <f>IF(IF(CB280=CB289,SUMIF(BI277:BI288,$BX280,BS277:BS288),SUMIF(BI277:BI288,$BX280,BN277:BN288))=0,0,IF(CB280=CB289,SUMIF(BI277:BI288,$BX280,BS277:BS288),SUMIF(BI277:BI288,$BX280,BN277:BN288)))</f>
        <v>0.10526315789473685</v>
      </c>
      <c r="CB280" s="645">
        <f t="shared" si="85"/>
        <v>23</v>
      </c>
      <c r="CC280" s="645">
        <f t="shared" si="82"/>
        <v>1</v>
      </c>
    </row>
    <row r="281" spans="61:81" ht="15" customHeight="1">
      <c r="BI281" s="638" t="s">
        <v>325</v>
      </c>
      <c r="BJ281" s="638">
        <v>5</v>
      </c>
      <c r="BK281" s="638" t="s">
        <v>324</v>
      </c>
      <c r="BL281" s="859">
        <v>4.0000000000000001E-3</v>
      </c>
      <c r="BM281" s="859">
        <v>0.113</v>
      </c>
      <c r="BN281" s="653">
        <f t="shared" si="83"/>
        <v>3.5398230088495575E-2</v>
      </c>
      <c r="BO281" s="855"/>
      <c r="BP281" s="821">
        <v>0.05</v>
      </c>
      <c r="BQ281" s="690"/>
      <c r="BR281" s="689"/>
      <c r="BS281" s="842" t="str">
        <f t="shared" si="84"/>
        <v/>
      </c>
      <c r="BT281" s="855"/>
      <c r="BU281" s="821">
        <v>0.05</v>
      </c>
      <c r="BX281" s="666" t="str">
        <f t="shared" si="81"/>
        <v>Feb</v>
      </c>
      <c r="BY281" s="643">
        <f>IF(CB281=$CB289,SUMIF($BI277:$BI288,$BX281,$BR277:$BR288),SUMIF($BI277:$BI288,$BX281,$BM277:$BM288))</f>
        <v>0.113</v>
      </c>
      <c r="BZ281" s="821">
        <f>IF(IF(CB281=CB289,SUMIF(BI277:BI288,$BX281,BU277:BU288),SUMIF(BI277:BI288,$BX281,BP277:BP288))=0,NA(),IF(CB281=CB289,SUMIF(BI277:BI288,$BX281,BU277:BU288),SUMIF(BI277:BI288,$BX281,BP277:BP288)))</f>
        <v>0.05</v>
      </c>
      <c r="CA281" s="644">
        <f>IF(IF(CB281=CB289,SUMIF(BI277:BI288,$BX281,BS277:BS288),SUMIF(BI277:BI288,$BX281,BN277:BN288))=0,0,IF(CB281=CB289,SUMIF(BI277:BI288,$BX281,BS277:BS288),SUMIF(BI277:BI288,$BX281,BN277:BN288)))</f>
        <v>3.5398230088495575E-2</v>
      </c>
      <c r="CB281" s="645">
        <f t="shared" si="85"/>
        <v>23</v>
      </c>
      <c r="CC281" s="645">
        <f t="shared" si="82"/>
        <v>2</v>
      </c>
    </row>
    <row r="282" spans="61:81" ht="15" customHeight="1">
      <c r="BI282" s="638" t="s">
        <v>326</v>
      </c>
      <c r="BJ282" s="638">
        <v>6</v>
      </c>
      <c r="BK282" s="638" t="s">
        <v>324</v>
      </c>
      <c r="BL282" s="859">
        <v>1E-3</v>
      </c>
      <c r="BM282" s="859">
        <v>0.06</v>
      </c>
      <c r="BN282" s="653">
        <f t="shared" si="83"/>
        <v>1.6666666666666666E-2</v>
      </c>
      <c r="BO282" s="855"/>
      <c r="BP282" s="821">
        <v>0.05</v>
      </c>
      <c r="BQ282" s="690"/>
      <c r="BR282" s="690"/>
      <c r="BS282" s="842" t="str">
        <f t="shared" si="84"/>
        <v/>
      </c>
      <c r="BT282" s="855"/>
      <c r="BU282" s="821">
        <v>0.05</v>
      </c>
      <c r="BX282" s="666" t="str">
        <f t="shared" si="81"/>
        <v>Mar</v>
      </c>
      <c r="BY282" s="643">
        <f>IF(CB282=$CB289,SUMIF($BI277:$BI288,$BX282,$BR277:$BR288),SUMIF($BI277:$BI288,$BX282,$BM277:$BM288))</f>
        <v>0.06</v>
      </c>
      <c r="BZ282" s="821">
        <f>IF(IF(CB282=CB289,SUMIF(BI277:BI288,$BX282,BU277:BU288),SUMIF(BI277:BI288,$BX282,BP277:BP288))=0,NA(),IF(CB282=CB289,SUMIF(BI277:BI288,$BX282,BU277:BU288),SUMIF(BI277:BI288,$BX282,BP277:BP288)))</f>
        <v>0.05</v>
      </c>
      <c r="CA282" s="644">
        <f>IF(IF(CB282=CB289,SUMIF(BI277:BI288,$BX282,BS277:BS288),SUMIF(BI277:BI288,$BX282,BN277:BN288))=0,0,IF(CB282=CB289,SUMIF(BI277:BI288,$BX282,BS277:BS288),SUMIF(BI277:BI288,$BX282,BN277:BN288)))</f>
        <v>1.6666666666666666E-2</v>
      </c>
      <c r="CB282" s="645">
        <f t="shared" si="85"/>
        <v>23</v>
      </c>
      <c r="CC282" s="645">
        <f t="shared" si="82"/>
        <v>3</v>
      </c>
    </row>
    <row r="283" spans="61:81" ht="15" customHeight="1">
      <c r="BI283" s="638" t="s">
        <v>327</v>
      </c>
      <c r="BJ283" s="638">
        <v>7</v>
      </c>
      <c r="BK283" s="638" t="s">
        <v>328</v>
      </c>
      <c r="BL283" s="859">
        <v>0</v>
      </c>
      <c r="BM283" s="859">
        <v>1.7000000000000001E-2</v>
      </c>
      <c r="BN283" s="653">
        <f t="shared" si="83"/>
        <v>0</v>
      </c>
      <c r="BO283" s="289">
        <f>IF(SUM(BM283:BM285=0),0,SUM(BL283:BL285)/SUM(BM283:BM285))</f>
        <v>2.2222222222222223E-2</v>
      </c>
      <c r="BP283" s="821">
        <v>0.05</v>
      </c>
      <c r="BQ283" s="690"/>
      <c r="BR283" s="690"/>
      <c r="BS283" s="842" t="str">
        <f t="shared" si="84"/>
        <v/>
      </c>
      <c r="BT283" s="289">
        <f>IF(SUM(BR283:BR285=0),0,SUM(BQ283:BQ285)/SUM(BR283:BR285))</f>
        <v>0</v>
      </c>
      <c r="BU283" s="821">
        <v>0.05</v>
      </c>
      <c r="BX283" s="666" t="str">
        <f t="shared" si="81"/>
        <v>Apr</v>
      </c>
      <c r="BY283" s="643">
        <f>IF(CB283=$CB289,SUMIF($BI277:$BI288,$BX283,$BR277:$BR288),SUMIF($BI277:$BI288,$BX283,$BM277:$BM288))</f>
        <v>1.7000000000000001E-2</v>
      </c>
      <c r="BZ283" s="821">
        <f>IF(IF(CB283=CB289,SUMIF(BI277:BI288,$BX283,BU277:BU288),SUMIF(BI277:BI288,$BX283,BP277:BP288))=0,NA(),IF(CB283=CB289,SUMIF(BI277:BI288,$BX283,BU277:BU288),SUMIF(BI277:BI288,$BX283,BP277:BP288)))</f>
        <v>0.05</v>
      </c>
      <c r="CA283" s="644">
        <f>IF(IF(CB283=CB289,SUMIF(BI277:BI288,$BX283,BS277:BS288),SUMIF(BI277:BI288,$BX283,BN277:BN288))=0,0,IF(CB283=CB289,SUMIF(BI277:BI288,$BX283,BS277:BS288),SUMIF(BI277:BI288,$BX283,BN277:BN288)))</f>
        <v>0</v>
      </c>
      <c r="CB283" s="645">
        <f t="shared" si="85"/>
        <v>23</v>
      </c>
      <c r="CC283" s="645">
        <f t="shared" si="82"/>
        <v>4</v>
      </c>
    </row>
    <row r="284" spans="61:81" ht="15" customHeight="1">
      <c r="BI284" s="638" t="s">
        <v>329</v>
      </c>
      <c r="BJ284" s="638">
        <v>8</v>
      </c>
      <c r="BK284" s="638" t="s">
        <v>328</v>
      </c>
      <c r="BL284" s="859">
        <v>1E-3</v>
      </c>
      <c r="BM284" s="859">
        <v>1.6E-2</v>
      </c>
      <c r="BN284" s="653">
        <f t="shared" si="83"/>
        <v>6.25E-2</v>
      </c>
      <c r="BO284" s="855"/>
      <c r="BP284" s="821">
        <v>0.05</v>
      </c>
      <c r="BQ284" s="690"/>
      <c r="BR284" s="690"/>
      <c r="BS284" s="842" t="str">
        <f t="shared" si="84"/>
        <v/>
      </c>
      <c r="BT284" s="855"/>
      <c r="BU284" s="821">
        <v>0.05</v>
      </c>
      <c r="BX284" s="666" t="str">
        <f t="shared" si="81"/>
        <v>May</v>
      </c>
      <c r="BY284" s="643">
        <f>IF(CB284=$CB289,SUMIF($BI277:$BI288,$BX284,$BR277:$BR288),SUMIF($BI277:$BI288,$BX284,$BM277:$BM288))</f>
        <v>1.6E-2</v>
      </c>
      <c r="BZ284" s="821">
        <f>IF(IF(CB284=CB289,SUMIF(BI277:BI288,$BX284,BU277:BU288),SUMIF(BI277:BI288,$BX284,BP277:BP288))=0,NA(),IF(CB284=CB289,SUMIF(BI277:BI288,$BX284,BU277:BU288),SUMIF(BI277:BI288,$BX284,BP277:BP288)))</f>
        <v>0.05</v>
      </c>
      <c r="CA284" s="644">
        <f>IF(IF(CB284=CB289,SUMIF(BI277:BI288,$BX284,BS277:BS288),SUMIF(BI277:BI288,$BX284,BN277:BN288))=0,0,IF(CB284=CB289,SUMIF(BI277:BI288,$BX284,BS277:BS288),SUMIF(BI277:BI288,$BX284,BN277:BN288)))</f>
        <v>6.25E-2</v>
      </c>
      <c r="CB284" s="645">
        <f t="shared" si="85"/>
        <v>23</v>
      </c>
      <c r="CC284" s="645">
        <f t="shared" si="82"/>
        <v>5</v>
      </c>
    </row>
    <row r="285" spans="61:81" ht="15" customHeight="1">
      <c r="BI285" s="638" t="s">
        <v>331</v>
      </c>
      <c r="BJ285" s="638">
        <v>9</v>
      </c>
      <c r="BK285" s="638" t="s">
        <v>328</v>
      </c>
      <c r="BL285" s="859">
        <v>0</v>
      </c>
      <c r="BM285" s="859">
        <v>1.2E-2</v>
      </c>
      <c r="BN285" s="653">
        <f t="shared" si="83"/>
        <v>0</v>
      </c>
      <c r="BO285" s="855"/>
      <c r="BP285" s="821">
        <v>0.05</v>
      </c>
      <c r="BQ285" s="690"/>
      <c r="BR285" s="690"/>
      <c r="BS285" s="842" t="str">
        <f t="shared" si="84"/>
        <v/>
      </c>
      <c r="BT285" s="855"/>
      <c r="BU285" s="821">
        <v>0.05</v>
      </c>
      <c r="BX285" s="666" t="str">
        <f t="shared" si="81"/>
        <v>Jun</v>
      </c>
      <c r="BY285" s="643">
        <f>IF(CB285=$CB289,SUMIF($BI277:$BI288,$BX285,$BR277:$BR288),SUMIF($BI277:$BI288,$BX285,$BM277:$BM288))</f>
        <v>1.2E-2</v>
      </c>
      <c r="BZ285" s="821">
        <f>IF(IF(CB285=CB289,SUMIF(BI277:BI288,$BX285,BU277:BU288),SUMIF(BI277:BI288,$BX285,BP277:BP288))=0,NA(),IF(CB285=CB289,SUMIF(BI277:BI288,$BX285,BU277:BU288),SUMIF(BI277:BI288,$BX285,BP277:BP288)))</f>
        <v>0.05</v>
      </c>
      <c r="CA285" s="644">
        <f>IF(IF(CB285=CB289,SUMIF(BI277:BI288,$BX285,BS277:BS288),SUMIF(BI277:BI288,$BX285,BN277:BN288))=0,0,IF(CB285=CB289,SUMIF(BI277:BI288,$BX285,BS277:BS288),SUMIF(BI277:BI288,$BX285,BN277:BN288)))</f>
        <v>0</v>
      </c>
      <c r="CB285" s="645">
        <f t="shared" si="85"/>
        <v>23</v>
      </c>
      <c r="CC285" s="645">
        <f t="shared" si="82"/>
        <v>6</v>
      </c>
    </row>
    <row r="286" spans="61:81" ht="15" customHeight="1">
      <c r="BI286" s="638" t="s">
        <v>337</v>
      </c>
      <c r="BJ286" s="638">
        <v>10</v>
      </c>
      <c r="BK286" s="638" t="s">
        <v>338</v>
      </c>
      <c r="BL286" s="859">
        <v>0</v>
      </c>
      <c r="BM286" s="859">
        <v>0.02</v>
      </c>
      <c r="BN286" s="653">
        <f t="shared" si="83"/>
        <v>0</v>
      </c>
      <c r="BO286" s="289">
        <f>IF(SUM(BM286:BM288=0),0,SUM(BL286:BL288)/SUM(BM286:BM288))</f>
        <v>0</v>
      </c>
      <c r="BP286" s="821">
        <v>0.05</v>
      </c>
      <c r="BQ286" s="690"/>
      <c r="BR286" s="690"/>
      <c r="BS286" s="842" t="str">
        <f t="shared" si="84"/>
        <v/>
      </c>
      <c r="BT286" s="289">
        <f>IF(SUM(BR286:BR288=0),0,SUM(BQ286:BQ288)/SUM(BR286:BR288))</f>
        <v>0</v>
      </c>
      <c r="BU286" s="821">
        <v>0.05</v>
      </c>
      <c r="BX286" s="666" t="str">
        <f t="shared" si="81"/>
        <v>Jul</v>
      </c>
      <c r="BY286" s="643">
        <f>IF(CB286=$CB289,SUMIF($BI277:$BI288,$BX286,$BR277:$BR288),SUMIF($BI277:$BI288,$BX286,$BM277:$BM288))</f>
        <v>0.02</v>
      </c>
      <c r="BZ286" s="821">
        <f>IF(IF(CB286=CB289,SUMIF(BI277:BI288,$BX286,BU277:BU288),SUMIF(BI277:BI288,$BX286,BP277:BP288))=0,NA(),IF(CB286=CB289,SUMIF(BI277:BI288,$BX286,BU277:BU288),SUMIF(BI277:BI288,$BX286,BP277:BP288)))</f>
        <v>0.05</v>
      </c>
      <c r="CA286" s="644">
        <f>IF(IF(CB286=CB289,SUMIF(BI277:BI288,$BX286,BS277:BS288),SUMIF(BI277:BI288,$BX286,BN277:BN288))=0,0,IF(CB286=CB289,SUMIF(BI277:BI288,$BX286,BS277:BS288),SUMIF(BI277:BI288,$BX286,BN277:BN288)))</f>
        <v>0</v>
      </c>
      <c r="CB286" s="645">
        <f t="shared" si="85"/>
        <v>23</v>
      </c>
      <c r="CC286" s="645">
        <f t="shared" si="82"/>
        <v>7</v>
      </c>
    </row>
    <row r="287" spans="61:81" ht="15" customHeight="1">
      <c r="BI287" s="638" t="s">
        <v>343</v>
      </c>
      <c r="BJ287" s="638">
        <v>11</v>
      </c>
      <c r="BK287" s="638" t="s">
        <v>338</v>
      </c>
      <c r="BL287" s="859">
        <v>0</v>
      </c>
      <c r="BM287" s="859">
        <v>1.6E-2</v>
      </c>
      <c r="BN287" s="653">
        <f t="shared" si="83"/>
        <v>0</v>
      </c>
      <c r="BO287" s="855"/>
      <c r="BP287" s="821">
        <v>0.05</v>
      </c>
      <c r="BQ287" s="690"/>
      <c r="BR287" s="690"/>
      <c r="BS287" s="842" t="str">
        <f t="shared" si="84"/>
        <v/>
      </c>
      <c r="BT287" s="855"/>
      <c r="BU287" s="821">
        <v>0.05</v>
      </c>
      <c r="BX287" s="666" t="str">
        <f t="shared" si="81"/>
        <v>Aug</v>
      </c>
      <c r="BY287" s="643">
        <f>IF(CB287=$CB289,SUMIF($BI277:$BI288,$BX287,$BR277:$BR288),SUMIF($BI277:$BI288,$BX287,$BM277:$BM288))</f>
        <v>1.6E-2</v>
      </c>
      <c r="BZ287" s="821">
        <f>IF(IF(CB287=CB289,SUMIF(BI277:BI288,$BX287,BU277:BU288),SUMIF(BI277:BI288,$BX287,BP277:BP288))=0,NA(),IF(CB287=CB289,SUMIF(BI277:BI288,$BX287,BU277:BU288),SUMIF(BI277:BI288,$BX287,BP277:BP288)))</f>
        <v>0.05</v>
      </c>
      <c r="CA287" s="644">
        <f>IF(IF(CB287=CB289,SUMIF(BI277:BI288,$BX287,BS277:BS288),SUMIF(BI277:BI288,$BX287,BN277:BN288))=0,0,IF(CB287=CB289,SUMIF(BI277:BI288,$BX287,BS277:BS288),SUMIF(BI277:BI288,$BX287,BN277:BN288)))</f>
        <v>0</v>
      </c>
      <c r="CB287" s="645">
        <f t="shared" si="85"/>
        <v>23</v>
      </c>
      <c r="CC287" s="645">
        <f t="shared" si="82"/>
        <v>8</v>
      </c>
    </row>
    <row r="288" spans="61:81" ht="15" customHeight="1">
      <c r="BI288" s="638" t="s">
        <v>344</v>
      </c>
      <c r="BJ288" s="638">
        <v>12</v>
      </c>
      <c r="BK288" s="638" t="s">
        <v>338</v>
      </c>
      <c r="BL288" s="859">
        <v>0</v>
      </c>
      <c r="BM288" s="859">
        <v>4.2000000000000003E-2</v>
      </c>
      <c r="BN288" s="653">
        <f t="shared" si="83"/>
        <v>0</v>
      </c>
      <c r="BO288" s="855"/>
      <c r="BP288" s="821">
        <v>0.05</v>
      </c>
      <c r="BQ288" s="690"/>
      <c r="BR288" s="690"/>
      <c r="BS288" s="842" t="str">
        <f t="shared" si="84"/>
        <v/>
      </c>
      <c r="BT288" s="855"/>
      <c r="BU288" s="821">
        <v>0.05</v>
      </c>
      <c r="BX288" s="666" t="str">
        <f t="shared" si="81"/>
        <v>Sep</v>
      </c>
      <c r="BY288" s="643">
        <f>IF(CB288=$CB289,SUMIF($BI277:$BI288,$BX288,$BR277:$BR288),SUMIF($BI277:$BI288,$BX288,$BM277:$BM288))</f>
        <v>4.2000000000000003E-2</v>
      </c>
      <c r="BZ288" s="821">
        <f>IF(IF(CB288=CB289,SUMIF(BI277:BI288,$BX288,BU277:BU288),SUMIF(BI277:BI288,$BX288,BP277:BP288))=0,NA(),IF(CB288=CB289,SUMIF(BI277:BI288,$BX288,BU277:BU288),SUMIF(BI277:BI288,$BX288,BP277:BP288)))</f>
        <v>0.05</v>
      </c>
      <c r="CA288" s="644">
        <f>IF(IF(CB288=CB289,SUMIF(BI277:BI288,$BX288,BS277:BS288),SUMIF(BI277:BI288,$BX288,BN277:BN288))=0,0,IF(CB288=CB289,SUMIF(BI277:BI288,$BX288,BS277:BS288),SUMIF(BI277:BI288,$BX288,BN277:BN288)))</f>
        <v>0</v>
      </c>
      <c r="CB288" s="645">
        <f t="shared" si="85"/>
        <v>23</v>
      </c>
      <c r="CC288" s="645">
        <f>IF(CC289-1&lt;1,CC289+11,CC289-1)</f>
        <v>9</v>
      </c>
    </row>
    <row r="289" spans="61:81" ht="15" customHeight="1">
      <c r="BI289" s="6"/>
      <c r="BJ289" s="6"/>
      <c r="BK289" s="6"/>
      <c r="BL289" s="6"/>
      <c r="BM289" s="6"/>
      <c r="BN289" s="6"/>
      <c r="BO289" s="6"/>
      <c r="BP289" s="6"/>
      <c r="BQ289" s="6"/>
      <c r="BR289" s="6"/>
      <c r="BS289" s="6"/>
      <c r="BT289" s="6"/>
      <c r="BU289" s="6"/>
      <c r="BW289" s="667" t="str">
        <f>Cover!$M$34</f>
        <v>OCT FY-24</v>
      </c>
      <c r="BX289" s="666" t="str">
        <f>TEXT(CONCATENATE(CC289,"/01/20",CB289),"MMM")</f>
        <v>Oct</v>
      </c>
      <c r="BY289" s="643">
        <f>SUMIF($BI277:$BI288,$BX289,$BR277:$BR288)</f>
        <v>0.02</v>
      </c>
      <c r="BZ289" s="821">
        <f>IF(IF(CB289=CB289,SUMIF(BI277:BI288,$BX289,BU277:BU288),SUMIF(BI277:BI288,$BX289,BP277:BP288))=0,NA(),IF(CB289=CB289,SUMIF(BI277:BI288,$BX289,BU277:BU288),SUMIF(BI277:BI288,$BX289,BP277:BP288)))</f>
        <v>0.05</v>
      </c>
      <c r="CA289" s="644">
        <f>IF(SUMIF($BI277:$BI288,$BX289,$BS277:$BS288)=0,0,SUMIF($BI277:$BI288,$BX289,$BS277:$BS288))</f>
        <v>0.2</v>
      </c>
      <c r="CB289" s="645">
        <f>CB270</f>
        <v>24</v>
      </c>
      <c r="CC289" s="645">
        <f>MONTH(DATEVALUE(LEFT(BW289,3)&amp;" 1"))</f>
        <v>10</v>
      </c>
    </row>
    <row r="290" spans="61:81" ht="15" customHeight="1">
      <c r="BJ290" s="6"/>
      <c r="BK290" s="6"/>
      <c r="BL290" s="6"/>
      <c r="BM290" s="6"/>
      <c r="BN290" s="6"/>
      <c r="BO290" s="6"/>
      <c r="BP290" s="6"/>
      <c r="BQ290" s="6"/>
      <c r="BR290" s="6"/>
      <c r="BS290" s="6"/>
      <c r="BT290" s="6"/>
      <c r="BU290" s="6"/>
    </row>
    <row r="291" spans="61:81" ht="15" customHeight="1">
      <c r="BI291" s="54" t="s">
        <v>292</v>
      </c>
      <c r="BJ291" s="287" t="s">
        <v>157</v>
      </c>
      <c r="BK291" s="287"/>
      <c r="BL291" s="287"/>
      <c r="BM291" s="287"/>
      <c r="BN291" s="287"/>
      <c r="BO291" s="287"/>
      <c r="BP291" s="287"/>
      <c r="BQ291" s="287"/>
      <c r="BR291" s="287"/>
      <c r="BS291" s="287"/>
      <c r="BT291" s="287"/>
      <c r="BU291" s="287"/>
    </row>
    <row r="292" spans="61:81" ht="15" customHeight="1">
      <c r="BI292" s="54" t="s">
        <v>296</v>
      </c>
      <c r="BJ292" s="283" t="s">
        <v>156</v>
      </c>
      <c r="BK292" s="283"/>
      <c r="BL292" s="283"/>
      <c r="BM292" s="283"/>
      <c r="BN292" s="283"/>
      <c r="BO292" s="283"/>
      <c r="BP292" s="283"/>
      <c r="BQ292" s="283"/>
      <c r="BR292" s="283"/>
      <c r="BS292" s="283"/>
      <c r="BT292" s="283"/>
      <c r="BU292" s="283"/>
    </row>
    <row r="293" spans="61:81" ht="15" customHeight="1" thickBot="1">
      <c r="BI293" s="54" t="s">
        <v>300</v>
      </c>
      <c r="BJ293" s="283" t="s">
        <v>472</v>
      </c>
      <c r="BK293" s="283"/>
      <c r="BL293" s="283"/>
      <c r="BM293" s="283"/>
      <c r="BN293" s="283"/>
      <c r="BO293" s="283"/>
      <c r="BP293" s="283"/>
      <c r="BQ293" s="283"/>
      <c r="BR293" s="283"/>
      <c r="BS293" s="283"/>
      <c r="BT293" s="283"/>
      <c r="BU293" s="283"/>
    </row>
    <row r="294" spans="61:81" ht="15" customHeight="1" thickBot="1">
      <c r="BI294" s="1405" t="s">
        <v>452</v>
      </c>
      <c r="BJ294" s="1406"/>
      <c r="BK294" s="1407"/>
      <c r="BL294" s="1405" t="s">
        <v>302</v>
      </c>
      <c r="BM294" s="1406"/>
      <c r="BN294" s="1406"/>
      <c r="BO294" s="1406"/>
      <c r="BP294" s="1407"/>
      <c r="BQ294" s="1405" t="s">
        <v>719</v>
      </c>
      <c r="BR294" s="1406"/>
      <c r="BS294" s="1406"/>
      <c r="BT294" s="1406"/>
      <c r="BU294" s="1407"/>
      <c r="BW294" s="1405" t="s">
        <v>303</v>
      </c>
      <c r="BX294" s="1406"/>
      <c r="BY294" s="1406"/>
      <c r="BZ294" s="1406"/>
      <c r="CA294" s="1406"/>
      <c r="CB294" s="1406"/>
      <c r="CC294" s="1407"/>
    </row>
    <row r="295" spans="61:81" ht="15" customHeight="1">
      <c r="BI295" s="636" t="s">
        <v>23</v>
      </c>
      <c r="BJ295" s="636" t="s">
        <v>37</v>
      </c>
      <c r="BK295" s="636" t="s">
        <v>304</v>
      </c>
      <c r="BL295" s="637" t="s">
        <v>305</v>
      </c>
      <c r="BM295" s="637" t="s">
        <v>310</v>
      </c>
      <c r="BN295" s="637" t="s">
        <v>311</v>
      </c>
      <c r="BO295" s="278" t="s">
        <v>312</v>
      </c>
      <c r="BP295" s="637" t="s">
        <v>313</v>
      </c>
      <c r="BQ295" s="637" t="s">
        <v>305</v>
      </c>
      <c r="BR295" s="637" t="s">
        <v>715</v>
      </c>
      <c r="BS295" s="637" t="s">
        <v>716</v>
      </c>
      <c r="BT295" s="278" t="s">
        <v>717</v>
      </c>
      <c r="BU295" s="637" t="s">
        <v>718</v>
      </c>
      <c r="BW295" s="279" t="s">
        <v>314</v>
      </c>
      <c r="BX295" s="279" t="s">
        <v>23</v>
      </c>
      <c r="BY295" s="280" t="s">
        <v>315</v>
      </c>
      <c r="BZ295" s="279" t="s">
        <v>122</v>
      </c>
      <c r="CA295" s="279" t="s">
        <v>316</v>
      </c>
      <c r="CB295" s="279" t="s">
        <v>317</v>
      </c>
      <c r="CC295" s="279" t="s">
        <v>318</v>
      </c>
    </row>
    <row r="296" spans="61:81" ht="15" customHeight="1">
      <c r="BI296" s="638" t="s">
        <v>319</v>
      </c>
      <c r="BJ296" s="638">
        <v>1</v>
      </c>
      <c r="BK296" s="638" t="s">
        <v>320</v>
      </c>
      <c r="BL296" s="859">
        <v>2.8000000000000001E-2</v>
      </c>
      <c r="BM296" s="869">
        <f>IF(BM258="","",BM258)</f>
        <v>3.1E-2</v>
      </c>
      <c r="BN296" s="653">
        <f>IF(BM296="","",BL296/BM296)</f>
        <v>0.90322580645161288</v>
      </c>
      <c r="BO296" s="289">
        <f>IF(SUM(BM296:BM298=0),0,SUM(BL296:BL298)/SUM(BM296:BM298))</f>
        <v>0.84615384615384603</v>
      </c>
      <c r="BP296" s="819">
        <v>0.8</v>
      </c>
      <c r="BQ296" s="690">
        <v>0.11</v>
      </c>
      <c r="BR296" s="869">
        <f>IF(BR258="","",BR258)</f>
        <v>0.16</v>
      </c>
      <c r="BS296" s="842">
        <f>IF(BR296="","",BQ296/BR296)</f>
        <v>0.6875</v>
      </c>
      <c r="BT296" s="289">
        <f>IF(SUM(BR296:BR298=""),0,SUM(BQ296:BQ298)/SUM(BR296:BR298))</f>
        <v>0.6875</v>
      </c>
      <c r="BU296" s="821">
        <v>0.8</v>
      </c>
      <c r="BX296" s="666" t="str">
        <f t="shared" ref="BX296:BX307" si="86">TEXT(CONCATENATE(CC296,"/01/20",CB296),"MMM")</f>
        <v>Oct</v>
      </c>
      <c r="BY296" s="643">
        <f>IF(CB296=$CB308,SUMIF($BI296:$BI307,$BX296,$BR296:$BR307),SUMIF($BI296:$BI307,$BX296,$BM296:$BM307))</f>
        <v>3.1E-2</v>
      </c>
      <c r="BZ296" s="821">
        <f>IF(IF(CB296=CB308,SUMIF(BI296:BI307,$BX296,BU296:BU307),SUMIF(BI296:BI307,$BX296,BP296:BP307))=0,NA(),IF(CB296=CB308,SUMIF(BI296:BI307,$BX296,BU296:BU307),SUMIF(BI296:BI307,$BX296,BP296:BP307)))</f>
        <v>0.8</v>
      </c>
      <c r="CA296" s="644">
        <f>IF(IF(CB296=CB308,SUMIF(BI296:BI307,$BX296,BS296:BS307),SUMIF(BI296:BI307,$BX296,BN296:BN307))=0,NA(),IF(CB296=CB308,SUMIF(BI296:BI307,$BX296,BS296:BS307),SUMIF(BI296:BI307,$BX296,BN296:BN307)))</f>
        <v>0.90322580645161288</v>
      </c>
      <c r="CB296" s="645">
        <f>CB277</f>
        <v>23</v>
      </c>
      <c r="CC296" s="645">
        <f t="shared" ref="CC296:CC306" si="87">IF(CC297-1&lt;1,CC297+11,CC297-1)</f>
        <v>10</v>
      </c>
    </row>
    <row r="297" spans="61:81" ht="15" customHeight="1">
      <c r="BI297" s="638" t="s">
        <v>321</v>
      </c>
      <c r="BJ297" s="638">
        <v>2</v>
      </c>
      <c r="BK297" s="638" t="s">
        <v>320</v>
      </c>
      <c r="BL297" s="859">
        <v>1.7000000000000001E-2</v>
      </c>
      <c r="BM297" s="869">
        <f t="shared" ref="BM297:BM306" si="88">IF(BM259="","",BM259)</f>
        <v>2.1000000000000001E-2</v>
      </c>
      <c r="BN297" s="653">
        <f t="shared" ref="BN297:BN307" si="89">IF(BM297="","",BL297/BM297)</f>
        <v>0.80952380952380953</v>
      </c>
      <c r="BO297" s="855"/>
      <c r="BP297" s="819">
        <v>0.8</v>
      </c>
      <c r="BQ297" s="690"/>
      <c r="BR297" s="869" t="str">
        <f t="shared" ref="BR297:BR306" si="90">IF(BR259="","",BR259)</f>
        <v/>
      </c>
      <c r="BS297" s="842" t="str">
        <f t="shared" ref="BS297:BS307" si="91">IF(BR297="","",BQ297/BR297)</f>
        <v/>
      </c>
      <c r="BT297" s="855"/>
      <c r="BU297" s="821">
        <v>0.8</v>
      </c>
      <c r="BX297" s="666" t="str">
        <f t="shared" si="86"/>
        <v>Nov</v>
      </c>
      <c r="BY297" s="643">
        <f>IF(CB297=$CB308,SUMIF($BI296:$BI307,$BX297,$BR296:$BR307),SUMIF($BI296:$BI307,$BX297,$BM296:$BM307))</f>
        <v>2.1000000000000001E-2</v>
      </c>
      <c r="BZ297" s="821">
        <f>IF(IF(CB297=CB308,SUMIF(BI296:BI307,$BX297,BU296:BU307),SUMIF(BI296:BI307,$BX297,BP296:BP307))=0,NA(),IF(CB297=CB308,SUMIF(BI296:BI307,$BX297,BU296:BU307),SUMIF(BI296:BI307,$BX297,BP296:BP307)))</f>
        <v>0.8</v>
      </c>
      <c r="CA297" s="644">
        <f>IF(IF(CB297=CB308,SUMIF(BI296:BI307,$BX297,BS296:BS307),SUMIF(BI296:BI307,$BX297,BN296:BN307))=0,NA(),IF(CB297=CB308,SUMIF(BI296:BI307,$BX297,BS296:BS307),SUMIF(BI296:BI307,$BX297,BN296:BN307)))</f>
        <v>0.80952380952380953</v>
      </c>
      <c r="CB297" s="645">
        <f t="shared" ref="CB297:CB307" si="92">CB278</f>
        <v>23</v>
      </c>
      <c r="CC297" s="645">
        <f t="shared" si="87"/>
        <v>11</v>
      </c>
    </row>
    <row r="298" spans="61:81" ht="15" customHeight="1">
      <c r="BI298" s="638" t="s">
        <v>322</v>
      </c>
      <c r="BJ298" s="638">
        <v>3</v>
      </c>
      <c r="BK298" s="638" t="s">
        <v>320</v>
      </c>
      <c r="BL298" s="859">
        <v>4.2999999999999997E-2</v>
      </c>
      <c r="BM298" s="869">
        <f t="shared" si="88"/>
        <v>5.1999999999999998E-2</v>
      </c>
      <c r="BN298" s="653">
        <f t="shared" si="89"/>
        <v>0.82692307692307687</v>
      </c>
      <c r="BO298" s="855"/>
      <c r="BP298" s="819">
        <v>0.8</v>
      </c>
      <c r="BQ298" s="690"/>
      <c r="BR298" s="869" t="str">
        <f t="shared" si="90"/>
        <v/>
      </c>
      <c r="BS298" s="842" t="str">
        <f t="shared" si="91"/>
        <v/>
      </c>
      <c r="BT298" s="855"/>
      <c r="BU298" s="821">
        <v>0.8</v>
      </c>
      <c r="BX298" s="666" t="str">
        <f t="shared" si="86"/>
        <v>Dec</v>
      </c>
      <c r="BY298" s="643">
        <f>IF(CB298=$CB308,SUMIF($BI296:$BI307,$BX298,$BR296:$BR307),SUMIF($BI296:$BI307,$BX298,$BM296:$BM307))</f>
        <v>5.1999999999999998E-2</v>
      </c>
      <c r="BZ298" s="821">
        <f>IF(IF(CB298=CB308,SUMIF(BI296:BI307,$BX298,BU296:BU307),SUMIF(BI296:BI307,$BX298,BP296:BP307))=0,NA(),IF(CB298=CB308,SUMIF(BI296:BI307,$BX298,BU296:BU307),SUMIF(BI296:BI307,$BX298,BP296:BP307)))</f>
        <v>0.8</v>
      </c>
      <c r="CA298" s="644">
        <f>IF(IF(CB298=CB308,SUMIF(BI296:BI307,$BX298,BS296:BS307),SUMIF(BI296:BI307,$BX298,BN296:BN307))=0,NA(),IF(CB298=CB308,SUMIF(BI296:BI307,$BX298,BS296:BS307),SUMIF(BI296:BI307,$BX298,BN296:BN307)))</f>
        <v>0.82692307692307687</v>
      </c>
      <c r="CB298" s="645">
        <f t="shared" si="92"/>
        <v>23</v>
      </c>
      <c r="CC298" s="645">
        <f t="shared" si="87"/>
        <v>12</v>
      </c>
    </row>
    <row r="299" spans="61:81" ht="15" customHeight="1">
      <c r="BI299" s="638" t="s">
        <v>323</v>
      </c>
      <c r="BJ299" s="638">
        <v>4</v>
      </c>
      <c r="BK299" s="638" t="s">
        <v>324</v>
      </c>
      <c r="BL299" s="859">
        <v>1.4E-2</v>
      </c>
      <c r="BM299" s="869">
        <f t="shared" si="88"/>
        <v>1.7000000000000001E-2</v>
      </c>
      <c r="BN299" s="653">
        <f t="shared" si="89"/>
        <v>0.82352941176470584</v>
      </c>
      <c r="BO299" s="289">
        <f>IF(SUM(BM299:BM301=0),0,SUM(BL299:BL301)/SUM(BM299:BM301))</f>
        <v>0.88950276243093929</v>
      </c>
      <c r="BP299" s="819">
        <v>0.8</v>
      </c>
      <c r="BQ299" s="690"/>
      <c r="BR299" s="869" t="str">
        <f t="shared" si="90"/>
        <v/>
      </c>
      <c r="BS299" s="842" t="str">
        <f t="shared" si="91"/>
        <v/>
      </c>
      <c r="BT299" s="289">
        <f>IF(SUM(BR299:BR301=""),0,SUM(BQ299:BQ301)/SUM(BR299:BR301))</f>
        <v>0</v>
      </c>
      <c r="BU299" s="821">
        <v>0.8</v>
      </c>
      <c r="BX299" s="666" t="str">
        <f t="shared" si="86"/>
        <v>Jan</v>
      </c>
      <c r="BY299" s="643">
        <f>IF(CB299=$CB308,SUMIF($BI296:$BI307,$BX299,$BR296:$BR307),SUMIF($BI296:$BI307,$BX299,$BM296:$BM307))</f>
        <v>1.7000000000000001E-2</v>
      </c>
      <c r="BZ299" s="821">
        <f>IF(IF(CB299=CB308,SUMIF(BI296:BI307,$BX299,BU296:BU307),SUMIF(BI296:BI307,$BX299,BP296:BP307))=0,NA(),IF(CB299=CB308,SUMIF(BI296:BI307,$BX299,BU296:BU307),SUMIF(BI296:BI307,$BX299,BP296:BP307)))</f>
        <v>0.8</v>
      </c>
      <c r="CA299" s="644">
        <f>IF(IF(CB299=CB308,SUMIF(BI296:BI307,$BX299,BS296:BS307),SUMIF(BI296:BI307,$BX299,BN296:BN307))=0,NA(),IF(CB299=CB308,SUMIF(BI296:BI307,$BX299,BS296:BS307),SUMIF(BI296:BI307,$BX299,BN296:BN307)))</f>
        <v>0.82352941176470584</v>
      </c>
      <c r="CB299" s="645">
        <f t="shared" si="92"/>
        <v>23</v>
      </c>
      <c r="CC299" s="645">
        <f t="shared" si="87"/>
        <v>1</v>
      </c>
    </row>
    <row r="300" spans="61:81" ht="15" customHeight="1">
      <c r="BI300" s="638" t="s">
        <v>325</v>
      </c>
      <c r="BJ300" s="638">
        <v>5</v>
      </c>
      <c r="BK300" s="638" t="s">
        <v>324</v>
      </c>
      <c r="BL300" s="859">
        <v>9.2999999999999999E-2</v>
      </c>
      <c r="BM300" s="869">
        <f>IF(BM262="","",BM262)</f>
        <v>0.105</v>
      </c>
      <c r="BN300" s="653">
        <f t="shared" si="89"/>
        <v>0.88571428571428579</v>
      </c>
      <c r="BO300" s="855"/>
      <c r="BP300" s="819">
        <v>0.8</v>
      </c>
      <c r="BQ300" s="690"/>
      <c r="BR300" s="869" t="str">
        <f t="shared" si="90"/>
        <v/>
      </c>
      <c r="BS300" s="842" t="str">
        <f t="shared" si="91"/>
        <v/>
      </c>
      <c r="BT300" s="855"/>
      <c r="BU300" s="821">
        <v>0.8</v>
      </c>
      <c r="BX300" s="666" t="str">
        <f t="shared" si="86"/>
        <v>Feb</v>
      </c>
      <c r="BY300" s="643">
        <f>IF(CB300=$CB308,SUMIF($BI296:$BI307,$BX300,$BR296:$BR307),SUMIF($BI296:$BI307,$BX300,$BM296:$BM307))</f>
        <v>0.105</v>
      </c>
      <c r="BZ300" s="821">
        <f>IF(IF(CB300=CB308,SUMIF(BI296:BI307,$BX300,BU296:BU307),SUMIF(BI296:BI307,$BX300,BP296:BP307))=0,NA(),IF(CB300=CB308,SUMIF(BI296:BI307,$BX300,BU296:BU307),SUMIF(BI296:BI307,$BX300,BP296:BP307)))</f>
        <v>0.8</v>
      </c>
      <c r="CA300" s="644">
        <f>IF(IF(CB300=CB308,SUMIF(BI296:BI307,$BX300,BS296:BS307),SUMIF(BI296:BI307,$BX300,BN296:BN307))=0,NA(),IF(CB300=CB308,SUMIF(BI296:BI307,$BX300,BS296:BS307),SUMIF(BI296:BI307,$BX300,BN296:BN307)))</f>
        <v>0.88571428571428579</v>
      </c>
      <c r="CB300" s="645">
        <f t="shared" si="92"/>
        <v>23</v>
      </c>
      <c r="CC300" s="645">
        <f t="shared" si="87"/>
        <v>2</v>
      </c>
    </row>
    <row r="301" spans="61:81" ht="15" customHeight="1">
      <c r="BI301" s="638" t="s">
        <v>326</v>
      </c>
      <c r="BJ301" s="638">
        <v>6</v>
      </c>
      <c r="BK301" s="638" t="s">
        <v>324</v>
      </c>
      <c r="BL301" s="859">
        <v>5.3999999999999999E-2</v>
      </c>
      <c r="BM301" s="869">
        <f t="shared" si="88"/>
        <v>5.8999999999999997E-2</v>
      </c>
      <c r="BN301" s="653">
        <f t="shared" si="89"/>
        <v>0.9152542372881356</v>
      </c>
      <c r="BO301" s="855"/>
      <c r="BP301" s="819">
        <v>0.8</v>
      </c>
      <c r="BQ301" s="690"/>
      <c r="BR301" s="869" t="str">
        <f t="shared" si="90"/>
        <v/>
      </c>
      <c r="BS301" s="842" t="str">
        <f t="shared" si="91"/>
        <v/>
      </c>
      <c r="BT301" s="855"/>
      <c r="BU301" s="821">
        <v>0.8</v>
      </c>
      <c r="BX301" s="666" t="str">
        <f t="shared" si="86"/>
        <v>Mar</v>
      </c>
      <c r="BY301" s="643">
        <f>IF(CB301=$CB308,SUMIF($BI296:$BI307,$BX301,$BR296:$BR307),SUMIF($BI296:$BI307,$BX301,$BM296:$BM307))</f>
        <v>5.8999999999999997E-2</v>
      </c>
      <c r="BZ301" s="821">
        <f>IF(IF(CB301=CB308,SUMIF(BI296:BI307,$BX301,BU296:BU307),SUMIF(BI296:BI307,$BX301,BP296:BP307))=0,NA(),IF(CB301=CB308,SUMIF(BI296:BI307,$BX301,BU296:BU307),SUMIF(BI296:BI307,$BX301,BP296:BP307)))</f>
        <v>0.8</v>
      </c>
      <c r="CA301" s="644">
        <f>IF(IF(CB301=CB308,SUMIF(BI296:BI307,$BX301,BS296:BS307),SUMIF(BI296:BI307,$BX301,BN296:BN307))=0,NA(),IF(CB301=CB308,SUMIF(BI296:BI307,$BX301,BS296:BS307),SUMIF(BI296:BI307,$BX301,BN296:BN307)))</f>
        <v>0.9152542372881356</v>
      </c>
      <c r="CB301" s="645">
        <f t="shared" si="92"/>
        <v>23</v>
      </c>
      <c r="CC301" s="645">
        <f t="shared" si="87"/>
        <v>3</v>
      </c>
    </row>
    <row r="302" spans="61:81" ht="15" customHeight="1">
      <c r="BI302" s="638" t="s">
        <v>327</v>
      </c>
      <c r="BJ302" s="638">
        <v>7</v>
      </c>
      <c r="BK302" s="638" t="s">
        <v>328</v>
      </c>
      <c r="BL302" s="859">
        <v>1.7000000000000001E-2</v>
      </c>
      <c r="BM302" s="869">
        <f t="shared" si="88"/>
        <v>1.7000000000000001E-2</v>
      </c>
      <c r="BN302" s="653">
        <f t="shared" si="89"/>
        <v>1</v>
      </c>
      <c r="BO302" s="289">
        <f>IF(SUM(BM302:BM304=0),0,SUM(BL302:BL304)/SUM(BM302:BM304))</f>
        <v>0.95454545454545447</v>
      </c>
      <c r="BP302" s="819">
        <v>0.8</v>
      </c>
      <c r="BQ302" s="690"/>
      <c r="BR302" s="869" t="str">
        <f t="shared" si="90"/>
        <v/>
      </c>
      <c r="BS302" s="842" t="str">
        <f t="shared" si="91"/>
        <v/>
      </c>
      <c r="BT302" s="289">
        <f>IF(SUM(BR302:BR304=""),0,SUM(BQ302:BQ304)/SUM(BR302:BR304))</f>
        <v>0</v>
      </c>
      <c r="BU302" s="821">
        <v>0.8</v>
      </c>
      <c r="BX302" s="666" t="str">
        <f t="shared" si="86"/>
        <v>Apr</v>
      </c>
      <c r="BY302" s="643">
        <f>IF(CB302=$CB308,SUMIF($BI296:$BI307,$BX302,$BR296:$BR307),SUMIF($BI296:$BI307,$BX302,$BM296:$BM307))</f>
        <v>1.7000000000000001E-2</v>
      </c>
      <c r="BZ302" s="821">
        <f>IF(IF(CB302=CB308,SUMIF(BI296:BI307,$BX302,BU296:BU307),SUMIF(BI296:BI307,$BX302,BP296:BP307))=0,NA(),IF(CB302=CB308,SUMIF(BI296:BI307,$BX302,BU296:BU307),SUMIF(BI296:BI307,$BX302,BP296:BP307)))</f>
        <v>0.8</v>
      </c>
      <c r="CA302" s="644">
        <f>IF(IF(CB302=CB308,SUMIF(BI296:BI307,$BX302,BS296:BS307),SUMIF(BI296:BI307,$BX302,BN296:BN307))=0,NA(),IF(CB302=CB308,SUMIF(BI296:BI307,$BX302,BS296:BS307),SUMIF(BI296:BI307,$BX302,BN296:BN307)))</f>
        <v>1</v>
      </c>
      <c r="CB302" s="645">
        <f t="shared" si="92"/>
        <v>23</v>
      </c>
      <c r="CC302" s="645">
        <f t="shared" si="87"/>
        <v>4</v>
      </c>
    </row>
    <row r="303" spans="61:81" ht="15" customHeight="1">
      <c r="BI303" s="638" t="s">
        <v>329</v>
      </c>
      <c r="BJ303" s="638">
        <v>8</v>
      </c>
      <c r="BK303" s="638" t="s">
        <v>328</v>
      </c>
      <c r="BL303" s="859">
        <v>1.4E-2</v>
      </c>
      <c r="BM303" s="869">
        <f t="shared" si="88"/>
        <v>1.4999999999999999E-2</v>
      </c>
      <c r="BN303" s="653">
        <f t="shared" si="89"/>
        <v>0.93333333333333335</v>
      </c>
      <c r="BO303" s="855"/>
      <c r="BP303" s="819">
        <v>0.8</v>
      </c>
      <c r="BQ303" s="690"/>
      <c r="BR303" s="869" t="str">
        <f t="shared" si="90"/>
        <v/>
      </c>
      <c r="BS303" s="842" t="str">
        <f t="shared" si="91"/>
        <v/>
      </c>
      <c r="BT303" s="855"/>
      <c r="BU303" s="821">
        <v>0.8</v>
      </c>
      <c r="BX303" s="666" t="str">
        <f t="shared" si="86"/>
        <v>May</v>
      </c>
      <c r="BY303" s="643">
        <f>IF(CB303=$CB308,SUMIF($BI296:$BI307,$BX303,$BR296:$BR307),SUMIF($BI296:$BI307,$BX303,$BM296:$BM307))</f>
        <v>1.4999999999999999E-2</v>
      </c>
      <c r="BZ303" s="821">
        <f>IF(IF(CB303=CB308,SUMIF(BI296:BI307,$BX303,BU296:BU307),SUMIF(BI296:BI307,$BX303,BP296:BP307))=0,NA(),IF(CB303=CB308,SUMIF(BI296:BI307,$BX303,BU296:BU307),SUMIF(BI296:BI307,$BX303,BP296:BP307)))</f>
        <v>0.8</v>
      </c>
      <c r="CA303" s="644">
        <f>IF(IF(CB303=CB308,SUMIF(BI296:BI307,$BX303,BS296:BS307),SUMIF(BI296:BI307,$BX303,BN296:BN307))=0,NA(),IF(CB303=CB308,SUMIF(BI296:BI307,$BX303,BS296:BS307),SUMIF(BI296:BI307,$BX303,BN296:BN307)))</f>
        <v>0.93333333333333335</v>
      </c>
      <c r="CB303" s="645">
        <f t="shared" si="92"/>
        <v>23</v>
      </c>
      <c r="CC303" s="645">
        <f t="shared" si="87"/>
        <v>5</v>
      </c>
    </row>
    <row r="304" spans="61:81" ht="15" customHeight="1">
      <c r="BI304" s="638" t="s">
        <v>331</v>
      </c>
      <c r="BJ304" s="638">
        <v>9</v>
      </c>
      <c r="BK304" s="638" t="s">
        <v>328</v>
      </c>
      <c r="BL304" s="859">
        <v>1.0999999999999999E-2</v>
      </c>
      <c r="BM304" s="869">
        <f t="shared" si="88"/>
        <v>1.2E-2</v>
      </c>
      <c r="BN304" s="653">
        <f t="shared" si="89"/>
        <v>0.91666666666666663</v>
      </c>
      <c r="BO304" s="855"/>
      <c r="BP304" s="819">
        <v>0.8</v>
      </c>
      <c r="BQ304" s="690"/>
      <c r="BR304" s="869" t="str">
        <f t="shared" si="90"/>
        <v/>
      </c>
      <c r="BS304" s="842" t="str">
        <f t="shared" si="91"/>
        <v/>
      </c>
      <c r="BT304" s="855"/>
      <c r="BU304" s="821">
        <v>0.8</v>
      </c>
      <c r="BX304" s="666" t="str">
        <f t="shared" si="86"/>
        <v>Jun</v>
      </c>
      <c r="BY304" s="643">
        <f>IF(CB304=$CB308,SUMIF($BI296:$BI307,$BX304,$BR296:$BR307),SUMIF($BI296:$BI307,$BX304,$BM296:$BM307))</f>
        <v>1.2E-2</v>
      </c>
      <c r="BZ304" s="821">
        <f>IF(IF(CB304=CB308,SUMIF(BI296:BI307,$BX304,BU296:BU307),SUMIF(BI296:BI307,$BX304,BP296:BP307))=0,NA(),IF(CB304=CB308,SUMIF(BI296:BI307,$BX304,BU296:BU307),SUMIF(BI296:BI307,$BX304,BP296:BP307)))</f>
        <v>0.8</v>
      </c>
      <c r="CA304" s="644">
        <f>IF(IF(CB304=CB308,SUMIF(BI296:BI307,$BX304,BS296:BS307),SUMIF(BI296:BI307,$BX304,BN296:BN307))=0,NA(),IF(CB304=CB308,SUMIF(BI296:BI307,$BX304,BS296:BS307),SUMIF(BI296:BI307,$BX304,BN296:BN307)))</f>
        <v>0.91666666666666663</v>
      </c>
      <c r="CB304" s="645">
        <f t="shared" si="92"/>
        <v>23</v>
      </c>
      <c r="CC304" s="645">
        <f t="shared" si="87"/>
        <v>6</v>
      </c>
    </row>
    <row r="305" spans="61:81" ht="15" customHeight="1">
      <c r="BI305" s="638" t="s">
        <v>337</v>
      </c>
      <c r="BJ305" s="638">
        <v>10</v>
      </c>
      <c r="BK305" s="638" t="s">
        <v>338</v>
      </c>
      <c r="BL305" s="859">
        <v>1.7999999999999999E-2</v>
      </c>
      <c r="BM305" s="869">
        <f>IF(BM267="","",BM267)</f>
        <v>0.02</v>
      </c>
      <c r="BN305" s="653">
        <f t="shared" si="89"/>
        <v>0.89999999999999991</v>
      </c>
      <c r="BO305" s="289">
        <f>IF(SUM(BM305:BM307=0),0,SUM(BL305:BL307)/SUM(BM305:BM307))</f>
        <v>0.82051282051282037</v>
      </c>
      <c r="BP305" s="819">
        <v>0.8</v>
      </c>
      <c r="BQ305" s="690"/>
      <c r="BR305" s="869" t="str">
        <f t="shared" si="90"/>
        <v/>
      </c>
      <c r="BS305" s="842" t="str">
        <f t="shared" si="91"/>
        <v/>
      </c>
      <c r="BT305" s="289">
        <f>IF(SUM(BR305:BR307=""),0,SUM(BQ305:BQ307)/SUM(BR305:BR307))</f>
        <v>0</v>
      </c>
      <c r="BU305" s="821">
        <v>0.8</v>
      </c>
      <c r="BX305" s="666" t="str">
        <f t="shared" si="86"/>
        <v>Jul</v>
      </c>
      <c r="BY305" s="643">
        <f>IF(CB305=$CB308,SUMIF($BI296:$BI307,$BX305,$BR296:$BR307),SUMIF($BI296:$BI307,$BX305,$BM296:$BM307))</f>
        <v>0.02</v>
      </c>
      <c r="BZ305" s="821">
        <f>IF(IF(CB305=CB308,SUMIF(BI296:BI307,$BX305,BU296:BU307),SUMIF(BI296:BI307,$BX305,BP296:BP307))=0,NA(),IF(CB305=CB308,SUMIF(BI296:BI307,$BX305,BU296:BU307),SUMIF(BI296:BI307,$BX305,BP296:BP307)))</f>
        <v>0.8</v>
      </c>
      <c r="CA305" s="644">
        <f>IF(IF(CB305=CB308,SUMIF(BI296:BI307,$BX305,BS296:BS307),SUMIF(BI296:BI307,$BX305,BN296:BN307))=0,NA(),IF(CB305=CB308,SUMIF(BI296:BI307,$BX305,BS296:BS307),SUMIF(BI296:BI307,$BX305,BN296:BN307)))</f>
        <v>0.89999999999999991</v>
      </c>
      <c r="CB305" s="645">
        <f t="shared" si="92"/>
        <v>23</v>
      </c>
      <c r="CC305" s="645">
        <f t="shared" si="87"/>
        <v>7</v>
      </c>
    </row>
    <row r="306" spans="61:81" ht="15" customHeight="1">
      <c r="BI306" s="638" t="s">
        <v>343</v>
      </c>
      <c r="BJ306" s="638">
        <v>11</v>
      </c>
      <c r="BK306" s="638" t="s">
        <v>338</v>
      </c>
      <c r="BL306" s="859">
        <v>1.2E-2</v>
      </c>
      <c r="BM306" s="869">
        <f t="shared" si="88"/>
        <v>1.6E-2</v>
      </c>
      <c r="BN306" s="653">
        <f t="shared" si="89"/>
        <v>0.75</v>
      </c>
      <c r="BO306" s="855"/>
      <c r="BP306" s="819">
        <v>0.8</v>
      </c>
      <c r="BQ306" s="690"/>
      <c r="BR306" s="869" t="str">
        <f t="shared" si="90"/>
        <v/>
      </c>
      <c r="BS306" s="842" t="str">
        <f t="shared" si="91"/>
        <v/>
      </c>
      <c r="BT306" s="855"/>
      <c r="BU306" s="821">
        <v>0.8</v>
      </c>
      <c r="BX306" s="666" t="str">
        <f t="shared" si="86"/>
        <v>Aug</v>
      </c>
      <c r="BY306" s="643">
        <f>IF(CB306=$CB308,SUMIF($BI296:$BI307,$BX306,$BR296:$BR307),SUMIF($BI296:$BI307,$BX306,$BM296:$BM307))</f>
        <v>1.6E-2</v>
      </c>
      <c r="BZ306" s="821">
        <f>IF(IF(CB306=CB308,SUMIF(BI296:BI307,$BX306,BU296:BU307),SUMIF(BI296:BI307,$BX306,BP296:BP307))=0,NA(),IF(CB306=CB308,SUMIF(BI296:BI307,$BX306,BU296:BU307),SUMIF(BI296:BI307,$BX306,BP296:BP307)))</f>
        <v>0.8</v>
      </c>
      <c r="CA306" s="644">
        <f>IF(IF(CB306=CB308,SUMIF(BI296:BI307,$BX306,BS296:BS307),SUMIF(BI296:BI307,$BX306,BN296:BN307))=0,NA(),IF(CB306=CB308,SUMIF(BI296:BI307,$BX306,BS296:BS307),SUMIF(BI296:BI307,$BX306,BN296:BN307)))</f>
        <v>0.75</v>
      </c>
      <c r="CB306" s="645">
        <f t="shared" si="92"/>
        <v>23</v>
      </c>
      <c r="CC306" s="645">
        <f t="shared" si="87"/>
        <v>8</v>
      </c>
    </row>
    <row r="307" spans="61:81" ht="15" customHeight="1">
      <c r="BI307" s="638" t="s">
        <v>344</v>
      </c>
      <c r="BJ307" s="638">
        <v>12</v>
      </c>
      <c r="BK307" s="638" t="s">
        <v>338</v>
      </c>
      <c r="BL307" s="859">
        <v>3.4000000000000002E-2</v>
      </c>
      <c r="BM307" s="869">
        <f>IF(BM269="","",BM269)</f>
        <v>4.2000000000000003E-2</v>
      </c>
      <c r="BN307" s="653">
        <f t="shared" si="89"/>
        <v>0.80952380952380953</v>
      </c>
      <c r="BO307" s="855"/>
      <c r="BP307" s="819">
        <v>0.8</v>
      </c>
      <c r="BQ307" s="690"/>
      <c r="BR307" s="869" t="str">
        <f>IF(BR269="","",BR269)</f>
        <v/>
      </c>
      <c r="BS307" s="842" t="str">
        <f t="shared" si="91"/>
        <v/>
      </c>
      <c r="BT307" s="855"/>
      <c r="BU307" s="821">
        <v>0.8</v>
      </c>
      <c r="BX307" s="666" t="str">
        <f t="shared" si="86"/>
        <v>Sep</v>
      </c>
      <c r="BY307" s="643">
        <f>IF(CB307=$CB308,SUMIF($BI296:$BI307,$BX307,$BR296:$BR307),SUMIF($BI296:$BI307,$BX307,$BM296:$BM307))</f>
        <v>4.2000000000000003E-2</v>
      </c>
      <c r="BZ307" s="821">
        <f>IF(IF(CB307=CB308,SUMIF(BI296:BI307,$BX307,BU296:BU307),SUMIF(BI296:BI307,$BX307,BP296:BP307))=0,NA(),IF(CB307=CB308,SUMIF(BI296:BI307,$BX307,BU296:BU307),SUMIF(BI296:BI307,$BX307,BP296:BP307)))</f>
        <v>0.8</v>
      </c>
      <c r="CA307" s="644">
        <f>IF(IF(CB307=CB308,SUMIF(BI296:BI307,$BX307,BS296:BS307),SUMIF(BI296:BI307,$BX307,BN296:BN307))=0,NA(),IF(CB307=CB308,SUMIF(BI296:BI307,$BX307,BS296:BS307),SUMIF(BI296:BI307,$BX307,BN296:BN307)))</f>
        <v>0.80952380952380953</v>
      </c>
      <c r="CB307" s="645">
        <f t="shared" si="92"/>
        <v>23</v>
      </c>
      <c r="CC307" s="645">
        <f>IF(CC308-1&lt;1,CC308+11,CC308-1)</f>
        <v>9</v>
      </c>
    </row>
    <row r="308" spans="61:81" ht="15" customHeight="1">
      <c r="BW308" s="667" t="str">
        <f>Cover!$M$34</f>
        <v>OCT FY-24</v>
      </c>
      <c r="BX308" s="666" t="str">
        <f>TEXT(CONCATENATE(CC308,"/01/20",CB308),"MMM")</f>
        <v>Oct</v>
      </c>
      <c r="BY308" s="643">
        <f>SUMIF($BI296:$BI307,$BX308,$BR296:$BR307)</f>
        <v>0.16</v>
      </c>
      <c r="BZ308" s="821">
        <f>IF(IF(CB308=CB308,SUMIF(BI296:BI307,$BX308,BU296:BU307),SUMIF(BI296:BI307,$BX308,BP296:BP307))=0,NA(),IF(CB308=CB308,SUMIF(BI296:BI307,$BX308,BU296:BU307),SUMIF(BI296:BI307,$BX308,BP296:BP307)))</f>
        <v>0.8</v>
      </c>
      <c r="CA308" s="644">
        <f>IF(SUMIF($BI296:$BI307,$BX308,$BS296:$BS307)=0,NA(),SUMIF($BI296:$BI307,$BX308,$BS296:$BS307))</f>
        <v>0.6875</v>
      </c>
      <c r="CB308" s="645">
        <f>CB289</f>
        <v>24</v>
      </c>
      <c r="CC308" s="645">
        <f>MONTH(DATEVALUE(LEFT(BW308,3)&amp;" 1"))</f>
        <v>10</v>
      </c>
    </row>
    <row r="309" spans="61:81" ht="15" customHeight="1">
      <c r="BJ309" s="6"/>
      <c r="BK309" s="6"/>
      <c r="BL309" s="6"/>
      <c r="BM309" s="6"/>
      <c r="BN309" s="6"/>
      <c r="BO309" s="6"/>
      <c r="BP309" s="6"/>
      <c r="BQ309" s="6"/>
      <c r="BR309" s="6"/>
      <c r="BS309" s="6"/>
      <c r="BT309" s="6"/>
      <c r="BU309" s="6"/>
      <c r="BV309" s="6"/>
    </row>
    <row r="310" spans="61:81" ht="15" customHeight="1">
      <c r="BI310" s="272" t="s">
        <v>245</v>
      </c>
      <c r="BJ310" s="276"/>
      <c r="BK310" s="276"/>
      <c r="BL310" s="276"/>
      <c r="BM310" s="276"/>
      <c r="BN310" s="276"/>
      <c r="BO310" s="276"/>
      <c r="BP310" s="276"/>
      <c r="BQ310" s="276"/>
      <c r="BR310" s="276"/>
      <c r="BS310" s="276"/>
      <c r="BT310" s="276"/>
      <c r="BU310" s="276"/>
    </row>
    <row r="311" spans="61:81" ht="15" customHeight="1">
      <c r="BI311" s="54" t="s">
        <v>292</v>
      </c>
      <c r="BJ311" s="1116" t="s">
        <v>463</v>
      </c>
      <c r="BK311" s="1116"/>
      <c r="BL311" s="1116"/>
      <c r="BM311" s="1116"/>
      <c r="BN311" s="1116"/>
      <c r="BO311" s="1116"/>
      <c r="BP311" s="1116"/>
      <c r="BQ311" s="1116"/>
      <c r="BR311" s="1116"/>
      <c r="BS311" s="1116"/>
      <c r="BT311" s="1116"/>
      <c r="BU311" s="1116"/>
    </row>
    <row r="312" spans="61:81" ht="15" customHeight="1">
      <c r="BI312" s="54" t="s">
        <v>296</v>
      </c>
      <c r="BJ312" s="1233" t="s">
        <v>461</v>
      </c>
      <c r="BK312" s="1233"/>
      <c r="BL312" s="1233"/>
      <c r="BM312" s="1233"/>
      <c r="BN312" s="1233"/>
      <c r="BO312" s="1233"/>
      <c r="BP312" s="1233"/>
      <c r="BQ312" s="1233"/>
      <c r="BR312" s="1233"/>
      <c r="BS312" s="1233"/>
      <c r="BT312" s="1233"/>
      <c r="BU312" s="1233"/>
    </row>
    <row r="313" spans="61:81" ht="15" customHeight="1" thickBot="1">
      <c r="BI313" s="54" t="s">
        <v>300</v>
      </c>
      <c r="BJ313" s="1222" t="s">
        <v>462</v>
      </c>
      <c r="BK313" s="1222"/>
      <c r="BL313" s="1222"/>
      <c r="BM313" s="1222"/>
      <c r="BN313" s="1222"/>
      <c r="BO313" s="1222"/>
      <c r="BP313" s="1222"/>
      <c r="BQ313" s="1222"/>
      <c r="BR313" s="1222"/>
      <c r="BS313" s="1222"/>
      <c r="BT313" s="1222"/>
      <c r="BU313" s="1222"/>
    </row>
    <row r="314" spans="61:81" ht="15" customHeight="1" thickBot="1">
      <c r="BI314" s="1402" t="s">
        <v>453</v>
      </c>
      <c r="BJ314" s="1403"/>
      <c r="BK314" s="1404"/>
      <c r="BL314" s="1402" t="s">
        <v>302</v>
      </c>
      <c r="BM314" s="1403"/>
      <c r="BN314" s="1403"/>
      <c r="BO314" s="1403"/>
      <c r="BP314" s="1404"/>
      <c r="BQ314" s="1402" t="s">
        <v>719</v>
      </c>
      <c r="BR314" s="1403"/>
      <c r="BS314" s="1403"/>
      <c r="BT314" s="1403"/>
      <c r="BU314" s="1404"/>
      <c r="BW314" s="1402" t="s">
        <v>303</v>
      </c>
      <c r="BX314" s="1403"/>
      <c r="BY314" s="1403"/>
      <c r="BZ314" s="1403"/>
      <c r="CA314" s="1403"/>
      <c r="CB314" s="1403"/>
      <c r="CC314" s="1404"/>
    </row>
    <row r="315" spans="61:81" ht="15" customHeight="1">
      <c r="BI315" s="636" t="s">
        <v>23</v>
      </c>
      <c r="BJ315" s="636" t="s">
        <v>37</v>
      </c>
      <c r="BK315" s="636" t="s">
        <v>304</v>
      </c>
      <c r="BL315" s="637" t="s">
        <v>305</v>
      </c>
      <c r="BM315" s="637" t="s">
        <v>310</v>
      </c>
      <c r="BN315" s="637" t="s">
        <v>311</v>
      </c>
      <c r="BO315" s="278" t="s">
        <v>312</v>
      </c>
      <c r="BP315" s="637" t="s">
        <v>313</v>
      </c>
      <c r="BQ315" s="637" t="s">
        <v>305</v>
      </c>
      <c r="BR315" s="637" t="s">
        <v>715</v>
      </c>
      <c r="BS315" s="637" t="s">
        <v>716</v>
      </c>
      <c r="BT315" s="278" t="s">
        <v>717</v>
      </c>
      <c r="BU315" s="637" t="s">
        <v>718</v>
      </c>
      <c r="BW315" s="279" t="s">
        <v>314</v>
      </c>
      <c r="BX315" s="279" t="s">
        <v>23</v>
      </c>
      <c r="BY315" s="280" t="s">
        <v>315</v>
      </c>
      <c r="BZ315" s="279" t="s">
        <v>122</v>
      </c>
      <c r="CA315" s="279" t="s">
        <v>316</v>
      </c>
      <c r="CB315" s="279" t="s">
        <v>317</v>
      </c>
      <c r="CC315" s="279" t="s">
        <v>318</v>
      </c>
    </row>
    <row r="316" spans="61:81" ht="15" customHeight="1">
      <c r="BI316" s="638" t="s">
        <v>319</v>
      </c>
      <c r="BJ316" s="638">
        <v>1</v>
      </c>
      <c r="BK316" s="638" t="s">
        <v>320</v>
      </c>
      <c r="BL316" s="858">
        <v>4.7600000000000003E-2</v>
      </c>
      <c r="BM316" s="858">
        <v>0.05</v>
      </c>
      <c r="BN316" s="653">
        <f>IF(BM316="","",BL316/BM316)</f>
        <v>0.95200000000000007</v>
      </c>
      <c r="BO316" s="289">
        <f>IF(SUM(BM316:BM318=0),0,SUM(BL316:BL318)/SUM(BM316:BM318))</f>
        <v>0.94936708860759489</v>
      </c>
      <c r="BP316" s="821">
        <v>0.9</v>
      </c>
      <c r="BQ316" s="858">
        <v>0.6</v>
      </c>
      <c r="BR316" s="689">
        <v>0.68</v>
      </c>
      <c r="BS316" s="842">
        <f>IF(BR316="","",BQ316/BR316)</f>
        <v>0.88235294117647045</v>
      </c>
      <c r="BT316" s="289">
        <f>IF(SUM(BR316:BR318=0),0,SUM(BQ316:BQ318)/SUM(BR316:BR318))</f>
        <v>0.88235294117647045</v>
      </c>
      <c r="BU316" s="821">
        <v>0.9</v>
      </c>
      <c r="BX316" s="666" t="str">
        <f t="shared" ref="BX316:BX327" si="93">TEXT(CONCATENATE(CC316,"/01/20",CB316),"MMM")</f>
        <v>Oct</v>
      </c>
      <c r="BY316" s="643">
        <f>IF(CB316=$CB328,SUMIF($BI316:$BI327,$BX316,$BR316:$BR327),SUMIF($BI316:$BI327,$BX316,$BM316:$BM327))</f>
        <v>0.05</v>
      </c>
      <c r="BZ316" s="821">
        <f>IF(IF(CB316=CB328,SUMIF(BI316:BI327,$BX316,BU316:BU327),SUMIF(BI316:BI327,$BX316,BP316:BP327))=0,NA(),IF(CB316=CB328,SUMIF(BI316:BI327,$BX316,BU316:BU327),SUMIF(BI316:BI327,$BX316,BP316:BP327)))</f>
        <v>0.9</v>
      </c>
      <c r="CA316" s="644">
        <f>IF(IF(CB316=CB328,SUMIF(BI316:BI327,$BX316,BS316:BS327),SUMIF(BI316:BI327,$BX316,BN316:BN327))=0,NA(),IF(CB316=CB328,SUMIF(BI316:BI327,$BX316,BS316:BS327),SUMIF(BI316:BI327,$BX316,BN316:BN327)))</f>
        <v>0.95200000000000007</v>
      </c>
      <c r="CB316" s="645">
        <f>CB296</f>
        <v>23</v>
      </c>
      <c r="CC316" s="645">
        <f t="shared" ref="CC316:CC326" si="94">IF(CC317-1&lt;1,CC317+11,CC317-1)</f>
        <v>10</v>
      </c>
    </row>
    <row r="317" spans="61:81" ht="15" customHeight="1">
      <c r="BI317" s="638" t="s">
        <v>321</v>
      </c>
      <c r="BJ317" s="638">
        <v>2</v>
      </c>
      <c r="BK317" s="638" t="s">
        <v>320</v>
      </c>
      <c r="BL317" s="858">
        <v>1.2999999999999999E-2</v>
      </c>
      <c r="BM317" s="858">
        <v>1.2999999999999999E-2</v>
      </c>
      <c r="BN317" s="653">
        <f t="shared" ref="BN317:BN327" si="95">IF(BM317="","",BL317/BM317)</f>
        <v>1</v>
      </c>
      <c r="BO317" s="854"/>
      <c r="BP317" s="821">
        <v>0.9</v>
      </c>
      <c r="BQ317" s="858"/>
      <c r="BR317" s="689"/>
      <c r="BS317" s="842" t="str">
        <f t="shared" ref="BS317:BS327" si="96">IF(BR317="","",BQ317/BR317)</f>
        <v/>
      </c>
      <c r="BT317" s="854"/>
      <c r="BU317" s="821">
        <v>0.9</v>
      </c>
      <c r="BX317" s="666" t="str">
        <f t="shared" si="93"/>
        <v>Nov</v>
      </c>
      <c r="BY317" s="643">
        <f>IF(CB317=$CB328,SUMIF($BI316:$BI327,$BX317,$BR316:$BR327),SUMIF($BI316:$BI327,$BX317,$BM316:$BM327))</f>
        <v>1.2999999999999999E-2</v>
      </c>
      <c r="BZ317" s="821">
        <f>IF(IF(CB317=CB328,SUMIF(BI316:BI327,$BX317,BU316:BU327),SUMIF(BI316:BI327,$BX317,BP316:BP327))=0,NA(),IF(CB317=CB328,SUMIF(BI316:BI327,$BX317,BU316:BU327),SUMIF(BI316:BI327,$BX317,BP316:BP327)))</f>
        <v>0.9</v>
      </c>
      <c r="CA317" s="644">
        <f>IF(IF(CB317=CB328,SUMIF(BI316:BI327,$BX317,BS316:BS327),SUMIF(BI316:BI327,$BX317,BN316:BN327))=0,NA(),IF(CB317=CB328,SUMIF(BI316:BI327,$BX317,BS316:BS327),SUMIF(BI316:BI327,$BX317,BN316:BN327)))</f>
        <v>1</v>
      </c>
      <c r="CB317" s="645">
        <f t="shared" ref="CB317:CB327" si="97">CB297</f>
        <v>23</v>
      </c>
      <c r="CC317" s="645">
        <f t="shared" si="94"/>
        <v>11</v>
      </c>
    </row>
    <row r="318" spans="61:81" ht="15" customHeight="1">
      <c r="BI318" s="638" t="s">
        <v>322</v>
      </c>
      <c r="BJ318" s="638">
        <v>3</v>
      </c>
      <c r="BK318" s="638" t="s">
        <v>320</v>
      </c>
      <c r="BL318" s="858">
        <v>1.44E-2</v>
      </c>
      <c r="BM318" s="858">
        <v>1.6E-2</v>
      </c>
      <c r="BN318" s="653">
        <f t="shared" si="95"/>
        <v>0.89999999999999991</v>
      </c>
      <c r="BO318" s="854"/>
      <c r="BP318" s="821">
        <v>0.9</v>
      </c>
      <c r="BQ318" s="858"/>
      <c r="BR318" s="689"/>
      <c r="BS318" s="842" t="str">
        <f t="shared" si="96"/>
        <v/>
      </c>
      <c r="BT318" s="854"/>
      <c r="BU318" s="821">
        <v>0.9</v>
      </c>
      <c r="BX318" s="666" t="str">
        <f t="shared" si="93"/>
        <v>Dec</v>
      </c>
      <c r="BY318" s="643">
        <f>IF(CB318=$CB328,SUMIF($BI316:$BI327,$BX318,$BR316:$BR327),SUMIF($BI316:$BI327,$BX318,$BM316:$BM327))</f>
        <v>1.6E-2</v>
      </c>
      <c r="BZ318" s="821">
        <f>IF(IF(CB318=CB328,SUMIF(BI316:BI327,$BX318,BU316:BU327),SUMIF(BI316:BI327,$BX318,BP316:BP327))=0,NA(),IF(CB318=CB328,SUMIF(BI316:BI327,$BX318,BU316:BU327),SUMIF(BI316:BI327,$BX318,BP316:BP327)))</f>
        <v>0.9</v>
      </c>
      <c r="CA318" s="644">
        <f>IF(IF(CB318=CB328,SUMIF(BI316:BI327,$BX318,BS316:BS327),SUMIF(BI316:BI327,$BX318,BN316:BN327))=0,NA(),IF(CB318=CB328,SUMIF(BI316:BI327,$BX318,BS316:BS327),SUMIF(BI316:BI327,$BX318,BN316:BN327)))</f>
        <v>0.89999999999999991</v>
      </c>
      <c r="CB318" s="645">
        <f t="shared" si="97"/>
        <v>23</v>
      </c>
      <c r="CC318" s="645">
        <f t="shared" si="94"/>
        <v>12</v>
      </c>
    </row>
    <row r="319" spans="61:81" ht="15" customHeight="1">
      <c r="BI319" s="638" t="s">
        <v>323</v>
      </c>
      <c r="BJ319" s="638">
        <v>4</v>
      </c>
      <c r="BK319" s="638" t="s">
        <v>324</v>
      </c>
      <c r="BL319" s="858">
        <v>0.01</v>
      </c>
      <c r="BM319" s="858">
        <v>1.2E-2</v>
      </c>
      <c r="BN319" s="653">
        <f t="shared" si="95"/>
        <v>0.83333333333333337</v>
      </c>
      <c r="BO319" s="289">
        <f>IF(SUM(BM319:BM321=0),0,SUM(BL319:BL321)/SUM(BM319:BM321))</f>
        <v>0.90752688172043017</v>
      </c>
      <c r="BP319" s="821">
        <v>0.9</v>
      </c>
      <c r="BQ319" s="858"/>
      <c r="BR319" s="689"/>
      <c r="BS319" s="842" t="str">
        <f t="shared" si="96"/>
        <v/>
      </c>
      <c r="BT319" s="289">
        <f>IF(SUM(BR319:BR321=0),0,SUM(BQ319:BQ321)/SUM(BR319:BR321))</f>
        <v>0</v>
      </c>
      <c r="BU319" s="821">
        <v>0.9</v>
      </c>
      <c r="BX319" s="666" t="str">
        <f t="shared" si="93"/>
        <v>Jan</v>
      </c>
      <c r="BY319" s="643">
        <f>IF(CB319=$CB328,SUMIF($BI316:$BI327,$BX319,$BR316:$BR327),SUMIF($BI316:$BI327,$BX319,$BM316:$BM327))</f>
        <v>1.2E-2</v>
      </c>
      <c r="BZ319" s="821">
        <f>IF(IF(CB319=CB328,SUMIF(BI316:BI327,$BX319,BU316:BU327),SUMIF(BI316:BI327,$BX319,BP316:BP327))=0,NA(),IF(CB319=CB328,SUMIF(BI316:BI327,$BX319,BU316:BU327),SUMIF(BI316:BI327,$BX319,BP316:BP327)))</f>
        <v>0.9</v>
      </c>
      <c r="CA319" s="644">
        <f>IF(IF(CB319=CB328,SUMIF(BI316:BI327,$BX319,BS316:BS327),SUMIF(BI316:BI327,$BX319,BN316:BN327))=0,NA(),IF(CB319=CB328,SUMIF(BI316:BI327,$BX319,BS316:BS327),SUMIF(BI316:BI327,$BX319,BN316:BN327)))</f>
        <v>0.83333333333333337</v>
      </c>
      <c r="CB319" s="645">
        <f t="shared" si="97"/>
        <v>23</v>
      </c>
      <c r="CC319" s="645">
        <f t="shared" si="94"/>
        <v>1</v>
      </c>
    </row>
    <row r="320" spans="61:81" ht="15" customHeight="1">
      <c r="BI320" s="638" t="s">
        <v>325</v>
      </c>
      <c r="BJ320" s="638">
        <v>5</v>
      </c>
      <c r="BK320" s="638" t="s">
        <v>324</v>
      </c>
      <c r="BL320" s="859">
        <v>6.4000000000000001E-2</v>
      </c>
      <c r="BM320" s="859">
        <v>7.0000000000000007E-2</v>
      </c>
      <c r="BN320" s="653">
        <f t="shared" si="95"/>
        <v>0.91428571428571426</v>
      </c>
      <c r="BO320" s="854"/>
      <c r="BP320" s="821">
        <v>0.9</v>
      </c>
      <c r="BQ320" s="859"/>
      <c r="BR320" s="690"/>
      <c r="BS320" s="842" t="str">
        <f t="shared" si="96"/>
        <v/>
      </c>
      <c r="BT320" s="854"/>
      <c r="BU320" s="821">
        <v>0.9</v>
      </c>
      <c r="BX320" s="666" t="str">
        <f t="shared" si="93"/>
        <v>Feb</v>
      </c>
      <c r="BY320" s="643">
        <f>IF(CB320=$CB328,SUMIF($BI316:$BI327,$BX320,$BR316:$BR327),SUMIF($BI316:$BI327,$BX320,$BM316:$BM327))</f>
        <v>7.0000000000000007E-2</v>
      </c>
      <c r="BZ320" s="821">
        <f>IF(IF(CB320=CB328,SUMIF(BI316:BI327,$BX320,BU316:BU327),SUMIF(BI316:BI327,$BX320,BP316:BP327))=0,NA(),IF(CB320=CB328,SUMIF(BI316:BI327,$BX320,BU316:BU327),SUMIF(BI316:BI327,$BX320,BP316:BP327)))</f>
        <v>0.9</v>
      </c>
      <c r="CA320" s="644">
        <f>IF(IF(CB320=CB328,SUMIF(BI316:BI327,$BX320,BS316:BS327),SUMIF(BI316:BI327,$BX320,BN316:BN327))=0,NA(),IF(CB320=CB328,SUMIF(BI316:BI327,$BX320,BS316:BS327),SUMIF(BI316:BI327,$BX320,BN316:BN327)))</f>
        <v>0.91428571428571426</v>
      </c>
      <c r="CB320" s="645">
        <f t="shared" si="97"/>
        <v>23</v>
      </c>
      <c r="CC320" s="645">
        <f t="shared" si="94"/>
        <v>2</v>
      </c>
    </row>
    <row r="321" spans="61:81" ht="15" customHeight="1">
      <c r="BI321" s="638" t="s">
        <v>326</v>
      </c>
      <c r="BJ321" s="638">
        <v>6</v>
      </c>
      <c r="BK321" s="638" t="s">
        <v>324</v>
      </c>
      <c r="BL321" s="859">
        <v>1.04E-2</v>
      </c>
      <c r="BM321" s="859">
        <v>1.0999999999999999E-2</v>
      </c>
      <c r="BN321" s="653">
        <f t="shared" si="95"/>
        <v>0.94545454545454544</v>
      </c>
      <c r="BO321" s="854"/>
      <c r="BP321" s="821">
        <v>0.9</v>
      </c>
      <c r="BQ321" s="859"/>
      <c r="BR321" s="690"/>
      <c r="BS321" s="842" t="str">
        <f t="shared" si="96"/>
        <v/>
      </c>
      <c r="BT321" s="854"/>
      <c r="BU321" s="821">
        <v>0.9</v>
      </c>
      <c r="BX321" s="666" t="str">
        <f t="shared" si="93"/>
        <v>Mar</v>
      </c>
      <c r="BY321" s="643">
        <f>IF(CB321=$CB328,SUMIF($BI316:$BI327,$BX321,$BR316:$BR327),SUMIF($BI316:$BI327,$BX321,$BM316:$BM327))</f>
        <v>1.0999999999999999E-2</v>
      </c>
      <c r="BZ321" s="821">
        <f>IF(IF(CB321=CB328,SUMIF(BI316:BI327,$BX321,BU316:BU327),SUMIF(BI316:BI327,$BX321,BP316:BP327))=0,NA(),IF(CB321=CB328,SUMIF(BI316:BI327,$BX321,BU316:BU327),SUMIF(BI316:BI327,$BX321,BP316:BP327)))</f>
        <v>0.9</v>
      </c>
      <c r="CA321" s="644">
        <f>IF(IF(CB321=CB328,SUMIF(BI316:BI327,$BX321,BS316:BS327),SUMIF(BI316:BI327,$BX321,BN316:BN327))=0,NA(),IF(CB321=CB328,SUMIF(BI316:BI327,$BX321,BS316:BS327),SUMIF(BI316:BI327,$BX321,BN316:BN327)))</f>
        <v>0.94545454545454544</v>
      </c>
      <c r="CB321" s="645">
        <f t="shared" si="97"/>
        <v>23</v>
      </c>
      <c r="CC321" s="645">
        <f t="shared" si="94"/>
        <v>3</v>
      </c>
    </row>
    <row r="322" spans="61:81" ht="15" customHeight="1">
      <c r="BI322" s="638" t="s">
        <v>327</v>
      </c>
      <c r="BJ322" s="638">
        <v>7</v>
      </c>
      <c r="BK322" s="638" t="s">
        <v>328</v>
      </c>
      <c r="BL322" s="859">
        <v>0.06</v>
      </c>
      <c r="BM322" s="859">
        <v>0.06</v>
      </c>
      <c r="BN322" s="653">
        <f t="shared" si="95"/>
        <v>1</v>
      </c>
      <c r="BO322" s="289">
        <f>IF(SUM(BM322:BM324=0),0,SUM(BL322:BL324)/SUM(BM322:BM324))</f>
        <v>0.89729729729729724</v>
      </c>
      <c r="BP322" s="821">
        <v>0.9</v>
      </c>
      <c r="BQ322" s="690"/>
      <c r="BR322" s="690"/>
      <c r="BS322" s="842" t="str">
        <f t="shared" si="96"/>
        <v/>
      </c>
      <c r="BT322" s="289">
        <f>IF(SUM(BR322:BR324=0),0,SUM(BQ322:BQ324)/SUM(BR322:BR324))</f>
        <v>0</v>
      </c>
      <c r="BU322" s="821">
        <v>0.9</v>
      </c>
      <c r="BX322" s="666" t="str">
        <f t="shared" si="93"/>
        <v>Apr</v>
      </c>
      <c r="BY322" s="643">
        <f>IF(CB322=$CB328,SUMIF($BI316:$BI327,$BX322,$BR316:$BR327),SUMIF($BI316:$BI327,$BX322,$BM316:$BM327))</f>
        <v>0.06</v>
      </c>
      <c r="BZ322" s="821">
        <f>IF(IF(CB322=CB328,SUMIF(BI316:BI327,$BX322,BU316:BU327),SUMIF(BI316:BI327,$BX322,BP316:BP327))=0,NA(),IF(CB322=CB328,SUMIF(BI316:BI327,$BX322,BU316:BU327),SUMIF(BI316:BI327,$BX322,BP316:BP327)))</f>
        <v>0.9</v>
      </c>
      <c r="CA322" s="644">
        <f>IF(IF(CB322=CB328,SUMIF(BI316:BI327,$BX322,BS316:BS327),SUMIF(BI316:BI327,$BX322,BN316:BN327))=0,NA(),IF(CB322=CB328,SUMIF(BI316:BI327,$BX322,BS316:BS327),SUMIF(BI316:BI327,$BX322,BN316:BN327)))</f>
        <v>1</v>
      </c>
      <c r="CB322" s="645">
        <f t="shared" si="97"/>
        <v>23</v>
      </c>
      <c r="CC322" s="645">
        <f t="shared" si="94"/>
        <v>4</v>
      </c>
    </row>
    <row r="323" spans="61:81" ht="15" customHeight="1">
      <c r="BI323" s="638" t="s">
        <v>329</v>
      </c>
      <c r="BJ323" s="638">
        <v>8</v>
      </c>
      <c r="BK323" s="638" t="s">
        <v>328</v>
      </c>
      <c r="BL323" s="859">
        <v>9.8000000000000004E-2</v>
      </c>
      <c r="BM323" s="859">
        <v>0.1</v>
      </c>
      <c r="BN323" s="653">
        <f t="shared" si="95"/>
        <v>0.98</v>
      </c>
      <c r="BO323" s="854"/>
      <c r="BP323" s="821">
        <v>0.9</v>
      </c>
      <c r="BQ323" s="690"/>
      <c r="BR323" s="690"/>
      <c r="BS323" s="842" t="str">
        <f t="shared" si="96"/>
        <v/>
      </c>
      <c r="BT323" s="854"/>
      <c r="BU323" s="821">
        <v>0.9</v>
      </c>
      <c r="BX323" s="666" t="str">
        <f t="shared" si="93"/>
        <v>May</v>
      </c>
      <c r="BY323" s="643">
        <f>IF(CB323=$CB328,SUMIF($BI316:$BI327,$BX323,$BR316:$BR327),SUMIF($BI316:$BI327,$BX323,$BM316:$BM327))</f>
        <v>0.1</v>
      </c>
      <c r="BZ323" s="821">
        <f>IF(IF(CB323=CB328,SUMIF(BI316:BI327,$BX323,BU316:BU327),SUMIF(BI316:BI327,$BX323,BP316:BP327))=0,NA(),IF(CB323=CB328,SUMIF(BI316:BI327,$BX323,BU316:BU327),SUMIF(BI316:BI327,$BX323,BP316:BP327)))</f>
        <v>0.9</v>
      </c>
      <c r="CA323" s="644">
        <f>IF(IF(CB323=CB328,SUMIF(BI316:BI327,$BX323,BS316:BS327),SUMIF(BI316:BI327,$BX323,BN316:BN327))=0,NA(),IF(CB323=CB328,SUMIF(BI316:BI327,$BX323,BS316:BS327),SUMIF(BI316:BI327,$BX323,BN316:BN327)))</f>
        <v>0.98</v>
      </c>
      <c r="CB323" s="645">
        <f t="shared" si="97"/>
        <v>23</v>
      </c>
      <c r="CC323" s="645">
        <f t="shared" si="94"/>
        <v>5</v>
      </c>
    </row>
    <row r="324" spans="61:81" ht="15" customHeight="1">
      <c r="BI324" s="638" t="s">
        <v>331</v>
      </c>
      <c r="BJ324" s="638">
        <v>9</v>
      </c>
      <c r="BK324" s="638" t="s">
        <v>328</v>
      </c>
      <c r="BL324" s="859">
        <v>0.17399999999999999</v>
      </c>
      <c r="BM324" s="859">
        <v>0.21</v>
      </c>
      <c r="BN324" s="653">
        <f t="shared" si="95"/>
        <v>0.82857142857142851</v>
      </c>
      <c r="BO324" s="854"/>
      <c r="BP324" s="821">
        <v>0.9</v>
      </c>
      <c r="BQ324" s="690"/>
      <c r="BR324" s="690"/>
      <c r="BS324" s="842" t="str">
        <f t="shared" si="96"/>
        <v/>
      </c>
      <c r="BT324" s="854"/>
      <c r="BU324" s="821">
        <v>0.9</v>
      </c>
      <c r="BX324" s="666" t="str">
        <f t="shared" si="93"/>
        <v>Jun</v>
      </c>
      <c r="BY324" s="643">
        <f>IF(CB324=$CB328,SUMIF($BI316:$BI327,$BX324,$BR316:$BR327),SUMIF($BI316:$BI327,$BX324,$BM316:$BM327))</f>
        <v>0.21</v>
      </c>
      <c r="BZ324" s="821">
        <f>IF(IF(CB324=CB328,SUMIF(BI316:BI327,$BX324,BU316:BU327),SUMIF(BI316:BI327,$BX324,BP316:BP327))=0,NA(),IF(CB324=CB328,SUMIF(BI316:BI327,$BX324,BU316:BU327),SUMIF(BI316:BI327,$BX324,BP316:BP327)))</f>
        <v>0.9</v>
      </c>
      <c r="CA324" s="644">
        <f>IF(IF(CB324=CB328,SUMIF(BI316:BI327,$BX324,BS316:BS327),SUMIF(BI316:BI327,$BX324,BN316:BN327))=0,NA(),IF(CB324=CB328,SUMIF(BI316:BI327,$BX324,BS316:BS327),SUMIF(BI316:BI327,$BX324,BN316:BN327)))</f>
        <v>0.82857142857142851</v>
      </c>
      <c r="CB324" s="645">
        <f t="shared" si="97"/>
        <v>23</v>
      </c>
      <c r="CC324" s="645">
        <f t="shared" si="94"/>
        <v>6</v>
      </c>
    </row>
    <row r="325" spans="61:81" ht="15" customHeight="1">
      <c r="BI325" s="638" t="s">
        <v>337</v>
      </c>
      <c r="BJ325" s="638">
        <v>10</v>
      </c>
      <c r="BK325" s="638" t="s">
        <v>338</v>
      </c>
      <c r="BL325" s="859">
        <v>7.3999999999999996E-2</v>
      </c>
      <c r="BM325" s="859">
        <v>0.09</v>
      </c>
      <c r="BN325" s="653">
        <f t="shared" si="95"/>
        <v>0.82222222222222219</v>
      </c>
      <c r="BO325" s="289">
        <f>IF(SUM(BM325:BM327=0),0,SUM(BL325:BL327)/SUM(BM325:BM327))</f>
        <v>0.93241919686581787</v>
      </c>
      <c r="BP325" s="821">
        <v>0.9</v>
      </c>
      <c r="BQ325" s="690"/>
      <c r="BR325" s="690"/>
      <c r="BS325" s="842" t="str">
        <f t="shared" si="96"/>
        <v/>
      </c>
      <c r="BT325" s="289">
        <f>IF(SUM(BR325:BR327=0),0,SUM(BQ325:BQ327)/SUM(BR325:BR327))</f>
        <v>0</v>
      </c>
      <c r="BU325" s="821">
        <v>0.9</v>
      </c>
      <c r="BX325" s="666" t="str">
        <f t="shared" si="93"/>
        <v>Jul</v>
      </c>
      <c r="BY325" s="643">
        <f>IF(CB325=$CB328,SUMIF($BI316:$BI327,$BX325,$BR316:$BR327),SUMIF($BI316:$BI327,$BX325,$BM316:$BM327))</f>
        <v>0.09</v>
      </c>
      <c r="BZ325" s="821">
        <f>IF(IF(CB325=CB328,SUMIF(BI316:BI327,$BX325,BU316:BU327),SUMIF(BI316:BI327,$BX325,BP316:BP327))=0,NA(),IF(CB325=CB328,SUMIF(BI316:BI327,$BX325,BU316:BU327),SUMIF(BI316:BI327,$BX325,BP316:BP327)))</f>
        <v>0.9</v>
      </c>
      <c r="CA325" s="644">
        <f>IF(IF(CB325=CB328,SUMIF(BI316:BI327,$BX325,BS316:BS327),SUMIF(BI316:BI327,$BX325,BN316:BN327))=0,NA(),IF(CB325=CB328,SUMIF(BI316:BI327,$BX325,BS316:BS327),SUMIF(BI316:BI327,$BX325,BN316:BN327)))</f>
        <v>0.82222222222222219</v>
      </c>
      <c r="CB325" s="645">
        <f t="shared" si="97"/>
        <v>23</v>
      </c>
      <c r="CC325" s="645">
        <f t="shared" si="94"/>
        <v>7</v>
      </c>
    </row>
    <row r="326" spans="61:81" ht="15" customHeight="1">
      <c r="BI326" s="638" t="s">
        <v>343</v>
      </c>
      <c r="BJ326" s="638">
        <v>11</v>
      </c>
      <c r="BK326" s="638" t="s">
        <v>338</v>
      </c>
      <c r="BL326" s="859">
        <v>0.41</v>
      </c>
      <c r="BM326" s="859">
        <v>0.42</v>
      </c>
      <c r="BN326" s="653">
        <f t="shared" si="95"/>
        <v>0.97619047619047616</v>
      </c>
      <c r="BO326" s="854"/>
      <c r="BP326" s="821">
        <v>0.9</v>
      </c>
      <c r="BQ326" s="690"/>
      <c r="BR326" s="690"/>
      <c r="BS326" s="842" t="str">
        <f t="shared" si="96"/>
        <v/>
      </c>
      <c r="BT326" s="854"/>
      <c r="BU326" s="821">
        <v>0.9</v>
      </c>
      <c r="BX326" s="666" t="str">
        <f t="shared" si="93"/>
        <v>Aug</v>
      </c>
      <c r="BY326" s="643">
        <f>IF(CB326=$CB328,SUMIF($BI316:$BI327,$BX326,$BR316:$BR327),SUMIF($BI316:$BI327,$BX326,$BM316:$BM327))</f>
        <v>0.42</v>
      </c>
      <c r="BZ326" s="821">
        <f>IF(IF(CB326=CB328,SUMIF(BI316:BI327,$BX326,BU316:BU327),SUMIF(BI316:BI327,$BX326,BP316:BP327))=0,NA(),IF(CB326=CB328,SUMIF(BI316:BI327,$BX326,BU316:BU327),SUMIF(BI316:BI327,$BX326,BP316:BP327)))</f>
        <v>0.9</v>
      </c>
      <c r="CA326" s="644">
        <f>IF(IF(CB326=CB328,SUMIF(BI316:BI327,$BX326,BS316:BS327),SUMIF(BI316:BI327,$BX326,BN316:BN327))=0,NA(),IF(CB326=CB328,SUMIF(BI316:BI327,$BX326,BS316:BS327),SUMIF(BI316:BI327,$BX326,BN316:BN327)))</f>
        <v>0.97619047619047616</v>
      </c>
      <c r="CB326" s="645">
        <f t="shared" si="97"/>
        <v>23</v>
      </c>
      <c r="CC326" s="645">
        <f t="shared" si="94"/>
        <v>8</v>
      </c>
    </row>
    <row r="327" spans="61:81" ht="15" customHeight="1">
      <c r="BI327" s="638" t="s">
        <v>344</v>
      </c>
      <c r="BJ327" s="638">
        <v>12</v>
      </c>
      <c r="BK327" s="638" t="s">
        <v>338</v>
      </c>
      <c r="BL327" s="859">
        <v>0.46800000000000003</v>
      </c>
      <c r="BM327" s="859">
        <v>0.51100000000000001</v>
      </c>
      <c r="BN327" s="653">
        <f t="shared" si="95"/>
        <v>0.91585127201565564</v>
      </c>
      <c r="BO327" s="854"/>
      <c r="BP327" s="821">
        <v>0.9</v>
      </c>
      <c r="BQ327" s="690"/>
      <c r="BR327" s="690"/>
      <c r="BS327" s="842" t="str">
        <f t="shared" si="96"/>
        <v/>
      </c>
      <c r="BT327" s="854"/>
      <c r="BU327" s="821">
        <v>0.9</v>
      </c>
      <c r="BX327" s="666" t="str">
        <f t="shared" si="93"/>
        <v>Sep</v>
      </c>
      <c r="BY327" s="643">
        <f>IF(CB327=$CB328,SUMIF($BI316:$BI327,$BX327,$BR316:$BR327),SUMIF($BI316:$BI327,$BX327,$BM316:$BM327))</f>
        <v>0.51100000000000001</v>
      </c>
      <c r="BZ327" s="821">
        <f>IF(IF(CB327=CB328,SUMIF(BI316:BI327,$BX327,BU316:BU327),SUMIF(BI316:BI327,$BX327,BP316:BP327))=0,NA(),IF(CB327=CB328,SUMIF(BI316:BI327,$BX327,BU316:BU327),SUMIF(BI316:BI327,$BX327,BP316:BP327)))</f>
        <v>0.9</v>
      </c>
      <c r="CA327" s="644">
        <f>IF(IF(CB327=CB328,SUMIF(BI316:BI327,$BX327,BS316:BS327),SUMIF(BI316:BI327,$BX327,BN316:BN327))=0,NA(),IF(CB327=CB328,SUMIF(BI316:BI327,$BX327,BS316:BS327),SUMIF(BI316:BI327,$BX327,BN316:BN327)))</f>
        <v>0.91585127201565564</v>
      </c>
      <c r="CB327" s="645">
        <f t="shared" si="97"/>
        <v>23</v>
      </c>
      <c r="CC327" s="645">
        <f>IF(CC328-1&lt;1,CC328+11,CC328-1)</f>
        <v>9</v>
      </c>
    </row>
    <row r="328" spans="61:81" ht="15" customHeight="1">
      <c r="BJ328" s="277"/>
      <c r="BK328" s="277"/>
      <c r="BL328" s="277"/>
      <c r="BM328" s="277"/>
      <c r="BN328" s="277"/>
      <c r="BO328" s="277"/>
      <c r="BP328" s="277"/>
      <c r="BQ328" s="277"/>
      <c r="BR328" s="277"/>
      <c r="BS328" s="277"/>
      <c r="BT328" s="277"/>
      <c r="BW328" s="667" t="str">
        <f>Cover!$M$34</f>
        <v>OCT FY-24</v>
      </c>
      <c r="BX328" s="666" t="str">
        <f>TEXT(CONCATENATE(CC328,"/01/20",CB328),"MMM")</f>
        <v>Oct</v>
      </c>
      <c r="BY328" s="643">
        <f>SUMIF($BI316:$BI327,$BX328,$BR316:$BR327)</f>
        <v>0.68</v>
      </c>
      <c r="BZ328" s="821">
        <f>IF(IF(CB328=CB328,SUMIF(BI316:BI327,$BX328,BU316:BU327),SUMIF(BI316:BI327,$BX328,BP316:BP327))=0,NA(),IF(CB328=CB328,SUMIF(BI316:BI327,$BX328,BU316:BU327),SUMIF(BI316:BI327,$BX328,BP316:BP327)))</f>
        <v>0.9</v>
      </c>
      <c r="CA328" s="644">
        <f>IF(SUMIF($BI316:$BI327,$BX328,$BS316:$BS327)=0,NA(),SUMIF($BI316:$BI327,$BX328,$BS316:$BS327))</f>
        <v>0.88235294117647045</v>
      </c>
      <c r="CB328" s="645">
        <f>CB308</f>
        <v>24</v>
      </c>
      <c r="CC328" s="645">
        <f>MONTH(DATEVALUE(LEFT(BW328,3)&amp;" 1"))</f>
        <v>10</v>
      </c>
    </row>
    <row r="329" spans="61:81" ht="15" customHeight="1">
      <c r="BI329" s="6"/>
      <c r="BJ329" s="6"/>
      <c r="BK329" s="6"/>
      <c r="BL329" s="6"/>
      <c r="BM329" s="6"/>
      <c r="BN329" s="6"/>
      <c r="BO329" s="6"/>
      <c r="BP329" s="6"/>
      <c r="BQ329" s="6"/>
      <c r="BR329" s="6"/>
      <c r="BS329" s="6"/>
      <c r="BT329" s="6"/>
      <c r="BU329" s="6"/>
      <c r="BV329" s="6"/>
    </row>
    <row r="330" spans="61:81" ht="15" customHeight="1">
      <c r="BI330" s="54" t="s">
        <v>292</v>
      </c>
      <c r="BJ330" s="287" t="s">
        <v>464</v>
      </c>
      <c r="BK330" s="287"/>
      <c r="BL330" s="287"/>
      <c r="BM330" s="287"/>
      <c r="BN330" s="287"/>
      <c r="BO330" s="287"/>
      <c r="BP330" s="287"/>
      <c r="BQ330" s="287"/>
      <c r="BR330" s="287"/>
      <c r="BS330" s="287"/>
      <c r="BT330" s="287"/>
      <c r="BU330" s="287"/>
    </row>
    <row r="331" spans="61:81" ht="15" customHeight="1">
      <c r="BI331" s="54" t="s">
        <v>296</v>
      </c>
      <c r="BJ331" s="283" t="s">
        <v>468</v>
      </c>
      <c r="BK331" s="283"/>
      <c r="BL331" s="283"/>
      <c r="BM331" s="283"/>
      <c r="BN331" s="283"/>
      <c r="BO331" s="283"/>
      <c r="BP331" s="283"/>
      <c r="BQ331" s="283"/>
      <c r="BR331" s="283"/>
      <c r="BS331" s="283"/>
      <c r="BT331" s="283"/>
      <c r="BU331" s="283"/>
    </row>
    <row r="332" spans="61:81" ht="15" customHeight="1" thickBot="1">
      <c r="BI332" s="54" t="s">
        <v>300</v>
      </c>
      <c r="BJ332" s="288" t="s">
        <v>470</v>
      </c>
      <c r="BK332" s="288"/>
      <c r="BL332" s="288"/>
      <c r="BM332" s="288"/>
      <c r="BN332" s="288"/>
      <c r="BO332" s="288"/>
      <c r="BP332" s="288"/>
      <c r="BQ332" s="288"/>
      <c r="BR332" s="288"/>
      <c r="BS332" s="288"/>
      <c r="BT332" s="288"/>
      <c r="BU332" s="288"/>
    </row>
    <row r="333" spans="61:81" ht="15" customHeight="1" thickBot="1">
      <c r="BI333" s="1402" t="s">
        <v>453</v>
      </c>
      <c r="BJ333" s="1403"/>
      <c r="BK333" s="1404"/>
      <c r="BL333" s="1402" t="s">
        <v>302</v>
      </c>
      <c r="BM333" s="1403"/>
      <c r="BN333" s="1403"/>
      <c r="BO333" s="1403"/>
      <c r="BP333" s="1404"/>
      <c r="BQ333" s="1402" t="s">
        <v>719</v>
      </c>
      <c r="BR333" s="1403"/>
      <c r="BS333" s="1403"/>
      <c r="BT333" s="1403"/>
      <c r="BU333" s="1404"/>
      <c r="BW333" s="1402" t="s">
        <v>303</v>
      </c>
      <c r="BX333" s="1403"/>
      <c r="BY333" s="1403"/>
      <c r="BZ333" s="1403"/>
      <c r="CA333" s="1403"/>
      <c r="CB333" s="1403"/>
      <c r="CC333" s="1404"/>
    </row>
    <row r="334" spans="61:81" ht="15" customHeight="1">
      <c r="BI334" s="636" t="s">
        <v>23</v>
      </c>
      <c r="BJ334" s="636" t="s">
        <v>37</v>
      </c>
      <c r="BK334" s="636" t="s">
        <v>304</v>
      </c>
      <c r="BL334" s="637" t="s">
        <v>305</v>
      </c>
      <c r="BM334" s="637" t="s">
        <v>310</v>
      </c>
      <c r="BN334" s="637" t="s">
        <v>311</v>
      </c>
      <c r="BO334" s="278" t="s">
        <v>312</v>
      </c>
      <c r="BP334" s="637" t="s">
        <v>313</v>
      </c>
      <c r="BQ334" s="637" t="s">
        <v>305</v>
      </c>
      <c r="BR334" s="637" t="s">
        <v>715</v>
      </c>
      <c r="BS334" s="637" t="s">
        <v>716</v>
      </c>
      <c r="BT334" s="278" t="s">
        <v>717</v>
      </c>
      <c r="BU334" s="637" t="s">
        <v>718</v>
      </c>
      <c r="BW334" s="279" t="s">
        <v>314</v>
      </c>
      <c r="BX334" s="279" t="s">
        <v>23</v>
      </c>
      <c r="BY334" s="280" t="s">
        <v>315</v>
      </c>
      <c r="BZ334" s="279" t="s">
        <v>122</v>
      </c>
      <c r="CA334" s="279" t="s">
        <v>316</v>
      </c>
      <c r="CB334" s="279" t="s">
        <v>317</v>
      </c>
      <c r="CC334" s="279" t="s">
        <v>318</v>
      </c>
    </row>
    <row r="335" spans="61:81" ht="15" customHeight="1">
      <c r="BI335" s="638" t="s">
        <v>319</v>
      </c>
      <c r="BJ335" s="638">
        <v>1</v>
      </c>
      <c r="BK335" s="638" t="s">
        <v>320</v>
      </c>
      <c r="BL335" s="825">
        <f>IF(BM316="","",BM316)</f>
        <v>0.05</v>
      </c>
      <c r="BM335" s="858">
        <v>0.187</v>
      </c>
      <c r="BN335" s="653">
        <f>IF(BM335="","",BL335/BM335)</f>
        <v>0.26737967914438504</v>
      </c>
      <c r="BO335" s="289">
        <f>IF(SUM(BM335:BM337=0),0,SUM(BL335:BL337)/SUM(BM335:BM337))</f>
        <v>0.24159021406727829</v>
      </c>
      <c r="BP335" s="657">
        <v>0.3</v>
      </c>
      <c r="BQ335" s="846">
        <f>IF(BR316="","",BR316)</f>
        <v>0.68</v>
      </c>
      <c r="BR335" s="689">
        <v>1.98</v>
      </c>
      <c r="BS335" s="653">
        <f>IF(BR335="","",BQ335/BR335)</f>
        <v>0.34343434343434348</v>
      </c>
      <c r="BT335" s="289">
        <f>IF(SUM(BR335:BR337=0),0,SUM(BQ335:BQ337)/SUM(BR335:BR337))</f>
        <v>0.34343434343434348</v>
      </c>
      <c r="BU335" s="657">
        <v>0.3</v>
      </c>
      <c r="BV335" s="6"/>
      <c r="BX335" s="666" t="str">
        <f t="shared" ref="BX335:BX346" si="98">TEXT(CONCATENATE(CC335,"/01/20",CB335),"MMM")</f>
        <v>Oct</v>
      </c>
      <c r="BY335" s="643">
        <f>IF(CB335=$CB347,SUMIF($BI335:$BI346,$BX335,$BR335:$BR346),SUMIF($BI335:$BI346,$BX335,$BM335:$BM346))</f>
        <v>0.187</v>
      </c>
      <c r="BZ335" s="821">
        <f>IF(IF(CB335=CB347,SUMIF(BI335:BI346,$BX335,BU335:BU346),SUMIF(BI335:BI346,$BX335,BP335:BP346))=0,NA(),IF(CB335=CB347,SUMIF(BI335:BI346,$BX335,BU335:BU346),SUMIF(BI335:BI346,$BX335,BP335:BP346)))</f>
        <v>0.3</v>
      </c>
      <c r="CA335" s="640">
        <f>IF(IF(CB335=CB347,SUMIF(BI335:BI346,$BX335,BS335:BS346),SUMIF(BI335:BI346,$BX335,BN335:BN346))=0,NA(),IF(CB335=CB347,SUMIF(BI335:BI346,$BX335,BS335:BS346),SUMIF(BI335:BI346,$BX335,BN335:BN346)))</f>
        <v>0.26737967914438504</v>
      </c>
      <c r="CB335" s="645">
        <f>CB316</f>
        <v>23</v>
      </c>
      <c r="CC335" s="645">
        <f t="shared" ref="CC335:CC345" si="99">IF(CC336-1&lt;1,CC336+11,CC336-1)</f>
        <v>10</v>
      </c>
    </row>
    <row r="336" spans="61:81" ht="15" customHeight="1">
      <c r="BI336" s="638" t="s">
        <v>321</v>
      </c>
      <c r="BJ336" s="638">
        <v>2</v>
      </c>
      <c r="BK336" s="638" t="s">
        <v>320</v>
      </c>
      <c r="BL336" s="825">
        <f t="shared" ref="BL336:BL346" si="100">IF(BM317="","",BM317)</f>
        <v>1.2999999999999999E-2</v>
      </c>
      <c r="BM336" s="860">
        <v>6.9000000000000006E-2</v>
      </c>
      <c r="BN336" s="653">
        <f t="shared" ref="BN336:BN346" si="101">IF(BM336="","",BL336/BM336)</f>
        <v>0.18840579710144925</v>
      </c>
      <c r="BO336" s="855"/>
      <c r="BP336" s="657">
        <v>0.3</v>
      </c>
      <c r="BQ336" s="846" t="str">
        <f>IF(BR317="","",BR317)</f>
        <v/>
      </c>
      <c r="BR336" s="822"/>
      <c r="BS336" s="653" t="str">
        <f t="shared" ref="BS336:BS346" si="102">IF(BR336="","",BQ336/BR336)</f>
        <v/>
      </c>
      <c r="BT336" s="854"/>
      <c r="BU336" s="657">
        <v>0.3</v>
      </c>
      <c r="BX336" s="666" t="str">
        <f t="shared" si="98"/>
        <v>Nov</v>
      </c>
      <c r="BY336" s="643">
        <f>IF(CB336=$CB347,SUMIF($BI335:$BI346,$BX336,$BR335:$BR346),SUMIF($BI335:$BI346,$BX336,$BM335:$BM346))</f>
        <v>6.9000000000000006E-2</v>
      </c>
      <c r="BZ336" s="821">
        <f>IF(IF(CB336=CB347,SUMIF(BI335:BI346,$BX336,BU335:BU346),SUMIF(BI335:BI346,$BX336,BP335:BP346))=0,NA(),IF(CB336=CB347,SUMIF(BI335:BI346,$BX336,BU335:BU346),SUMIF(BI335:BI346,$BX336,BP335:BP346)))</f>
        <v>0.3</v>
      </c>
      <c r="CA336" s="640">
        <f>IF(IF(CB336=CB347,SUMIF(BI335:BI346,$BX336,BS335:BS346),SUMIF(BI335:BI346,$BX336,BN335:BN346))=0,NA(),IF(CB336=CB347,SUMIF(BI335:BI346,$BX336,BS335:BS346),SUMIF(BI335:BI346,$BX336,BN335:BN346)))</f>
        <v>0.18840579710144925</v>
      </c>
      <c r="CB336" s="645">
        <f t="shared" ref="CB336:CB347" si="103">CB317</f>
        <v>23</v>
      </c>
      <c r="CC336" s="645">
        <f t="shared" si="99"/>
        <v>11</v>
      </c>
    </row>
    <row r="337" spans="61:81" ht="15" customHeight="1">
      <c r="BI337" s="638" t="s">
        <v>322</v>
      </c>
      <c r="BJ337" s="638">
        <v>3</v>
      </c>
      <c r="BK337" s="638" t="s">
        <v>320</v>
      </c>
      <c r="BL337" s="825">
        <f t="shared" si="100"/>
        <v>1.6E-2</v>
      </c>
      <c r="BM337" s="860">
        <v>7.0999999999999994E-2</v>
      </c>
      <c r="BN337" s="653">
        <f t="shared" si="101"/>
        <v>0.22535211267605637</v>
      </c>
      <c r="BO337" s="855"/>
      <c r="BP337" s="657">
        <v>0.3</v>
      </c>
      <c r="BQ337" s="846" t="str">
        <f t="shared" ref="BQ337:BQ346" si="104">IF(BR318="","",BR318)</f>
        <v/>
      </c>
      <c r="BR337" s="822"/>
      <c r="BS337" s="653" t="str">
        <f t="shared" si="102"/>
        <v/>
      </c>
      <c r="BT337" s="854"/>
      <c r="BU337" s="657">
        <v>0.3</v>
      </c>
      <c r="BX337" s="666" t="str">
        <f t="shared" si="98"/>
        <v>Dec</v>
      </c>
      <c r="BY337" s="643">
        <f>IF(CB337=$CB347,SUMIF($BI335:$BI346,$BX337,$BR335:$BR346),SUMIF($BI335:$BI346,$BX337,$BM335:$BM346))</f>
        <v>7.0999999999999994E-2</v>
      </c>
      <c r="BZ337" s="821">
        <f>IF(IF(CB337=CB347,SUMIF(BI335:BI346,$BX337,BU335:BU346),SUMIF(BI335:BI346,$BX337,BP335:BP346))=0,NA(),IF(CB337=CB347,SUMIF(BI335:BI346,$BX337,BU335:BU346),SUMIF(BI335:BI346,$BX337,BP335:BP346)))</f>
        <v>0.3</v>
      </c>
      <c r="CA337" s="640">
        <f>IF(IF(CB337=CB347,SUMIF(BI335:BI346,$BX337,BS335:BS346),SUMIF(BI335:BI346,$BX337,BN335:BN346))=0,NA(),IF(CB337=CB347,SUMIF(BI335:BI346,$BX337,BS335:BS346),SUMIF(BI335:BI346,$BX337,BN335:BN346)))</f>
        <v>0.22535211267605637</v>
      </c>
      <c r="CB337" s="645">
        <f t="shared" si="103"/>
        <v>23</v>
      </c>
      <c r="CC337" s="645">
        <f t="shared" si="99"/>
        <v>12</v>
      </c>
    </row>
    <row r="338" spans="61:81" ht="15" customHeight="1">
      <c r="BI338" s="638" t="s">
        <v>323</v>
      </c>
      <c r="BJ338" s="638">
        <v>4</v>
      </c>
      <c r="BK338" s="638" t="s">
        <v>324</v>
      </c>
      <c r="BL338" s="825">
        <f t="shared" si="100"/>
        <v>1.2E-2</v>
      </c>
      <c r="BM338" s="860">
        <v>3.5000000000000003E-2</v>
      </c>
      <c r="BN338" s="653">
        <f t="shared" si="101"/>
        <v>0.3428571428571428</v>
      </c>
      <c r="BO338" s="289">
        <f>IF(SUM(BM338:BM340=0),0,SUM(BL338:BL340)/SUM(BM338:BM340))</f>
        <v>0.29337539432176657</v>
      </c>
      <c r="BP338" s="657">
        <v>0.3</v>
      </c>
      <c r="BQ338" s="846" t="str">
        <f t="shared" si="104"/>
        <v/>
      </c>
      <c r="BR338" s="822"/>
      <c r="BS338" s="653" t="str">
        <f t="shared" si="102"/>
        <v/>
      </c>
      <c r="BT338" s="289">
        <f>IF(SUM(BR338:BR340=0),0,SUM(BQ338:BQ340)/SUM(BR338:BR340))</f>
        <v>0</v>
      </c>
      <c r="BU338" s="657">
        <v>0.3</v>
      </c>
      <c r="BX338" s="666" t="str">
        <f t="shared" si="98"/>
        <v>Jan</v>
      </c>
      <c r="BY338" s="643">
        <f>IF(CB338=$CB347,SUMIF($BI335:$BI346,$BX338,$BR335:$BR346),SUMIF($BI335:$BI346,$BX338,$BM335:$BM346))</f>
        <v>3.5000000000000003E-2</v>
      </c>
      <c r="BZ338" s="821">
        <f>IF(IF(CB338=CB347,SUMIF(BI335:BI346,$BX338,BU335:BU346),SUMIF(BI335:BI346,$BX338,BP335:BP346))=0,NA(),IF(CB338=CB347,SUMIF(BI335:BI346,$BX338,BU335:BU346),SUMIF(BI335:BI346,$BX338,BP335:BP346)))</f>
        <v>0.3</v>
      </c>
      <c r="CA338" s="640">
        <f>IF(IF(CB338=CB347,SUMIF(BI335:BI346,$BX338,BS335:BS346),SUMIF(BI335:BI346,$BX338,BN335:BN346))=0,NA(),IF(CB338=CB347,SUMIF(BI335:BI346,$BX338,BS335:BS346),SUMIF(BI335:BI346,$BX338,BN335:BN346)))</f>
        <v>0.3428571428571428</v>
      </c>
      <c r="CB338" s="645">
        <f t="shared" si="103"/>
        <v>23</v>
      </c>
      <c r="CC338" s="645">
        <f t="shared" si="99"/>
        <v>1</v>
      </c>
    </row>
    <row r="339" spans="61:81" ht="15" customHeight="1">
      <c r="BI339" s="638" t="s">
        <v>325</v>
      </c>
      <c r="BJ339" s="638">
        <v>5</v>
      </c>
      <c r="BK339" s="638" t="s">
        <v>324</v>
      </c>
      <c r="BL339" s="825">
        <f t="shared" si="100"/>
        <v>7.0000000000000007E-2</v>
      </c>
      <c r="BM339" s="859">
        <v>0.24</v>
      </c>
      <c r="BN339" s="653">
        <f t="shared" si="101"/>
        <v>0.29166666666666669</v>
      </c>
      <c r="BO339" s="855"/>
      <c r="BP339" s="657">
        <v>0.3</v>
      </c>
      <c r="BQ339" s="846" t="str">
        <f t="shared" si="104"/>
        <v/>
      </c>
      <c r="BR339" s="690"/>
      <c r="BS339" s="653" t="str">
        <f t="shared" si="102"/>
        <v/>
      </c>
      <c r="BT339" s="854"/>
      <c r="BU339" s="657">
        <v>0.3</v>
      </c>
      <c r="BX339" s="666" t="str">
        <f t="shared" si="98"/>
        <v>Feb</v>
      </c>
      <c r="BY339" s="643">
        <f>IF(CB339=$CB347,SUMIF($BI335:$BI346,$BX339,$BR335:$BR346),SUMIF($BI335:$BI346,$BX339,$BM335:$BM346))</f>
        <v>0.24</v>
      </c>
      <c r="BZ339" s="821">
        <f>IF(IF(CB339=CB347,SUMIF(BI335:BI346,$BX339,BU335:BU346),SUMIF(BI335:BI346,$BX339,BP335:BP346))=0,NA(),IF(CB339=CB347,SUMIF(BI335:BI346,$BX339,BU335:BU346),SUMIF(BI335:BI346,$BX339,BP335:BP346)))</f>
        <v>0.3</v>
      </c>
      <c r="CA339" s="640">
        <f>IF(IF(CB339=CB347,SUMIF(BI335:BI346,$BX339,BS335:BS346),SUMIF(BI335:BI346,$BX339,BN335:BN346))=0,NA(),IF(CB339=CB347,SUMIF(BI335:BI346,$BX339,BS335:BS346),SUMIF(BI335:BI346,$BX339,BN335:BN346)))</f>
        <v>0.29166666666666669</v>
      </c>
      <c r="CB339" s="645">
        <f t="shared" si="103"/>
        <v>23</v>
      </c>
      <c r="CC339" s="645">
        <f t="shared" si="99"/>
        <v>2</v>
      </c>
    </row>
    <row r="340" spans="61:81" ht="15" customHeight="1">
      <c r="BI340" s="638" t="s">
        <v>326</v>
      </c>
      <c r="BJ340" s="638">
        <v>6</v>
      </c>
      <c r="BK340" s="638" t="s">
        <v>324</v>
      </c>
      <c r="BL340" s="825">
        <f>IF(BM321="","",BM321)</f>
        <v>1.0999999999999999E-2</v>
      </c>
      <c r="BM340" s="859">
        <v>4.2000000000000003E-2</v>
      </c>
      <c r="BN340" s="653">
        <f t="shared" si="101"/>
        <v>0.26190476190476186</v>
      </c>
      <c r="BO340" s="855"/>
      <c r="BP340" s="657">
        <v>0.3</v>
      </c>
      <c r="BQ340" s="846" t="str">
        <f t="shared" si="104"/>
        <v/>
      </c>
      <c r="BR340" s="822"/>
      <c r="BS340" s="653" t="str">
        <f t="shared" si="102"/>
        <v/>
      </c>
      <c r="BT340" s="854"/>
      <c r="BU340" s="657">
        <v>0.3</v>
      </c>
      <c r="BX340" s="666" t="str">
        <f t="shared" si="98"/>
        <v>Mar</v>
      </c>
      <c r="BY340" s="643">
        <f>IF(CB340=$CB347,SUMIF($BI335:$BI346,$BX340,$BR335:$BR346),SUMIF($BI335:$BI346,$BX340,$BM335:$BM346))</f>
        <v>4.2000000000000003E-2</v>
      </c>
      <c r="BZ340" s="821">
        <f>IF(IF(CB340=CB347,SUMIF(BI335:BI346,$BX340,BU335:BU346),SUMIF(BI335:BI346,$BX340,BP335:BP346))=0,NA(),IF(CB340=CB347,SUMIF(BI335:BI346,$BX340,BU335:BU346),SUMIF(BI335:BI346,$BX340,BP335:BP346)))</f>
        <v>0.3</v>
      </c>
      <c r="CA340" s="640">
        <f>IF(IF(CB340=CB347,SUMIF(BI335:BI346,$BX340,BS335:BS346),SUMIF(BI335:BI346,$BX340,BN335:BN346))=0,NA(),IF(CB340=CB347,SUMIF(BI335:BI346,$BX340,BS335:BS346),SUMIF(BI335:BI346,$BX340,BN335:BN346)))</f>
        <v>0.26190476190476186</v>
      </c>
      <c r="CB340" s="645">
        <f t="shared" si="103"/>
        <v>23</v>
      </c>
      <c r="CC340" s="645">
        <f t="shared" si="99"/>
        <v>3</v>
      </c>
    </row>
    <row r="341" spans="61:81" ht="15" customHeight="1">
      <c r="BI341" s="638" t="s">
        <v>327</v>
      </c>
      <c r="BJ341" s="638">
        <v>7</v>
      </c>
      <c r="BK341" s="638" t="s">
        <v>328</v>
      </c>
      <c r="BL341" s="825">
        <f t="shared" si="100"/>
        <v>0.06</v>
      </c>
      <c r="BM341" s="859">
        <v>0.35</v>
      </c>
      <c r="BN341" s="653">
        <f t="shared" si="101"/>
        <v>0.17142857142857143</v>
      </c>
      <c r="BO341" s="289">
        <f>IF(SUM(BM341:BM343=0),0,SUM(BL341:BL343)/SUM(BM341:BM343))</f>
        <v>0.25170068027210885</v>
      </c>
      <c r="BP341" s="657">
        <v>0.3</v>
      </c>
      <c r="BQ341" s="846" t="str">
        <f t="shared" si="104"/>
        <v/>
      </c>
      <c r="BR341" s="822"/>
      <c r="BS341" s="653" t="str">
        <f t="shared" si="102"/>
        <v/>
      </c>
      <c r="BT341" s="289">
        <f>IF(SUM(BR341:BR343=0),0,SUM(BQ341:BQ343)/SUM(BR341:BR343))</f>
        <v>0</v>
      </c>
      <c r="BU341" s="657">
        <v>0.3</v>
      </c>
      <c r="BX341" s="666" t="str">
        <f t="shared" si="98"/>
        <v>Apr</v>
      </c>
      <c r="BY341" s="643">
        <f>IF(CB341=$CB347,SUMIF($BI335:$BI346,$BX341,$BR335:$BR346),SUMIF($BI335:$BI346,$BX341,$BM335:$BM346))</f>
        <v>0.35</v>
      </c>
      <c r="BZ341" s="821">
        <f>IF(IF(CB341=CB347,SUMIF(BI335:BI346,$BX341,BU335:BU346),SUMIF(BI335:BI346,$BX341,BP335:BP346))=0,NA(),IF(CB341=CB347,SUMIF(BI335:BI346,$BX341,BU335:BU346),SUMIF(BI335:BI346,$BX341,BP335:BP346)))</f>
        <v>0.3</v>
      </c>
      <c r="CA341" s="640">
        <f>IF(IF(CB341=CB347,SUMIF(BI335:BI346,$BX341,BS335:BS346),SUMIF(BI335:BI346,$BX341,BN335:BN346))=0,NA(),IF(CB341=CB347,SUMIF(BI335:BI346,$BX341,BS335:BS346),SUMIF(BI335:BI346,$BX341,BN335:BN346)))</f>
        <v>0.17142857142857143</v>
      </c>
      <c r="CB341" s="645">
        <f t="shared" si="103"/>
        <v>23</v>
      </c>
      <c r="CC341" s="645">
        <f t="shared" si="99"/>
        <v>4</v>
      </c>
    </row>
    <row r="342" spans="61:81" ht="15" customHeight="1">
      <c r="BI342" s="638" t="s">
        <v>329</v>
      </c>
      <c r="BJ342" s="638">
        <v>8</v>
      </c>
      <c r="BK342" s="638" t="s">
        <v>328</v>
      </c>
      <c r="BL342" s="825">
        <f t="shared" si="100"/>
        <v>0.1</v>
      </c>
      <c r="BM342" s="859">
        <v>0.41</v>
      </c>
      <c r="BN342" s="653">
        <f t="shared" si="101"/>
        <v>0.24390243902439027</v>
      </c>
      <c r="BO342" s="855"/>
      <c r="BP342" s="657">
        <v>0.3</v>
      </c>
      <c r="BQ342" s="846" t="str">
        <f t="shared" si="104"/>
        <v/>
      </c>
      <c r="BR342" s="690"/>
      <c r="BS342" s="653" t="str">
        <f t="shared" si="102"/>
        <v/>
      </c>
      <c r="BT342" s="854"/>
      <c r="BU342" s="657">
        <v>0.3</v>
      </c>
      <c r="BX342" s="666" t="str">
        <f t="shared" si="98"/>
        <v>May</v>
      </c>
      <c r="BY342" s="643">
        <f>IF(CB342=$CB347,SUMIF($BI335:$BI346,$BX342,$BR335:$BR346),SUMIF($BI335:$BI346,$BX342,$BM335:$BM346))</f>
        <v>0.41</v>
      </c>
      <c r="BZ342" s="821">
        <f>IF(IF(CB342=CB347,SUMIF(BI335:BI346,$BX342,BU335:BU346),SUMIF(BI335:BI346,$BX342,BP335:BP346))=0,NA(),IF(CB342=CB347,SUMIF(BI335:BI346,$BX342,BU335:BU346),SUMIF(BI335:BI346,$BX342,BP335:BP346)))</f>
        <v>0.3</v>
      </c>
      <c r="CA342" s="640">
        <f>IF(IF(CB342=CB347,SUMIF(BI335:BI346,$BX342,BS335:BS346),SUMIF(BI335:BI346,$BX342,BN335:BN346))=0,NA(),IF(CB342=CB347,SUMIF(BI335:BI346,$BX342,BS335:BS346),SUMIF(BI335:BI346,$BX342,BN335:BN346)))</f>
        <v>0.24390243902439027</v>
      </c>
      <c r="CB342" s="645">
        <f t="shared" si="103"/>
        <v>23</v>
      </c>
      <c r="CC342" s="645">
        <f t="shared" si="99"/>
        <v>5</v>
      </c>
    </row>
    <row r="343" spans="61:81" ht="15" customHeight="1">
      <c r="BI343" s="638" t="s">
        <v>331</v>
      </c>
      <c r="BJ343" s="638">
        <v>9</v>
      </c>
      <c r="BK343" s="638" t="s">
        <v>328</v>
      </c>
      <c r="BL343" s="825">
        <f t="shared" si="100"/>
        <v>0.21</v>
      </c>
      <c r="BM343" s="859">
        <v>0.71</v>
      </c>
      <c r="BN343" s="653">
        <f t="shared" si="101"/>
        <v>0.29577464788732394</v>
      </c>
      <c r="BO343" s="855"/>
      <c r="BP343" s="657">
        <v>0.3</v>
      </c>
      <c r="BQ343" s="846" t="str">
        <f t="shared" si="104"/>
        <v/>
      </c>
      <c r="BR343" s="690"/>
      <c r="BS343" s="653" t="str">
        <f t="shared" si="102"/>
        <v/>
      </c>
      <c r="BT343" s="854"/>
      <c r="BU343" s="657">
        <v>0.3</v>
      </c>
      <c r="BX343" s="666" t="str">
        <f t="shared" si="98"/>
        <v>Jun</v>
      </c>
      <c r="BY343" s="643">
        <f>IF(CB343=$CB347,SUMIF($BI335:$BI346,$BX343,$BR335:$BR346),SUMIF($BI335:$BI346,$BX343,$BM335:$BM346))</f>
        <v>0.71</v>
      </c>
      <c r="BZ343" s="821">
        <f>IF(IF(CB343=CB347,SUMIF(BI335:BI346,$BX343,BU335:BU346),SUMIF(BI335:BI346,$BX343,BP335:BP346))=0,NA(),IF(CB343=CB347,SUMIF(BI335:BI346,$BX343,BU335:BU346),SUMIF(BI335:BI346,$BX343,BP335:BP346)))</f>
        <v>0.3</v>
      </c>
      <c r="CA343" s="640">
        <f>IF(IF(CB343=CB347,SUMIF(BI335:BI346,$BX343,BS335:BS346),SUMIF(BI335:BI346,$BX343,BN335:BN346))=0,NA(),IF(CB343=CB347,SUMIF(BI335:BI346,$BX343,BS335:BS346),SUMIF(BI335:BI346,$BX343,BN335:BN346)))</f>
        <v>0.29577464788732394</v>
      </c>
      <c r="CB343" s="645">
        <f t="shared" si="103"/>
        <v>23</v>
      </c>
      <c r="CC343" s="645">
        <f t="shared" si="99"/>
        <v>6</v>
      </c>
    </row>
    <row r="344" spans="61:81" ht="15" customHeight="1">
      <c r="BI344" s="638" t="s">
        <v>337</v>
      </c>
      <c r="BJ344" s="638">
        <v>10</v>
      </c>
      <c r="BK344" s="638" t="s">
        <v>338</v>
      </c>
      <c r="BL344" s="825">
        <f t="shared" si="100"/>
        <v>0.09</v>
      </c>
      <c r="BM344" s="859">
        <v>0.66</v>
      </c>
      <c r="BN344" s="653">
        <f t="shared" si="101"/>
        <v>0.13636363636363635</v>
      </c>
      <c r="BO344" s="289">
        <f>IF(SUM(BM344:BM346=0),0,SUM(BL344:BL346)/SUM(BM344:BM346))</f>
        <v>0.25880861850443598</v>
      </c>
      <c r="BP344" s="657">
        <v>0.3</v>
      </c>
      <c r="BQ344" s="846" t="str">
        <f t="shared" si="104"/>
        <v/>
      </c>
      <c r="BR344" s="690"/>
      <c r="BS344" s="653" t="str">
        <f t="shared" si="102"/>
        <v/>
      </c>
      <c r="BT344" s="289">
        <f>IF(SUM(BR344:BR346=0),0,SUM(BQ344:BQ346)/SUM(BR344:BR346))</f>
        <v>0</v>
      </c>
      <c r="BU344" s="657">
        <v>0.3</v>
      </c>
      <c r="BX344" s="666" t="str">
        <f t="shared" si="98"/>
        <v>Jul</v>
      </c>
      <c r="BY344" s="643">
        <f>IF(CB344=$CB347,SUMIF($BI335:$BI346,$BX344,$BR335:$BR346),SUMIF($BI335:$BI346,$BX344,$BM335:$BM346))</f>
        <v>0.66</v>
      </c>
      <c r="BZ344" s="821">
        <f>IF(IF(CB344=CB347,SUMIF(BI335:BI346,$BX344,BU335:BU346),SUMIF(BI335:BI346,$BX344,BP335:BP346))=0,NA(),IF(CB344=CB347,SUMIF(BI335:BI346,$BX344,BU335:BU346),SUMIF(BI335:BI346,$BX344,BP335:BP346)))</f>
        <v>0.3</v>
      </c>
      <c r="CA344" s="640">
        <f>IF(IF(CB344=CB347,SUMIF(BI335:BI346,$BX344,BS335:BS346),SUMIF(BI335:BI346,$BX344,BN335:BN346))=0,NA(),IF(CB344=CB347,SUMIF(BI335:BI346,$BX344,BS335:BS346),SUMIF(BI335:BI346,$BX344,BN335:BN346)))</f>
        <v>0.13636363636363635</v>
      </c>
      <c r="CB344" s="645">
        <f t="shared" si="103"/>
        <v>23</v>
      </c>
      <c r="CC344" s="645">
        <f t="shared" si="99"/>
        <v>7</v>
      </c>
    </row>
    <row r="345" spans="61:81" ht="15" customHeight="1">
      <c r="BI345" s="638" t="s">
        <v>343</v>
      </c>
      <c r="BJ345" s="638">
        <v>11</v>
      </c>
      <c r="BK345" s="638" t="s">
        <v>338</v>
      </c>
      <c r="BL345" s="825">
        <f t="shared" si="100"/>
        <v>0.42</v>
      </c>
      <c r="BM345" s="859">
        <v>1.72</v>
      </c>
      <c r="BN345" s="653">
        <f t="shared" si="101"/>
        <v>0.2441860465116279</v>
      </c>
      <c r="BO345" s="855"/>
      <c r="BP345" s="657">
        <v>0.3</v>
      </c>
      <c r="BQ345" s="846" t="str">
        <f>IF(BR326="","",BR326)</f>
        <v/>
      </c>
      <c r="BR345" s="690"/>
      <c r="BS345" s="653" t="str">
        <f t="shared" si="102"/>
        <v/>
      </c>
      <c r="BT345" s="854"/>
      <c r="BU345" s="657">
        <v>0.3</v>
      </c>
      <c r="BX345" s="666" t="str">
        <f t="shared" si="98"/>
        <v>Aug</v>
      </c>
      <c r="BY345" s="643">
        <f>IF(CB345=$CB347,SUMIF($BI335:$BI346,$BX345,$BR335:$BR346),SUMIF($BI335:$BI346,$BX345,$BM335:$BM346))</f>
        <v>1.72</v>
      </c>
      <c r="BZ345" s="821">
        <f>IF(IF(CB345=CB347,SUMIF(BI335:BI346,$BX345,BU335:BU346),SUMIF(BI335:BI346,$BX345,BP335:BP346))=0,NA(),IF(CB345=CB347,SUMIF(BI335:BI346,$BX345,BU335:BU346),SUMIF(BI335:BI346,$BX345,BP335:BP346)))</f>
        <v>0.3</v>
      </c>
      <c r="CA345" s="640">
        <f>IF(IF(CB345=CB347,SUMIF(BI335:BI346,$BX345,BS335:BS346),SUMIF(BI335:BI346,$BX345,BN335:BN346))=0,NA(),IF(CB345=CB347,SUMIF(BI335:BI346,$BX345,BS335:BS346),SUMIF(BI335:BI346,$BX345,BN335:BN346)))</f>
        <v>0.2441860465116279</v>
      </c>
      <c r="CB345" s="645">
        <f t="shared" si="103"/>
        <v>23</v>
      </c>
      <c r="CC345" s="645">
        <f t="shared" si="99"/>
        <v>8</v>
      </c>
    </row>
    <row r="346" spans="61:81" ht="15" customHeight="1">
      <c r="BI346" s="638" t="s">
        <v>344</v>
      </c>
      <c r="BJ346" s="638">
        <v>12</v>
      </c>
      <c r="BK346" s="638" t="s">
        <v>338</v>
      </c>
      <c r="BL346" s="825">
        <f t="shared" si="100"/>
        <v>0.51100000000000001</v>
      </c>
      <c r="BM346" s="859">
        <v>1.5649999999999999</v>
      </c>
      <c r="BN346" s="653">
        <f t="shared" si="101"/>
        <v>0.32651757188498404</v>
      </c>
      <c r="BO346" s="855"/>
      <c r="BP346" s="657">
        <v>0.3</v>
      </c>
      <c r="BQ346" s="846" t="str">
        <f t="shared" si="104"/>
        <v/>
      </c>
      <c r="BR346" s="690"/>
      <c r="BS346" s="653" t="str">
        <f t="shared" si="102"/>
        <v/>
      </c>
      <c r="BT346" s="854"/>
      <c r="BU346" s="657">
        <v>0.3</v>
      </c>
      <c r="BX346" s="666" t="str">
        <f t="shared" si="98"/>
        <v>Sep</v>
      </c>
      <c r="BY346" s="643">
        <f>IF(CB346=$CB347,SUMIF($BI335:$BI346,$BX346,$BR335:$BR346),SUMIF($BI335:$BI346,$BX346,$BM335:$BM346))</f>
        <v>1.5649999999999999</v>
      </c>
      <c r="BZ346" s="821">
        <f>IF(IF(CB346=CB347,SUMIF(BI335:BI346,$BX346,BU335:BU346),SUMIF(BI335:BI346,$BX346,BP335:BP346))=0,NA(),IF(CB346=CB347,SUMIF(BI335:BI346,$BX346,BU335:BU346),SUMIF(BI335:BI346,$BX346,BP335:BP346)))</f>
        <v>0.3</v>
      </c>
      <c r="CA346" s="640">
        <f>IF(IF(CB346=CB347,SUMIF(BI335:BI346,$BX346,BS335:BS346),SUMIF(BI335:BI346,$BX346,BN335:BN346))=0,NA(),IF(CB346=CB347,SUMIF(BI335:BI346,$BX346,BS335:BS346),SUMIF(BI335:BI346,$BX346,BN335:BN346)))</f>
        <v>0.32651757188498404</v>
      </c>
      <c r="CB346" s="645">
        <f t="shared" si="103"/>
        <v>23</v>
      </c>
      <c r="CC346" s="645">
        <f>IF(CC347-1&lt;1,CC347+11,CC347-1)</f>
        <v>9</v>
      </c>
    </row>
    <row r="347" spans="61:81" ht="15" customHeight="1">
      <c r="BJ347" s="277"/>
      <c r="BK347" s="277"/>
      <c r="BL347" s="277"/>
      <c r="BM347" s="277"/>
      <c r="BN347" s="698" t="str">
        <f t="shared" ref="BN347" si="105">IFERROR(BL347/BM347,"")</f>
        <v/>
      </c>
      <c r="BO347" s="277"/>
      <c r="BP347" s="277"/>
      <c r="BQ347" s="277"/>
      <c r="BR347" s="277"/>
      <c r="BS347" s="277"/>
      <c r="BT347" s="277"/>
      <c r="BW347" s="667" t="str">
        <f>Cover!$M$34</f>
        <v>OCT FY-24</v>
      </c>
      <c r="BX347" s="666" t="str">
        <f>TEXT(CONCATENATE(CC347,"/01/20",CB347),"MMM")</f>
        <v>Oct</v>
      </c>
      <c r="BY347" s="643">
        <f>SUMIF($BI335:$BI346,$BX347,$BR335:$BR346)</f>
        <v>1.98</v>
      </c>
      <c r="BZ347" s="821">
        <f>IF(IF(CB347=CB347,SUMIF(BI335:BI346,$BX347,BU335:BU346),SUMIF(BI335:BI346,$BX347,BP335:BP346))=0,NA(),IF(CB347=CB347,SUMIF(BI335:BI346,$BX347,BU335:BU346),SUMIF(BI335:BI346,$BX347,BP335:BP346)))</f>
        <v>0.3</v>
      </c>
      <c r="CA347" s="640">
        <f>IF(SUMIF($BI335:$BI346,$BX347,$BS335:$BS346)=0,NA(),SUMIF($BI335:$BI346,$BX347,$BS335:$BS346))</f>
        <v>0.34343434343434348</v>
      </c>
      <c r="CB347" s="645">
        <f t="shared" si="103"/>
        <v>24</v>
      </c>
      <c r="CC347" s="645">
        <f>MONTH(DATEVALUE(LEFT(BW347,3)&amp;" 1"))</f>
        <v>10</v>
      </c>
    </row>
    <row r="349" spans="61:81" ht="15" customHeight="1">
      <c r="BI349" s="54" t="s">
        <v>292</v>
      </c>
      <c r="BJ349" s="1116" t="s">
        <v>465</v>
      </c>
      <c r="BK349" s="1116"/>
      <c r="BL349" s="1116"/>
      <c r="BM349" s="1116"/>
      <c r="BN349" s="1116"/>
      <c r="BO349" s="1116"/>
      <c r="BP349" s="1116"/>
      <c r="BQ349" s="1116"/>
      <c r="BR349" s="1116"/>
      <c r="BS349" s="1116"/>
      <c r="BT349" s="1116"/>
      <c r="BU349" s="1116"/>
      <c r="BY349" s="270"/>
      <c r="BZ349" s="270"/>
      <c r="CA349" s="270"/>
      <c r="CB349" s="270"/>
      <c r="CC349" s="270"/>
    </row>
    <row r="350" spans="61:81" ht="15" customHeight="1">
      <c r="BI350" s="54" t="s">
        <v>296</v>
      </c>
      <c r="BJ350" s="283" t="s">
        <v>472</v>
      </c>
      <c r="BK350" s="283"/>
      <c r="BL350" s="283"/>
      <c r="BM350" s="283"/>
      <c r="BN350" s="283"/>
      <c r="BO350" s="283"/>
      <c r="BP350" s="283"/>
      <c r="BQ350" s="283"/>
      <c r="BR350" s="283"/>
      <c r="BS350" s="283"/>
      <c r="BT350" s="283"/>
      <c r="BU350" s="283"/>
      <c r="BW350" s="270"/>
      <c r="BX350" s="270"/>
    </row>
    <row r="351" spans="61:81" ht="15" customHeight="1">
      <c r="BI351" s="54" t="s">
        <v>300</v>
      </c>
      <c r="BJ351" s="283" t="s">
        <v>473</v>
      </c>
      <c r="BK351" s="283"/>
      <c r="BL351" s="283"/>
      <c r="BM351" s="283"/>
      <c r="BN351" s="283"/>
      <c r="BO351" s="283"/>
      <c r="BP351" s="283"/>
      <c r="BQ351" s="283"/>
      <c r="BR351" s="283"/>
      <c r="BS351" s="283"/>
      <c r="BT351" s="283"/>
      <c r="BU351" s="283"/>
      <c r="BY351" s="270"/>
      <c r="BZ351" s="270"/>
      <c r="CA351" s="270"/>
      <c r="CB351" s="270"/>
      <c r="CC351" s="270"/>
    </row>
    <row r="352" spans="61:81" ht="15" customHeight="1" thickBot="1">
      <c r="BI352" s="54"/>
      <c r="BJ352" s="292"/>
      <c r="BK352" s="292"/>
      <c r="BL352" s="292"/>
      <c r="BM352" s="292"/>
      <c r="BN352" s="292"/>
      <c r="BO352" s="292"/>
      <c r="BP352" s="292"/>
      <c r="BQ352" s="292"/>
      <c r="BR352" s="292"/>
      <c r="BS352" s="292"/>
      <c r="BT352" s="292"/>
      <c r="BU352" s="292"/>
      <c r="BY352" s="270"/>
      <c r="BZ352" s="270"/>
      <c r="CA352" s="270"/>
      <c r="CB352" s="270"/>
      <c r="CC352" s="270"/>
    </row>
    <row r="353" spans="61:81" ht="15" customHeight="1" thickBot="1">
      <c r="BI353" s="1402" t="s">
        <v>453</v>
      </c>
      <c r="BJ353" s="1403"/>
      <c r="BK353" s="1404"/>
      <c r="BL353" s="1402" t="s">
        <v>302</v>
      </c>
      <c r="BM353" s="1403"/>
      <c r="BN353" s="1403"/>
      <c r="BO353" s="1403"/>
      <c r="BP353" s="1404"/>
      <c r="BQ353" s="1402" t="s">
        <v>719</v>
      </c>
      <c r="BR353" s="1403"/>
      <c r="BS353" s="1403"/>
      <c r="BT353" s="1403"/>
      <c r="BU353" s="1404"/>
      <c r="BW353" s="1402" t="s">
        <v>303</v>
      </c>
      <c r="BX353" s="1403"/>
      <c r="BY353" s="1403"/>
      <c r="BZ353" s="1403"/>
      <c r="CA353" s="1403"/>
      <c r="CB353" s="1403"/>
      <c r="CC353" s="1404"/>
    </row>
    <row r="354" spans="61:81" ht="15" customHeight="1">
      <c r="BI354" s="636" t="s">
        <v>23</v>
      </c>
      <c r="BJ354" s="636" t="s">
        <v>37</v>
      </c>
      <c r="BK354" s="636" t="s">
        <v>304</v>
      </c>
      <c r="BL354" s="637" t="s">
        <v>305</v>
      </c>
      <c r="BM354" s="637" t="s">
        <v>310</v>
      </c>
      <c r="BN354" s="637" t="s">
        <v>311</v>
      </c>
      <c r="BO354" s="278" t="s">
        <v>312</v>
      </c>
      <c r="BP354" s="637" t="s">
        <v>313</v>
      </c>
      <c r="BQ354" s="637" t="s">
        <v>305</v>
      </c>
      <c r="BR354" s="637" t="s">
        <v>715</v>
      </c>
      <c r="BS354" s="637" t="s">
        <v>716</v>
      </c>
      <c r="BT354" s="278" t="s">
        <v>717</v>
      </c>
      <c r="BU354" s="637" t="s">
        <v>718</v>
      </c>
      <c r="BW354" s="279" t="s">
        <v>314</v>
      </c>
      <c r="BX354" s="279" t="s">
        <v>23</v>
      </c>
      <c r="BY354" s="280" t="s">
        <v>315</v>
      </c>
      <c r="BZ354" s="279" t="s">
        <v>122</v>
      </c>
      <c r="CA354" s="279" t="s">
        <v>316</v>
      </c>
      <c r="CB354" s="279" t="s">
        <v>317</v>
      </c>
      <c r="CC354" s="279" t="s">
        <v>318</v>
      </c>
    </row>
    <row r="355" spans="61:81" ht="15" customHeight="1">
      <c r="BI355" s="638" t="s">
        <v>319</v>
      </c>
      <c r="BJ355" s="638">
        <v>1</v>
      </c>
      <c r="BK355" s="638" t="s">
        <v>320</v>
      </c>
      <c r="BL355" s="857">
        <f>IF(BM335="","",BN355*BM355)</f>
        <v>4.0682870370370368E-5</v>
      </c>
      <c r="BM355" s="817">
        <v>0.185</v>
      </c>
      <c r="BN355" s="847">
        <v>2.199074074074074E-4</v>
      </c>
      <c r="BO355" s="849">
        <f>IF(SUM(BM355:BM357=0),0,SUM(BL355:BL357)/SUM(BM355:BM357))</f>
        <v>3.2161228689006469E-4</v>
      </c>
      <c r="BP355" s="851">
        <v>6.9444444444444447E-4</v>
      </c>
      <c r="BQ355" s="857">
        <f>IF(BR355="","",BS355*BR355)</f>
        <v>1.0799768518518519E-4</v>
      </c>
      <c r="BR355" s="689">
        <v>0.217</v>
      </c>
      <c r="BS355" s="847">
        <v>4.9768518518518521E-4</v>
      </c>
      <c r="BT355" s="849">
        <f>IF(SUM(BR355:BR357=0),0,SUM(BQ355:BQ357)/SUM(BR355:BR357))</f>
        <v>4.9768518518518521E-4</v>
      </c>
      <c r="BU355" s="851">
        <v>6.9444444444444447E-4</v>
      </c>
      <c r="BX355" s="666" t="str">
        <f t="shared" ref="BX355:BX366" si="106">TEXT(CONCATENATE(CC355,"/01/20",CB355),"MMM")</f>
        <v>Oct</v>
      </c>
      <c r="BY355" s="643">
        <f>IF(CB355=$CB367,SUMIF($BI355:$BI366,$BX355,$BR355:$BR366),SUMIF($BI355:$BI366,$BX355,$BM355:$BM366))</f>
        <v>0.185</v>
      </c>
      <c r="BZ355" s="877">
        <f>IF(IF(CB355=CB367,SUMIF(BI355:BI366,$BX355,BU355:BU366),SUMIF(BI355:BI366,$BX355,BP355:BP366))=0,NA(),IF(CB355=CB367,SUMIF(BI355:BI366,$BX355,BU355:BU366),SUMIF(BI355:BI366,$BX355,BP355:BP366)))</f>
        <v>6.9444444444444447E-4</v>
      </c>
      <c r="CA355" s="876">
        <f>IF(IF(CB355=CB367,SUMIF(BI355:BI366,$BX355,BS355:BS366),SUMIF(BI355:BI366,$BX355,BN355:BN366))=0,0,IF(CB355=CB367,SUMIF(BI355:BI366,$BX355,BS355:BS366),SUMIF(BI355:BI366,$BX355,BN355:BN366)))</f>
        <v>2.199074074074074E-4</v>
      </c>
      <c r="CB355" s="645">
        <f>CB335</f>
        <v>23</v>
      </c>
      <c r="CC355" s="645">
        <f t="shared" ref="CC355:CC365" si="107">IF(CC356-1&lt;1,CC356+11,CC356-1)</f>
        <v>10</v>
      </c>
    </row>
    <row r="356" spans="61:81" ht="15" customHeight="1">
      <c r="BI356" s="638" t="s">
        <v>321</v>
      </c>
      <c r="BJ356" s="638">
        <v>2</v>
      </c>
      <c r="BK356" s="638" t="s">
        <v>320</v>
      </c>
      <c r="BL356" s="857">
        <f t="shared" ref="BL356:BL366" si="108">IF(BM336="","",BN356*BM356)</f>
        <v>2.4398148148148152E-4</v>
      </c>
      <c r="BM356" s="817">
        <v>0.68</v>
      </c>
      <c r="BN356" s="847">
        <v>3.5879629629629635E-4</v>
      </c>
      <c r="BO356" s="852"/>
      <c r="BP356" s="851">
        <v>6.9444444444444447E-4</v>
      </c>
      <c r="BQ356" s="857" t="str">
        <f t="shared" ref="BQ356:BQ366" si="109">IF(BR356="","",BS356*BR356)</f>
        <v/>
      </c>
      <c r="BR356" s="689"/>
      <c r="BS356" s="847"/>
      <c r="BT356" s="852"/>
      <c r="BU356" s="851">
        <v>6.9444444444444447E-4</v>
      </c>
      <c r="BX356" s="666" t="str">
        <f t="shared" si="106"/>
        <v>Nov</v>
      </c>
      <c r="BY356" s="643">
        <f>IF(CB356=$CB367,SUMIF($BI355:$BI366,$BX356,$BR355:$BR366),SUMIF($BI355:$BI366,$BX356,$BM355:$BM366))</f>
        <v>0.68</v>
      </c>
      <c r="BZ356" s="877">
        <f>IF(IF(CB356=CB367,SUMIF(BI355:BI366,$BX356,BU355:BU366),SUMIF(BI355:BI366,$BX356,BP355:BP366))=0,NA(),IF(CB356=CB367,SUMIF(BI355:BI366,$BX356,BU355:BU366),SUMIF(BI355:BI366,$BX356,BP355:BP366)))</f>
        <v>6.9444444444444447E-4</v>
      </c>
      <c r="CA356" s="876">
        <f>IF(IF(CB356=CB367,SUMIF(BI355:BI366,$BX356,BS355:BS366),SUMIF(BI355:BI366,$BX356,BN355:BN366))=0,0,IF(CB356=CB367,SUMIF(BI355:BI366,$BX356,BS355:BS366),SUMIF(BI355:BI366,$BX356,BN355:BN366)))</f>
        <v>3.5879629629629635E-4</v>
      </c>
      <c r="CB356" s="645">
        <f t="shared" ref="CB356:CB367" si="110">CB336</f>
        <v>23</v>
      </c>
      <c r="CC356" s="645">
        <f t="shared" si="107"/>
        <v>11</v>
      </c>
    </row>
    <row r="357" spans="61:81" ht="15" customHeight="1">
      <c r="BI357" s="638" t="s">
        <v>322</v>
      </c>
      <c r="BJ357" s="638">
        <v>3</v>
      </c>
      <c r="BK357" s="638" t="s">
        <v>320</v>
      </c>
      <c r="BL357" s="857">
        <f t="shared" si="108"/>
        <v>2.2187499999999999E-4</v>
      </c>
      <c r="BM357" s="817">
        <v>0.71</v>
      </c>
      <c r="BN357" s="847">
        <v>3.1250000000000001E-4</v>
      </c>
      <c r="BO357" s="852"/>
      <c r="BP357" s="851">
        <v>6.9444444444444447E-4</v>
      </c>
      <c r="BQ357" s="857" t="str">
        <f t="shared" si="109"/>
        <v/>
      </c>
      <c r="BR357" s="689"/>
      <c r="BS357" s="847"/>
      <c r="BT357" s="852"/>
      <c r="BU357" s="851">
        <v>6.9444444444444447E-4</v>
      </c>
      <c r="BX357" s="666" t="str">
        <f t="shared" si="106"/>
        <v>Dec</v>
      </c>
      <c r="BY357" s="643">
        <f>IF(CB357=$CB367,SUMIF($BI355:$BI366,$BX357,$BR355:$BR366),SUMIF($BI355:$BI366,$BX357,$BM355:$BM366))</f>
        <v>0.71</v>
      </c>
      <c r="BZ357" s="877">
        <f>IF(IF(CB357=CB367,SUMIF(BI355:BI366,$BX357,BU355:BU366),SUMIF(BI355:BI366,$BX357,BP355:BP366))=0,NA(),IF(CB357=CB367,SUMIF(BI355:BI366,$BX357,BU355:BU366),SUMIF(BI355:BI366,$BX357,BP355:BP366)))</f>
        <v>6.9444444444444447E-4</v>
      </c>
      <c r="CA357" s="876">
        <f>IF(IF(CB357=CB367,SUMIF(BI355:BI366,$BX357,BS355:BS366),SUMIF(BI355:BI366,$BX357,BN355:BN366))=0,0,IF(CB357=CB367,SUMIF(BI355:BI366,$BX357,BS355:BS366),SUMIF(BI355:BI366,$BX357,BN355:BN366)))</f>
        <v>3.1250000000000001E-4</v>
      </c>
      <c r="CB357" s="645">
        <f t="shared" si="110"/>
        <v>23</v>
      </c>
      <c r="CC357" s="645">
        <f t="shared" si="107"/>
        <v>12</v>
      </c>
    </row>
    <row r="358" spans="61:81" ht="15" customHeight="1">
      <c r="BI358" s="638" t="s">
        <v>323</v>
      </c>
      <c r="BJ358" s="638">
        <v>4</v>
      </c>
      <c r="BK358" s="638" t="s">
        <v>324</v>
      </c>
      <c r="BL358" s="857">
        <f t="shared" si="108"/>
        <v>7.6967592592592588E-5</v>
      </c>
      <c r="BM358" s="817">
        <v>0.35</v>
      </c>
      <c r="BN358" s="847">
        <v>2.199074074074074E-4</v>
      </c>
      <c r="BO358" s="849">
        <f>IF(SUM(BM358:BM360=0),0,SUM(BL358:BL360)/SUM(BM358:BM360))</f>
        <v>2.349755415793152E-4</v>
      </c>
      <c r="BP358" s="851">
        <v>6.9444444444444447E-4</v>
      </c>
      <c r="BQ358" s="857" t="str">
        <f t="shared" si="109"/>
        <v/>
      </c>
      <c r="BR358" s="689"/>
      <c r="BS358" s="847"/>
      <c r="BT358" s="849">
        <f>IF(SUM(BR358:BR360=0),0,SUM(BQ358:BQ360)/SUM(BR358:BR360))</f>
        <v>0</v>
      </c>
      <c r="BU358" s="851">
        <v>6.9444444444444447E-4</v>
      </c>
      <c r="BX358" s="666" t="str">
        <f t="shared" si="106"/>
        <v>Jan</v>
      </c>
      <c r="BY358" s="643">
        <f>IF(CB358=$CB367,SUMIF($BI355:$BI366,$BX358,$BR355:$BR366),SUMIF($BI355:$BI366,$BX358,$BM355:$BM366))</f>
        <v>0.35</v>
      </c>
      <c r="BZ358" s="877">
        <f>IF(IF(CB358=CB367,SUMIF(BI355:BI366,$BX358,BU355:BU366),SUMIF(BI355:BI366,$BX358,BP355:BP366))=0,NA(),IF(CB358=CB367,SUMIF(BI355:BI366,$BX358,BU355:BU366),SUMIF(BI355:BI366,$BX358,BP355:BP366)))</f>
        <v>6.9444444444444447E-4</v>
      </c>
      <c r="CA358" s="876">
        <f>IF(IF(CB358=CB367,SUMIF(BI355:BI366,$BX358,BS355:BS366),SUMIF(BI355:BI366,$BX358,BN355:BN366))=0,0,IF(CB358=CB367,SUMIF(BI355:BI366,$BX358,BS355:BS366),SUMIF(BI355:BI366,$BX358,BN355:BN366)))</f>
        <v>2.199074074074074E-4</v>
      </c>
      <c r="CB358" s="645">
        <f t="shared" si="110"/>
        <v>23</v>
      </c>
      <c r="CC358" s="645">
        <f t="shared" si="107"/>
        <v>1</v>
      </c>
    </row>
    <row r="359" spans="61:81" ht="15" customHeight="1">
      <c r="BI359" s="638" t="s">
        <v>325</v>
      </c>
      <c r="BJ359" s="638">
        <v>5</v>
      </c>
      <c r="BK359" s="638" t="s">
        <v>324</v>
      </c>
      <c r="BL359" s="857">
        <f t="shared" si="108"/>
        <v>1.0405092592592593E-4</v>
      </c>
      <c r="BM359" s="818">
        <v>0.28999999999999998</v>
      </c>
      <c r="BN359" s="848">
        <v>3.5879629629629635E-4</v>
      </c>
      <c r="BO359" s="852"/>
      <c r="BP359" s="851">
        <v>6.9444444444444447E-4</v>
      </c>
      <c r="BQ359" s="857" t="str">
        <f t="shared" si="109"/>
        <v/>
      </c>
      <c r="BR359" s="690"/>
      <c r="BS359" s="848"/>
      <c r="BT359" s="852"/>
      <c r="BU359" s="851">
        <v>6.9444444444444447E-4</v>
      </c>
      <c r="BX359" s="666" t="str">
        <f t="shared" si="106"/>
        <v>Feb</v>
      </c>
      <c r="BY359" s="643">
        <f>IF(CB359=$CB367,SUMIF($BI355:$BI366,$BX359,$BR355:$BR366),SUMIF($BI355:$BI366,$BX359,$BM355:$BM366))</f>
        <v>0.28999999999999998</v>
      </c>
      <c r="BZ359" s="877">
        <f>IF(IF(CB359=CB367,SUMIF(BI355:BI366,$BX359,BU355:BU366),SUMIF(BI355:BI366,$BX359,BP355:BP366))=0,NA(),IF(CB359=CB367,SUMIF(BI355:BI366,$BX359,BU355:BU366),SUMIF(BI355:BI366,$BX359,BP355:BP366)))</f>
        <v>6.9444444444444447E-4</v>
      </c>
      <c r="CA359" s="876">
        <f>IF(IF(CB359=CB367,SUMIF(BI355:BI366,$BX359,BS355:BS366),SUMIF(BI355:BI366,$BX359,BN355:BN366))=0,0,IF(CB359=CB367,SUMIF(BI355:BI366,$BX359,BS355:BS366),SUMIF(BI355:BI366,$BX359,BN355:BN366)))</f>
        <v>3.5879629629629635E-4</v>
      </c>
      <c r="CB359" s="645">
        <f t="shared" si="110"/>
        <v>23</v>
      </c>
      <c r="CC359" s="645">
        <f t="shared" si="107"/>
        <v>2</v>
      </c>
    </row>
    <row r="360" spans="61:81" ht="15" customHeight="1">
      <c r="BI360" s="638" t="s">
        <v>326</v>
      </c>
      <c r="BJ360" s="638">
        <v>6</v>
      </c>
      <c r="BK360" s="638" t="s">
        <v>324</v>
      </c>
      <c r="BL360" s="857">
        <f t="shared" si="108"/>
        <v>6.805555555555555E-5</v>
      </c>
      <c r="BM360" s="818">
        <v>0.42</v>
      </c>
      <c r="BN360" s="848">
        <v>1.6203703703703703E-4</v>
      </c>
      <c r="BO360" s="852"/>
      <c r="BP360" s="851">
        <v>6.9444444444444447E-4</v>
      </c>
      <c r="BQ360" s="857" t="str">
        <f t="shared" si="109"/>
        <v/>
      </c>
      <c r="BR360" s="687"/>
      <c r="BS360" s="848"/>
      <c r="BT360" s="852"/>
      <c r="BU360" s="851">
        <v>6.9444444444444447E-4</v>
      </c>
      <c r="BX360" s="666" t="str">
        <f t="shared" si="106"/>
        <v>Mar</v>
      </c>
      <c r="BY360" s="643">
        <f>IF(CB360=$CB367,SUMIF($BI355:$BI366,$BX360,$BR355:$BR366),SUMIF($BI355:$BI366,$BX360,$BM355:$BM366))</f>
        <v>0.42</v>
      </c>
      <c r="BZ360" s="877">
        <f>IF(IF(CB360=CB367,SUMIF(BI355:BI366,$BX360,BU355:BU366),SUMIF(BI355:BI366,$BX360,BP355:BP366))=0,NA(),IF(CB360=CB367,SUMIF(BI355:BI366,$BX360,BU355:BU366),SUMIF(BI355:BI366,$BX360,BP355:BP366)))</f>
        <v>6.9444444444444447E-4</v>
      </c>
      <c r="CA360" s="876">
        <f>IF(IF(CB360=CB367,SUMIF(BI355:BI366,$BX360,BS355:BS366),SUMIF(BI355:BI366,$BX360,BN355:BN366))=0,0,IF(CB360=CB367,SUMIF(BI355:BI366,$BX360,BS355:BS366),SUMIF(BI355:BI366,$BX360,BN355:BN366)))</f>
        <v>1.6203703703703703E-4</v>
      </c>
      <c r="CB360" s="645">
        <f t="shared" si="110"/>
        <v>23</v>
      </c>
      <c r="CC360" s="645">
        <f t="shared" si="107"/>
        <v>3</v>
      </c>
    </row>
    <row r="361" spans="61:81" ht="15" customHeight="1">
      <c r="BI361" s="638" t="s">
        <v>327</v>
      </c>
      <c r="BJ361" s="638">
        <v>7</v>
      </c>
      <c r="BK361" s="638" t="s">
        <v>328</v>
      </c>
      <c r="BL361" s="857">
        <f t="shared" si="108"/>
        <v>7.0833333333333338E-5</v>
      </c>
      <c r="BM361" s="818">
        <v>0.34</v>
      </c>
      <c r="BN361" s="848">
        <v>2.0833333333333335E-4</v>
      </c>
      <c r="BO361" s="849">
        <f>IF(SUM(BM361:BM363=0),0,SUM(BL361:BL363)/SUM(BM361:BM363))</f>
        <v>2.2264451951951953E-4</v>
      </c>
      <c r="BP361" s="851">
        <v>6.9444444444444447E-4</v>
      </c>
      <c r="BQ361" s="857" t="str">
        <f t="shared" si="109"/>
        <v/>
      </c>
      <c r="BR361" s="689"/>
      <c r="BS361" s="847"/>
      <c r="BT361" s="849">
        <f>IF(SUM(BR361:BR363=0),0,SUM(BQ361:BQ363)/SUM(BR361:BR363))</f>
        <v>0</v>
      </c>
      <c r="BU361" s="851">
        <v>6.9444444444444447E-4</v>
      </c>
      <c r="BX361" s="666" t="str">
        <f t="shared" si="106"/>
        <v>Apr</v>
      </c>
      <c r="BY361" s="643">
        <f>IF(CB361=$CB367,SUMIF($BI355:$BI366,$BX361,$BR355:$BR366),SUMIF($BI355:$BI366,$BX361,$BM355:$BM366))</f>
        <v>0.34</v>
      </c>
      <c r="BZ361" s="877">
        <f>IF(IF(CB361=CB367,SUMIF(BI355:BI366,$BX361,BU355:BU366),SUMIF(BI355:BI366,$BX361,BP355:BP366))=0,NA(),IF(CB361=CB367,SUMIF(BI355:BI366,$BX361,BU355:BU366),SUMIF(BI355:BI366,$BX361,BP355:BP366)))</f>
        <v>6.9444444444444447E-4</v>
      </c>
      <c r="CA361" s="876">
        <f>IF(IF(CB361=CB367,SUMIF(BI355:BI366,$BX361,BS355:BS366),SUMIF(BI355:BI366,$BX361,BN355:BN366))=0,0,IF(CB361=CB367,SUMIF(BI355:BI366,$BX361,BS355:BS366),SUMIF(BI355:BI366,$BX361,BN355:BN366)))</f>
        <v>2.0833333333333335E-4</v>
      </c>
      <c r="CB361" s="645">
        <f t="shared" si="110"/>
        <v>23</v>
      </c>
      <c r="CC361" s="645">
        <f t="shared" si="107"/>
        <v>4</v>
      </c>
    </row>
    <row r="362" spans="61:81" ht="15" customHeight="1">
      <c r="BI362" s="638" t="s">
        <v>329</v>
      </c>
      <c r="BJ362" s="638">
        <v>8</v>
      </c>
      <c r="BK362" s="638" t="s">
        <v>328</v>
      </c>
      <c r="BL362" s="857">
        <f t="shared" si="108"/>
        <v>6.9675925925925924E-5</v>
      </c>
      <c r="BM362" s="818">
        <v>0.43</v>
      </c>
      <c r="BN362" s="848">
        <v>1.6203703703703703E-4</v>
      </c>
      <c r="BO362" s="852"/>
      <c r="BP362" s="851">
        <v>6.9444444444444447E-4</v>
      </c>
      <c r="BQ362" s="857" t="str">
        <f t="shared" si="109"/>
        <v/>
      </c>
      <c r="BR362" s="687"/>
      <c r="BS362" s="848"/>
      <c r="BT362" s="852"/>
      <c r="BU362" s="851">
        <v>6.9444444444444447E-4</v>
      </c>
      <c r="BX362" s="666" t="str">
        <f t="shared" si="106"/>
        <v>May</v>
      </c>
      <c r="BY362" s="643">
        <f>IF(CB362=$CB367,SUMIF($BI355:$BI366,$BX362,$BR355:$BR366),SUMIF($BI355:$BI366,$BX362,$BM355:$BM366))</f>
        <v>0.43</v>
      </c>
      <c r="BZ362" s="877">
        <f>IF(IF(CB362=CB367,SUMIF(BI355:BI366,$BX362,BU355:BU366),SUMIF(BI355:BI366,$BX362,BP355:BP366))=0,NA(),IF(CB362=CB367,SUMIF(BI355:BI366,$BX362,BU355:BU366),SUMIF(BI355:BI366,$BX362,BP355:BP366)))</f>
        <v>6.9444444444444447E-4</v>
      </c>
      <c r="CA362" s="876">
        <f>IF(IF(CB362=CB367,SUMIF(BI355:BI366,$BX362,BS355:BS366),SUMIF(BI355:BI366,$BX362,BN355:BN366))=0,0,IF(CB362=CB367,SUMIF(BI355:BI366,$BX362,BS355:BS366),SUMIF(BI355:BI366,$BX362,BN355:BN366)))</f>
        <v>1.6203703703703703E-4</v>
      </c>
      <c r="CB362" s="645">
        <f t="shared" si="110"/>
        <v>23</v>
      </c>
      <c r="CC362" s="645">
        <f t="shared" si="107"/>
        <v>5</v>
      </c>
    </row>
    <row r="363" spans="61:81" ht="15" customHeight="1">
      <c r="BI363" s="638" t="s">
        <v>331</v>
      </c>
      <c r="BJ363" s="638">
        <v>9</v>
      </c>
      <c r="BK363" s="638" t="s">
        <v>328</v>
      </c>
      <c r="BL363" s="857">
        <f t="shared" si="108"/>
        <v>1.8900462962962962E-4</v>
      </c>
      <c r="BM363" s="818">
        <v>0.71</v>
      </c>
      <c r="BN363" s="848">
        <v>2.6620370370370372E-4</v>
      </c>
      <c r="BO363" s="852"/>
      <c r="BP363" s="851">
        <v>6.9444444444444447E-4</v>
      </c>
      <c r="BQ363" s="857" t="str">
        <f t="shared" si="109"/>
        <v/>
      </c>
      <c r="BR363" s="687"/>
      <c r="BS363" s="848"/>
      <c r="BT363" s="852"/>
      <c r="BU363" s="851">
        <v>6.9444444444444447E-4</v>
      </c>
      <c r="BX363" s="666" t="str">
        <f t="shared" si="106"/>
        <v>Jun</v>
      </c>
      <c r="BY363" s="643">
        <f>IF(CB363=$CB367,SUMIF($BI355:$BI366,$BX363,$BR355:$BR366),SUMIF($BI355:$BI366,$BX363,$BM355:$BM366))</f>
        <v>0.71</v>
      </c>
      <c r="BZ363" s="877">
        <f>IF(IF(CB363=CB367,SUMIF(BI355:BI366,$BX363,BU355:BU366),SUMIF(BI355:BI366,$BX363,BP355:BP366))=0,NA(),IF(CB363=CB367,SUMIF(BI355:BI366,$BX363,BU355:BU366),SUMIF(BI355:BI366,$BX363,BP355:BP366)))</f>
        <v>6.9444444444444447E-4</v>
      </c>
      <c r="CA363" s="876">
        <f>IF(IF(CB363=CB367,SUMIF(BI355:BI366,$BX363,BS355:BS366),SUMIF(BI355:BI366,$BX363,BN355:BN366))=0,0,IF(CB363=CB367,SUMIF(BI355:BI366,$BX363,BS355:BS366),SUMIF(BI355:BI366,$BX363,BN355:BN366)))</f>
        <v>2.6620370370370372E-4</v>
      </c>
      <c r="CB363" s="645">
        <f t="shared" si="110"/>
        <v>23</v>
      </c>
      <c r="CC363" s="645">
        <f t="shared" si="107"/>
        <v>6</v>
      </c>
    </row>
    <row r="364" spans="61:81" ht="15" customHeight="1">
      <c r="BI364" s="638" t="s">
        <v>337</v>
      </c>
      <c r="BJ364" s="638">
        <v>10</v>
      </c>
      <c r="BK364" s="638" t="s">
        <v>338</v>
      </c>
      <c r="BL364" s="857">
        <f t="shared" si="108"/>
        <v>1.9386574074074079E-4</v>
      </c>
      <c r="BM364" s="818">
        <v>0.67</v>
      </c>
      <c r="BN364" s="848">
        <v>2.8935185185185189E-4</v>
      </c>
      <c r="BO364" s="849">
        <f>IF(SUM(BM364:BM366=0),0,SUM(BL364:BL366)/SUM(BM364:BM366))</f>
        <v>3.3043860666512033E-4</v>
      </c>
      <c r="BP364" s="851">
        <v>6.9444444444444447E-4</v>
      </c>
      <c r="BQ364" s="857" t="str">
        <f t="shared" si="109"/>
        <v/>
      </c>
      <c r="BR364" s="687"/>
      <c r="BS364" s="848"/>
      <c r="BT364" s="849">
        <f>IF(SUM(BR364:BR366=0),0,SUM(BQ364:BQ366)/SUM(BR364:BR366))</f>
        <v>0</v>
      </c>
      <c r="BU364" s="851">
        <v>6.9444444444444447E-4</v>
      </c>
      <c r="BX364" s="666" t="str">
        <f t="shared" si="106"/>
        <v>Jul</v>
      </c>
      <c r="BY364" s="643">
        <f>IF(CB364=$CB367,SUMIF($BI355:$BI366,$BX364,$BR355:$BR366),SUMIF($BI355:$BI366,$BX364,$BM355:$BM366))</f>
        <v>0.67</v>
      </c>
      <c r="BZ364" s="877">
        <f>IF(IF(CB364=CB367,SUMIF(BI355:BI366,$BX364,BU355:BU366),SUMIF(BI355:BI366,$BX364,BP355:BP366))=0,NA(),IF(CB364=CB367,SUMIF(BI355:BI366,$BX364,BU355:BU366),SUMIF(BI355:BI366,$BX364,BP355:BP366)))</f>
        <v>6.9444444444444447E-4</v>
      </c>
      <c r="CA364" s="876">
        <f>IF(IF(CB364=CB367,SUMIF(BI355:BI366,$BX364,BS355:BS366),SUMIF(BI355:BI366,$BX364,BN355:BN366))=0,0,IF(CB364=CB367,SUMIF(BI355:BI366,$BX364,BS355:BS366),SUMIF(BI355:BI366,$BX364,BN355:BN366)))</f>
        <v>2.8935185185185189E-4</v>
      </c>
      <c r="CB364" s="645">
        <f t="shared" si="110"/>
        <v>23</v>
      </c>
      <c r="CC364" s="645">
        <f t="shared" si="107"/>
        <v>7</v>
      </c>
    </row>
    <row r="365" spans="61:81" ht="15" customHeight="1">
      <c r="BI365" s="638" t="s">
        <v>343</v>
      </c>
      <c r="BJ365" s="638">
        <v>11</v>
      </c>
      <c r="BK365" s="638" t="s">
        <v>338</v>
      </c>
      <c r="BL365" s="857">
        <f t="shared" si="108"/>
        <v>3.8888888888888891E-5</v>
      </c>
      <c r="BM365" s="818">
        <v>0.16800000000000001</v>
      </c>
      <c r="BN365" s="848">
        <v>2.3148148148148146E-4</v>
      </c>
      <c r="BO365" s="852"/>
      <c r="BP365" s="851">
        <v>6.9444444444444447E-4</v>
      </c>
      <c r="BQ365" s="857" t="str">
        <f t="shared" si="109"/>
        <v/>
      </c>
      <c r="BR365" s="687"/>
      <c r="BS365" s="848"/>
      <c r="BT365" s="852"/>
      <c r="BU365" s="851">
        <v>6.9444444444444447E-4</v>
      </c>
      <c r="BX365" s="666" t="str">
        <f t="shared" si="106"/>
        <v>Aug</v>
      </c>
      <c r="BY365" s="643">
        <f>IF(CB365=$CB367,SUMIF($BI355:$BI366,$BX365,$BR355:$BR366),SUMIF($BI355:$BI366,$BX365,$BM355:$BM366))</f>
        <v>0.16800000000000001</v>
      </c>
      <c r="BZ365" s="877">
        <f>IF(IF(CB365=CB367,SUMIF(BI355:BI366,$BX365,BU355:BU366),SUMIF(BI355:BI366,$BX365,BP355:BP366))=0,NA(),IF(CB365=CB367,SUMIF(BI355:BI366,$BX365,BU355:BU366),SUMIF(BI355:BI366,$BX365,BP355:BP366)))</f>
        <v>6.9444444444444447E-4</v>
      </c>
      <c r="CA365" s="876">
        <f>IF(IF(CB365=CB367,SUMIF(BI355:BI366,$BX365,BS355:BS366),SUMIF(BI355:BI366,$BX365,BN355:BN366))=0,0,IF(CB365=CB367,SUMIF(BI355:BI366,$BX365,BS355:BS366),SUMIF(BI355:BI366,$BX365,BN355:BN366)))</f>
        <v>2.3148148148148146E-4</v>
      </c>
      <c r="CB365" s="645">
        <f t="shared" si="110"/>
        <v>23</v>
      </c>
      <c r="CC365" s="645">
        <f t="shared" si="107"/>
        <v>8</v>
      </c>
    </row>
    <row r="366" spans="61:81" ht="15" customHeight="1">
      <c r="BI366" s="638" t="s">
        <v>344</v>
      </c>
      <c r="BJ366" s="638">
        <v>12</v>
      </c>
      <c r="BK366" s="638" t="s">
        <v>338</v>
      </c>
      <c r="BL366" s="857">
        <f t="shared" si="108"/>
        <v>5.5864583333333341E-4</v>
      </c>
      <c r="BM366" s="818">
        <v>1.5569999999999999</v>
      </c>
      <c r="BN366" s="848">
        <v>3.5879629629629635E-4</v>
      </c>
      <c r="BO366" s="852"/>
      <c r="BP366" s="851">
        <v>6.9444444444444447E-4</v>
      </c>
      <c r="BQ366" s="857" t="str">
        <f t="shared" si="109"/>
        <v/>
      </c>
      <c r="BR366" s="687"/>
      <c r="BS366" s="848"/>
      <c r="BT366" s="852"/>
      <c r="BU366" s="851">
        <v>6.9444444444444447E-4</v>
      </c>
      <c r="BX366" s="666" t="str">
        <f t="shared" si="106"/>
        <v>Sep</v>
      </c>
      <c r="BY366" s="643">
        <f>IF(CB366=$CB367,SUMIF($BI355:$BI366,$BX366,$BR355:$BR366),SUMIF($BI355:$BI366,$BX366,$BM355:$BM366))</f>
        <v>1.5569999999999999</v>
      </c>
      <c r="BZ366" s="877">
        <f>IF(IF(CB366=CB367,SUMIF(BI355:BI366,$BX366,BU355:BU366),SUMIF(BI355:BI366,$BX366,BP355:BP366))=0,NA(),IF(CB366=CB367,SUMIF(BI355:BI366,$BX366,BU355:BU366),SUMIF(BI355:BI366,$BX366,BP355:BP366)))</f>
        <v>6.9444444444444447E-4</v>
      </c>
      <c r="CA366" s="876">
        <f>IF(IF(CB366=CB367,SUMIF(BI355:BI366,$BX366,BS355:BS366),SUMIF(BI355:BI366,$BX366,BN355:BN366))=0,0,IF(CB366=CB367,SUMIF(BI355:BI366,$BX366,BS355:BS366),SUMIF(BI355:BI366,$BX366,BN355:BN366)))</f>
        <v>3.5879629629629635E-4</v>
      </c>
      <c r="CB366" s="645">
        <f t="shared" si="110"/>
        <v>23</v>
      </c>
      <c r="CC366" s="645">
        <f>IF(CC367-1&lt;1,CC367+11,CC367-1)</f>
        <v>9</v>
      </c>
    </row>
    <row r="367" spans="61:81" ht="15" customHeight="1">
      <c r="BJ367" s="277"/>
      <c r="BK367" s="277"/>
      <c r="BL367" s="277"/>
      <c r="BM367" s="277"/>
      <c r="BN367" s="277"/>
      <c r="BO367" s="277"/>
      <c r="BP367" s="277"/>
      <c r="BQ367" s="277"/>
      <c r="BR367" s="277"/>
      <c r="BS367" s="277"/>
      <c r="BT367" s="277"/>
      <c r="BW367" s="667" t="str">
        <f>Cover!$M$34</f>
        <v>OCT FY-24</v>
      </c>
      <c r="BX367" s="666" t="str">
        <f>TEXT(CONCATENATE(CC367,"/01/20",CB367),"MMM")</f>
        <v>Oct</v>
      </c>
      <c r="BY367" s="643">
        <f>SUMIF($BI355:$BI366,$BX367,$BR355:$BR366)</f>
        <v>0.217</v>
      </c>
      <c r="BZ367" s="877">
        <f>IF(IF(CB367=CB367,SUMIF(BI355:BI366,$BX367,BU355:BU366),SUMIF(BI355:BI366,$BX367,BP355:BP366))=0,NA(),IF(CB367=CB367,SUMIF(BI355:BI366,$BX367,BU355:BU366),SUMIF(BI355:BI366,$BX367,BP355:BP366)))</f>
        <v>6.9444444444444447E-4</v>
      </c>
      <c r="CA367" s="876">
        <f>IF(SUMIF($BI355:$BI366,$BX367,$BS355:$BS366)=0,0,SUMIF($BI355:$BI366,$BX367,$BS355:$BS366))</f>
        <v>4.9768518518518521E-4</v>
      </c>
      <c r="CB367" s="645">
        <f t="shared" si="110"/>
        <v>24</v>
      </c>
      <c r="CC367" s="645">
        <f>MONTH(DATEVALUE(LEFT(BW367,3)&amp;" 1"))</f>
        <v>10</v>
      </c>
    </row>
    <row r="368" spans="61:81" ht="15" customHeight="1">
      <c r="BI368" s="6"/>
      <c r="BJ368" s="6"/>
      <c r="BK368" s="6"/>
      <c r="BL368" s="6"/>
      <c r="BM368" s="6"/>
      <c r="BN368" s="6"/>
      <c r="BO368" s="6"/>
      <c r="BP368" s="6"/>
      <c r="BQ368" s="6"/>
      <c r="BR368" s="6"/>
      <c r="BS368" s="6"/>
      <c r="BT368" s="6"/>
      <c r="BU368" s="6"/>
      <c r="BV368" s="6"/>
    </row>
    <row r="369" spans="61:81" ht="15" customHeight="1">
      <c r="BI369" s="54" t="s">
        <v>292</v>
      </c>
      <c r="BJ369" s="287" t="s">
        <v>478</v>
      </c>
      <c r="BK369" s="287"/>
      <c r="BL369" s="287"/>
      <c r="BM369" s="287"/>
      <c r="BN369" s="287"/>
      <c r="BO369" s="287"/>
      <c r="BP369" s="287"/>
      <c r="BQ369" s="287"/>
      <c r="BR369" s="287"/>
      <c r="BS369" s="287"/>
      <c r="BT369" s="287"/>
      <c r="BU369" s="287"/>
    </row>
    <row r="370" spans="61:81" ht="15" customHeight="1">
      <c r="BI370" s="54" t="s">
        <v>296</v>
      </c>
      <c r="BJ370" s="283" t="s">
        <v>475</v>
      </c>
      <c r="BK370" s="283"/>
      <c r="BL370" s="283"/>
      <c r="BM370" s="283"/>
      <c r="BN370" s="283"/>
      <c r="BO370" s="283"/>
      <c r="BP370" s="283"/>
      <c r="BQ370" s="283"/>
      <c r="BR370" s="283"/>
      <c r="BS370" s="283"/>
      <c r="BT370" s="283"/>
      <c r="BU370" s="283"/>
    </row>
    <row r="371" spans="61:81" ht="15" customHeight="1" thickBot="1">
      <c r="BI371" s="54" t="s">
        <v>300</v>
      </c>
      <c r="BJ371" s="283" t="s">
        <v>476</v>
      </c>
      <c r="BK371" s="283"/>
      <c r="BL371" s="283"/>
      <c r="BM371" s="283"/>
      <c r="BN371" s="283"/>
      <c r="BO371" s="283"/>
      <c r="BP371" s="283"/>
      <c r="BQ371" s="283"/>
      <c r="BR371" s="283"/>
      <c r="BS371" s="283"/>
      <c r="BT371" s="283"/>
      <c r="BU371" s="283"/>
    </row>
    <row r="372" spans="61:81" ht="15" customHeight="1" thickBot="1">
      <c r="BI372" s="1402" t="s">
        <v>453</v>
      </c>
      <c r="BJ372" s="1403"/>
      <c r="BK372" s="1404"/>
      <c r="BL372" s="1402" t="s">
        <v>302</v>
      </c>
      <c r="BM372" s="1403"/>
      <c r="BN372" s="1403"/>
      <c r="BO372" s="1403"/>
      <c r="BP372" s="1404"/>
      <c r="BQ372" s="1402" t="s">
        <v>719</v>
      </c>
      <c r="BR372" s="1403"/>
      <c r="BS372" s="1403"/>
      <c r="BT372" s="1403"/>
      <c r="BU372" s="1404"/>
      <c r="BW372" s="1402" t="s">
        <v>303</v>
      </c>
      <c r="BX372" s="1403"/>
      <c r="BY372" s="1403"/>
      <c r="BZ372" s="1403"/>
      <c r="CA372" s="1403"/>
      <c r="CB372" s="1403"/>
      <c r="CC372" s="1404"/>
    </row>
    <row r="373" spans="61:81" ht="15" customHeight="1">
      <c r="BI373" s="636" t="s">
        <v>23</v>
      </c>
      <c r="BJ373" s="636" t="s">
        <v>37</v>
      </c>
      <c r="BK373" s="636" t="s">
        <v>304</v>
      </c>
      <c r="BL373" s="637" t="s">
        <v>305</v>
      </c>
      <c r="BM373" s="637" t="s">
        <v>310</v>
      </c>
      <c r="BN373" s="637" t="s">
        <v>311</v>
      </c>
      <c r="BO373" s="278" t="s">
        <v>312</v>
      </c>
      <c r="BP373" s="637" t="s">
        <v>313</v>
      </c>
      <c r="BQ373" s="637" t="s">
        <v>305</v>
      </c>
      <c r="BR373" s="637" t="s">
        <v>715</v>
      </c>
      <c r="BS373" s="637" t="s">
        <v>716</v>
      </c>
      <c r="BT373" s="278" t="s">
        <v>717</v>
      </c>
      <c r="BU373" s="637" t="s">
        <v>718</v>
      </c>
      <c r="BW373" s="279" t="s">
        <v>314</v>
      </c>
      <c r="BX373" s="279" t="s">
        <v>23</v>
      </c>
      <c r="BY373" s="280" t="s">
        <v>315</v>
      </c>
      <c r="BZ373" s="279" t="s">
        <v>122</v>
      </c>
      <c r="CA373" s="279" t="s">
        <v>316</v>
      </c>
      <c r="CB373" s="279" t="s">
        <v>317</v>
      </c>
      <c r="CC373" s="279" t="s">
        <v>318</v>
      </c>
    </row>
    <row r="374" spans="61:81" ht="15" customHeight="1">
      <c r="BI374" s="638" t="s">
        <v>319</v>
      </c>
      <c r="BJ374" s="638">
        <v>1</v>
      </c>
      <c r="BK374" s="638" t="s">
        <v>320</v>
      </c>
      <c r="BL374" s="859">
        <v>4.0000000000000001E-3</v>
      </c>
      <c r="BM374" s="858">
        <v>0.19700000000000001</v>
      </c>
      <c r="BN374" s="653">
        <f>IF(BM374="","",BL374/BM374)</f>
        <v>2.030456852791878E-2</v>
      </c>
      <c r="BO374" s="289">
        <f>IF(SUM(BM374:BM376=0),0,SUM(BL374:BL376)/SUM(BM374:BM376))</f>
        <v>3.9095907147220527E-2</v>
      </c>
      <c r="BP374" s="821">
        <v>0.05</v>
      </c>
      <c r="BQ374" s="690">
        <v>7.0000000000000001E-3</v>
      </c>
      <c r="BR374" s="689">
        <v>0.23300000000000001</v>
      </c>
      <c r="BS374" s="842">
        <f>IF(BR374="","",BQ374/BR374)</f>
        <v>3.0042918454935622E-2</v>
      </c>
      <c r="BT374" s="289">
        <f>IF(SUM(BR374:BR376=0),0,SUM(BQ374:BQ376)/SUM(BR374:BR376))</f>
        <v>3.0042918454935622E-2</v>
      </c>
      <c r="BU374" s="821">
        <v>0.05</v>
      </c>
      <c r="BX374" s="666" t="str">
        <f t="shared" ref="BX374:BX385" si="111">TEXT(CONCATENATE(CC374,"/01/20",CB374),"MMM")</f>
        <v>Oct</v>
      </c>
      <c r="BY374" s="643">
        <f>IF(CB374=$CB386,SUMIF($BI374:$BI385,$BX374,$BR374:$BR385),SUMIF($BI374:$BI385,$BX374,$BM374:$BM385))</f>
        <v>0.19700000000000001</v>
      </c>
      <c r="BZ374" s="821">
        <f>IF(IF(CB374=CB386,SUMIF(BI374:BI385,$BX374,BU374:BU385),SUMIF(BI374:BI385,$BX374,BP374:BP385))=0,NA(),IF(CB374=CB386,SUMIF(BI374:BI385,$BX374,BU374:BU385),SUMIF(BI374:BI385,$BX374,BP374:BP385)))</f>
        <v>0.05</v>
      </c>
      <c r="CA374" s="644">
        <f>IF(IF(CB374=CB386,SUMIF(BI374:BI385,$BX374,BS374:BS385),SUMIF(BI374:BI385,$BX374,BN374:BN385))=0,0,IF(CB374=CB386,SUMIF(BI374:BI385,$BX374,BS374:BS385),SUMIF(BI374:BI385,$BX374,BN374:BN385)))</f>
        <v>2.030456852791878E-2</v>
      </c>
      <c r="CB374" s="645">
        <f>CB355</f>
        <v>23</v>
      </c>
      <c r="CC374" s="645">
        <f t="shared" ref="CC374:CC384" si="112">IF(CC375-1&lt;1,CC375+11,CC375-1)</f>
        <v>10</v>
      </c>
    </row>
    <row r="375" spans="61:81" ht="15" customHeight="1">
      <c r="BI375" s="638" t="s">
        <v>321</v>
      </c>
      <c r="BJ375" s="638">
        <v>2</v>
      </c>
      <c r="BK375" s="638" t="s">
        <v>320</v>
      </c>
      <c r="BL375" s="859">
        <v>0.03</v>
      </c>
      <c r="BM375" s="858">
        <v>0.68</v>
      </c>
      <c r="BN375" s="653">
        <f t="shared" ref="BN375:BN385" si="113">IF(BM375="","",BL375/BM375)</f>
        <v>4.4117647058823525E-2</v>
      </c>
      <c r="BO375" s="855"/>
      <c r="BP375" s="821">
        <v>0.05</v>
      </c>
      <c r="BQ375" s="690"/>
      <c r="BR375" s="689"/>
      <c r="BS375" s="842" t="str">
        <f t="shared" ref="BS375:BS385" si="114">IF(BR375="","",BQ375/BR375)</f>
        <v/>
      </c>
      <c r="BT375" s="855"/>
      <c r="BU375" s="821">
        <v>0.05</v>
      </c>
      <c r="BX375" s="666" t="str">
        <f t="shared" si="111"/>
        <v>Nov</v>
      </c>
      <c r="BY375" s="643">
        <f>IF(CB375=$CB386,SUMIF($BI374:$BI385,$BX375,$BR374:$BR385),SUMIF($BI374:$BI385,$BX375,$BM374:$BM385))</f>
        <v>0.68</v>
      </c>
      <c r="BZ375" s="821">
        <f>IF(IF(CB375=CB386,SUMIF(BI374:BI385,$BX375,BU374:BU385),SUMIF(BI374:BI385,$BX375,BP374:BP385))=0,NA(),IF(CB375=CB386,SUMIF(BI374:BI385,$BX375,BU374:BU385),SUMIF(BI374:BI385,$BX375,BP374:BP385)))</f>
        <v>0.05</v>
      </c>
      <c r="CA375" s="644">
        <f>IF(IF(CB375=CB386,SUMIF(BI374:BI385,$BX375,BS374:BS385),SUMIF(BI374:BI385,$BX375,BN374:BN385))=0,0,IF(CB375=CB386,SUMIF(BI374:BI385,$BX375,BS374:BS385),SUMIF(BI374:BI385,$BX375,BN374:BN385)))</f>
        <v>4.4117647058823525E-2</v>
      </c>
      <c r="CB375" s="645">
        <f>CB356</f>
        <v>23</v>
      </c>
      <c r="CC375" s="645">
        <f t="shared" si="112"/>
        <v>11</v>
      </c>
    </row>
    <row r="376" spans="61:81" ht="15" customHeight="1">
      <c r="BI376" s="638" t="s">
        <v>322</v>
      </c>
      <c r="BJ376" s="638">
        <v>3</v>
      </c>
      <c r="BK376" s="638" t="s">
        <v>320</v>
      </c>
      <c r="BL376" s="859">
        <v>0.03</v>
      </c>
      <c r="BM376" s="858">
        <v>0.76</v>
      </c>
      <c r="BN376" s="653">
        <f t="shared" si="113"/>
        <v>3.9473684210526314E-2</v>
      </c>
      <c r="BO376" s="855"/>
      <c r="BP376" s="821">
        <v>0.05</v>
      </c>
      <c r="BQ376" s="690"/>
      <c r="BR376" s="689"/>
      <c r="BS376" s="842" t="str">
        <f t="shared" si="114"/>
        <v/>
      </c>
      <c r="BT376" s="855"/>
      <c r="BU376" s="821">
        <v>0.05</v>
      </c>
      <c r="BX376" s="666" t="str">
        <f t="shared" si="111"/>
        <v>Dec</v>
      </c>
      <c r="BY376" s="643">
        <f>IF(CB376=$CB386,SUMIF($BI374:$BI385,$BX376,$BR374:$BR385),SUMIF($BI374:$BI385,$BX376,$BM374:$BM385))</f>
        <v>0.76</v>
      </c>
      <c r="BZ376" s="821">
        <f>IF(IF(CB376=CB386,SUMIF(BI374:BI385,$BX376,BU374:BU385),SUMIF(BI374:BI385,$BX376,BP374:BP385))=0,NA(),IF(CB376=CB386,SUMIF(BI374:BI385,$BX376,BU374:BU385),SUMIF(BI374:BI385,$BX376,BP374:BP385)))</f>
        <v>0.05</v>
      </c>
      <c r="CA376" s="644">
        <f>IF(IF(CB376=CB386,SUMIF(BI374:BI385,$BX376,BS374:BS385),SUMIF(BI374:BI385,$BX376,BN374:BN385))=0,0,IF(CB376=CB386,SUMIF(BI374:BI385,$BX376,BS374:BS385),SUMIF(BI374:BI385,$BX376,BN374:BN385)))</f>
        <v>3.9473684210526314E-2</v>
      </c>
      <c r="CB376" s="645">
        <f t="shared" ref="CB376:CB385" si="115">CB357</f>
        <v>23</v>
      </c>
      <c r="CC376" s="645">
        <f t="shared" si="112"/>
        <v>12</v>
      </c>
    </row>
    <row r="377" spans="61:81" ht="15" customHeight="1">
      <c r="BI377" s="638" t="s">
        <v>323</v>
      </c>
      <c r="BJ377" s="638">
        <v>4</v>
      </c>
      <c r="BK377" s="638" t="s">
        <v>324</v>
      </c>
      <c r="BL377" s="859">
        <v>0</v>
      </c>
      <c r="BM377" s="858">
        <v>0.35</v>
      </c>
      <c r="BN377" s="653">
        <f t="shared" si="113"/>
        <v>0</v>
      </c>
      <c r="BO377" s="289">
        <f>IF(SUM(BM377:BM379=0),0,SUM(BL377:BL379)/SUM(BM377:BM379))</f>
        <v>9.2592592592592605E-3</v>
      </c>
      <c r="BP377" s="821">
        <v>0.05</v>
      </c>
      <c r="BQ377" s="690"/>
      <c r="BR377" s="689"/>
      <c r="BS377" s="842" t="str">
        <f t="shared" si="114"/>
        <v/>
      </c>
      <c r="BT377" s="289">
        <f>IF(SUM(BR377:BR379=0),0,SUM(BQ377:BQ379)/SUM(BR377:BR379))</f>
        <v>0</v>
      </c>
      <c r="BU377" s="821">
        <v>0.05</v>
      </c>
      <c r="BX377" s="666" t="str">
        <f t="shared" si="111"/>
        <v>Jan</v>
      </c>
      <c r="BY377" s="643">
        <f>IF(CB377=$CB386,SUMIF($BI374:$BI385,$BX377,$BR374:$BR385),SUMIF($BI374:$BI385,$BX377,$BM374:$BM385))</f>
        <v>0.35</v>
      </c>
      <c r="BZ377" s="821">
        <f>IF(IF(CB377=CB386,SUMIF(BI374:BI385,$BX377,BU374:BU385),SUMIF(BI374:BI385,$BX377,BP374:BP385))=0,NA(),IF(CB377=CB386,SUMIF(BI374:BI385,$BX377,BU374:BU385),SUMIF(BI374:BI385,$BX377,BP374:BP385)))</f>
        <v>0.05</v>
      </c>
      <c r="CA377" s="644">
        <f>IF(IF(CB377=CB386,SUMIF(BI374:BI385,$BX377,BS374:BS385),SUMIF(BI374:BI385,$BX377,BN374:BN385))=0,0,IF(CB377=CB386,SUMIF(BI374:BI385,$BX377,BS374:BS385),SUMIF(BI374:BI385,$BX377,BN374:BN385)))</f>
        <v>0</v>
      </c>
      <c r="CB377" s="645">
        <f t="shared" si="115"/>
        <v>23</v>
      </c>
      <c r="CC377" s="645">
        <f t="shared" si="112"/>
        <v>1</v>
      </c>
    </row>
    <row r="378" spans="61:81" ht="15" customHeight="1">
      <c r="BI378" s="638" t="s">
        <v>325</v>
      </c>
      <c r="BJ378" s="638">
        <v>5</v>
      </c>
      <c r="BK378" s="638" t="s">
        <v>324</v>
      </c>
      <c r="BL378" s="859">
        <v>0</v>
      </c>
      <c r="BM378" s="859">
        <v>0.28999999999999998</v>
      </c>
      <c r="BN378" s="653">
        <f t="shared" si="113"/>
        <v>0</v>
      </c>
      <c r="BO378" s="855"/>
      <c r="BP378" s="821">
        <v>0.05</v>
      </c>
      <c r="BQ378" s="690"/>
      <c r="BR378" s="690"/>
      <c r="BS378" s="842" t="str">
        <f t="shared" si="114"/>
        <v/>
      </c>
      <c r="BT378" s="855"/>
      <c r="BU378" s="821">
        <v>0.05</v>
      </c>
      <c r="BX378" s="666" t="str">
        <f t="shared" si="111"/>
        <v>Feb</v>
      </c>
      <c r="BY378" s="643">
        <f>IF(CB378=$CB386,SUMIF($BI374:$BI385,$BX378,$BR374:$BR385),SUMIF($BI374:$BI385,$BX378,$BM374:$BM385))</f>
        <v>0.28999999999999998</v>
      </c>
      <c r="BZ378" s="821">
        <f>IF(IF(CB378=CB386,SUMIF(BI374:BI385,$BX378,BU374:BU385),SUMIF(BI374:BI385,$BX378,BP374:BP385))=0,NA(),IF(CB378=CB386,SUMIF(BI374:BI385,$BX378,BU374:BU385),SUMIF(BI374:BI385,$BX378,BP374:BP385)))</f>
        <v>0.05</v>
      </c>
      <c r="CA378" s="644">
        <f>IF(IF(CB378=CB386,SUMIF(BI374:BI385,$BX378,BS374:BS385),SUMIF(BI374:BI385,$BX378,BN374:BN385))=0,0,IF(CB378=CB386,SUMIF(BI374:BI385,$BX378,BS374:BS385),SUMIF(BI374:BI385,$BX378,BN374:BN385)))</f>
        <v>0</v>
      </c>
      <c r="CB378" s="645">
        <f t="shared" si="115"/>
        <v>23</v>
      </c>
      <c r="CC378" s="645">
        <f t="shared" si="112"/>
        <v>2</v>
      </c>
    </row>
    <row r="379" spans="61:81" ht="15" customHeight="1">
      <c r="BI379" s="638" t="s">
        <v>326</v>
      </c>
      <c r="BJ379" s="638">
        <v>6</v>
      </c>
      <c r="BK379" s="638" t="s">
        <v>324</v>
      </c>
      <c r="BL379" s="859">
        <v>0.01</v>
      </c>
      <c r="BM379" s="859">
        <v>0.44</v>
      </c>
      <c r="BN379" s="653">
        <f t="shared" si="113"/>
        <v>2.2727272727272728E-2</v>
      </c>
      <c r="BO379" s="855"/>
      <c r="BP379" s="821">
        <v>0.05</v>
      </c>
      <c r="BQ379" s="690"/>
      <c r="BR379" s="689"/>
      <c r="BS379" s="842" t="str">
        <f t="shared" si="114"/>
        <v/>
      </c>
      <c r="BT379" s="855"/>
      <c r="BU379" s="821">
        <v>0.05</v>
      </c>
      <c r="BX379" s="666" t="str">
        <f t="shared" si="111"/>
        <v>Mar</v>
      </c>
      <c r="BY379" s="643">
        <f>IF(CB379=$CB386,SUMIF($BI374:$BI385,$BX379,$BR374:$BR385),SUMIF($BI374:$BI385,$BX379,$BM374:$BM385))</f>
        <v>0.44</v>
      </c>
      <c r="BZ379" s="821">
        <f>IF(IF(CB379=CB386,SUMIF(BI374:BI385,$BX379,BU374:BU385),SUMIF(BI374:BI385,$BX379,BP374:BP385))=0,NA(),IF(CB379=CB386,SUMIF(BI374:BI385,$BX379,BU374:BU385),SUMIF(BI374:BI385,$BX379,BP374:BP385)))</f>
        <v>0.05</v>
      </c>
      <c r="CA379" s="644">
        <f>IF(IF(CB379=CB386,SUMIF(BI374:BI385,$BX379,BS374:BS385),SUMIF(BI374:BI385,$BX379,BN374:BN385))=0,0,IF(CB379=CB386,SUMIF(BI374:BI385,$BX379,BS374:BS385),SUMIF(BI374:BI385,$BX379,BN374:BN385)))</f>
        <v>2.2727272727272728E-2</v>
      </c>
      <c r="CB379" s="645">
        <f t="shared" si="115"/>
        <v>23</v>
      </c>
      <c r="CC379" s="645">
        <f t="shared" si="112"/>
        <v>3</v>
      </c>
    </row>
    <row r="380" spans="61:81" ht="15" customHeight="1">
      <c r="BI380" s="638" t="s">
        <v>327</v>
      </c>
      <c r="BJ380" s="638">
        <v>7</v>
      </c>
      <c r="BK380" s="638" t="s">
        <v>328</v>
      </c>
      <c r="BL380" s="859">
        <v>0.01</v>
      </c>
      <c r="BM380" s="859">
        <v>0.36</v>
      </c>
      <c r="BN380" s="653">
        <f t="shared" si="113"/>
        <v>2.777777777777778E-2</v>
      </c>
      <c r="BO380" s="289">
        <f>IF(SUM(BM380:BM382=0),0,SUM(BL380:BL382)/SUM(BM380:BM382))</f>
        <v>1.3157894736842105E-2</v>
      </c>
      <c r="BP380" s="821">
        <v>0.05</v>
      </c>
      <c r="BQ380" s="690"/>
      <c r="BR380" s="690"/>
      <c r="BS380" s="842" t="str">
        <f t="shared" si="114"/>
        <v/>
      </c>
      <c r="BT380" s="289">
        <f>IF(SUM(BR380:BR382=0),0,SUM(BQ380:BQ382)/SUM(BR380:BR382))</f>
        <v>0</v>
      </c>
      <c r="BU380" s="821">
        <v>0.05</v>
      </c>
      <c r="BX380" s="666" t="str">
        <f t="shared" si="111"/>
        <v>Apr</v>
      </c>
      <c r="BY380" s="643">
        <f>IF(CB380=$CB386,SUMIF($BI374:$BI385,$BX380,$BR374:$BR385),SUMIF($BI374:$BI385,$BX380,$BM374:$BM385))</f>
        <v>0.36</v>
      </c>
      <c r="BZ380" s="821">
        <f>IF(IF(CB380=CB386,SUMIF(BI374:BI385,$BX380,BU374:BU385),SUMIF(BI374:BI385,$BX380,BP374:BP385))=0,NA(),IF(CB380=CB386,SUMIF(BI374:BI385,$BX380,BU374:BU385),SUMIF(BI374:BI385,$BX380,BP374:BP385)))</f>
        <v>0.05</v>
      </c>
      <c r="CA380" s="644">
        <f>IF(IF(CB380=CB386,SUMIF(BI374:BI385,$BX380,BS374:BS385),SUMIF(BI374:BI385,$BX380,BN374:BN385))=0,0,IF(CB380=CB386,SUMIF(BI374:BI385,$BX380,BS374:BS385),SUMIF(BI374:BI385,$BX380,BN374:BN385)))</f>
        <v>2.777777777777778E-2</v>
      </c>
      <c r="CB380" s="645">
        <f t="shared" si="115"/>
        <v>23</v>
      </c>
      <c r="CC380" s="645">
        <f t="shared" si="112"/>
        <v>4</v>
      </c>
    </row>
    <row r="381" spans="61:81" ht="15" customHeight="1">
      <c r="BI381" s="638" t="s">
        <v>329</v>
      </c>
      <c r="BJ381" s="638">
        <v>8</v>
      </c>
      <c r="BK381" s="638" t="s">
        <v>328</v>
      </c>
      <c r="BL381" s="859">
        <v>0</v>
      </c>
      <c r="BM381" s="859">
        <v>0.43</v>
      </c>
      <c r="BN381" s="653">
        <f t="shared" si="113"/>
        <v>0</v>
      </c>
      <c r="BO381" s="855"/>
      <c r="BP381" s="821">
        <v>0.05</v>
      </c>
      <c r="BQ381" s="690"/>
      <c r="BR381" s="690"/>
      <c r="BS381" s="842" t="str">
        <f t="shared" si="114"/>
        <v/>
      </c>
      <c r="BT381" s="855"/>
      <c r="BU381" s="821">
        <v>0.05</v>
      </c>
      <c r="BX381" s="666" t="str">
        <f t="shared" si="111"/>
        <v>May</v>
      </c>
      <c r="BY381" s="643">
        <f>IF(CB381=$CB386,SUMIF($BI374:$BI385,$BX381,$BR374:$BR385),SUMIF($BI374:$BI385,$BX381,$BM374:$BM385))</f>
        <v>0.43</v>
      </c>
      <c r="BZ381" s="821">
        <f>IF(IF(CB381=CB386,SUMIF(BI374:BI385,$BX381,BU374:BU385),SUMIF(BI374:BI385,$BX381,BP374:BP385))=0,NA(),IF(CB381=CB386,SUMIF(BI374:BI385,$BX381,BU374:BU385),SUMIF(BI374:BI385,$BX381,BP374:BP385)))</f>
        <v>0.05</v>
      </c>
      <c r="CA381" s="644">
        <f>IF(IF(CB381=CB386,SUMIF(BI374:BI385,$BX381,BS374:BS385),SUMIF(BI374:BI385,$BX381,BN374:BN385))=0,0,IF(CB381=CB386,SUMIF(BI374:BI385,$BX381,BS374:BS385),SUMIF(BI374:BI385,$BX381,BN374:BN385)))</f>
        <v>0</v>
      </c>
      <c r="CB381" s="645">
        <f t="shared" si="115"/>
        <v>23</v>
      </c>
      <c r="CC381" s="645">
        <f t="shared" si="112"/>
        <v>5</v>
      </c>
    </row>
    <row r="382" spans="61:81" ht="15" customHeight="1">
      <c r="BI382" s="638" t="s">
        <v>331</v>
      </c>
      <c r="BJ382" s="638">
        <v>9</v>
      </c>
      <c r="BK382" s="638" t="s">
        <v>328</v>
      </c>
      <c r="BL382" s="859">
        <v>0.01</v>
      </c>
      <c r="BM382" s="859">
        <v>0.73</v>
      </c>
      <c r="BN382" s="653">
        <f t="shared" si="113"/>
        <v>1.3698630136986302E-2</v>
      </c>
      <c r="BO382" s="855"/>
      <c r="BP382" s="821">
        <v>0.05</v>
      </c>
      <c r="BQ382" s="690"/>
      <c r="BR382" s="690"/>
      <c r="BS382" s="842" t="str">
        <f t="shared" si="114"/>
        <v/>
      </c>
      <c r="BT382" s="855"/>
      <c r="BU382" s="821">
        <v>0.05</v>
      </c>
      <c r="BX382" s="666" t="str">
        <f t="shared" si="111"/>
        <v>Jun</v>
      </c>
      <c r="BY382" s="643">
        <f>IF(CB382=$CB386,SUMIF($BI374:$BI385,$BX382,$BR374:$BR385),SUMIF($BI374:$BI385,$BX382,$BM374:$BM385))</f>
        <v>0.73</v>
      </c>
      <c r="BZ382" s="821">
        <f>IF(IF(CB382=CB386,SUMIF(BI374:BI385,$BX382,BU374:BU385),SUMIF(BI374:BI385,$BX382,BP374:BP385))=0,NA(),IF(CB382=CB386,SUMIF(BI374:BI385,$BX382,BU374:BU385),SUMIF(BI374:BI385,$BX382,BP374:BP385)))</f>
        <v>0.05</v>
      </c>
      <c r="CA382" s="644">
        <f>IF(IF(CB382=CB386,SUMIF(BI374:BI385,$BX382,BS374:BS385),SUMIF(BI374:BI385,$BX382,BN374:BN385))=0,0,IF(CB382=CB386,SUMIF(BI374:BI385,$BX382,BS374:BS385),SUMIF(BI374:BI385,$BX382,BN374:BN385)))</f>
        <v>1.3698630136986302E-2</v>
      </c>
      <c r="CB382" s="645">
        <f t="shared" si="115"/>
        <v>23</v>
      </c>
      <c r="CC382" s="645">
        <f t="shared" si="112"/>
        <v>6</v>
      </c>
    </row>
    <row r="383" spans="61:81" ht="15" customHeight="1">
      <c r="BI383" s="638" t="s">
        <v>337</v>
      </c>
      <c r="BJ383" s="638">
        <v>10</v>
      </c>
      <c r="BK383" s="638" t="s">
        <v>338</v>
      </c>
      <c r="BL383" s="859">
        <v>0.05</v>
      </c>
      <c r="BM383" s="859">
        <v>0.75</v>
      </c>
      <c r="BN383" s="653">
        <f t="shared" si="113"/>
        <v>6.6666666666666666E-2</v>
      </c>
      <c r="BO383" s="289">
        <f>IF(SUM(BM383:BM385=0),0,SUM(BL383:BL385)/SUM(BM383:BM385))</f>
        <v>4.4470224284609429E-2</v>
      </c>
      <c r="BP383" s="821">
        <v>0.05</v>
      </c>
      <c r="BQ383" s="690"/>
      <c r="BR383" s="690"/>
      <c r="BS383" s="842" t="str">
        <f t="shared" si="114"/>
        <v/>
      </c>
      <c r="BT383" s="289">
        <f>IF(SUM(BR383:BR385=0),0,SUM(BQ383:BQ385)/SUM(BR383:BR385))</f>
        <v>0</v>
      </c>
      <c r="BU383" s="821">
        <v>0.05</v>
      </c>
      <c r="BX383" s="666" t="str">
        <f t="shared" si="111"/>
        <v>Jul</v>
      </c>
      <c r="BY383" s="643">
        <f>IF(CB383=$CB386,SUMIF($BI374:$BI385,$BX383,$BR374:$BR385),SUMIF($BI374:$BI385,$BX383,$BM374:$BM385))</f>
        <v>0.75</v>
      </c>
      <c r="BZ383" s="821">
        <f>IF(IF(CB383=CB386,SUMIF(BI374:BI385,$BX383,BU374:BU385),SUMIF(BI374:BI385,$BX383,BP374:BP385))=0,NA(),IF(CB383=CB386,SUMIF(BI374:BI385,$BX383,BU374:BU385),SUMIF(BI374:BI385,$BX383,BP374:BP385)))</f>
        <v>0.05</v>
      </c>
      <c r="CA383" s="644">
        <f>IF(IF(CB383=CB386,SUMIF(BI374:BI385,$BX383,BS374:BS385),SUMIF(BI374:BI385,$BX383,BN374:BN385))=0,0,IF(CB383=CB386,SUMIF(BI374:BI385,$BX383,BS374:BS385),SUMIF(BI374:BI385,$BX383,BN374:BN385)))</f>
        <v>6.6666666666666666E-2</v>
      </c>
      <c r="CB383" s="645">
        <f t="shared" si="115"/>
        <v>23</v>
      </c>
      <c r="CC383" s="645">
        <f t="shared" si="112"/>
        <v>7</v>
      </c>
    </row>
    <row r="384" spans="61:81" ht="15" customHeight="1">
      <c r="BI384" s="638" t="s">
        <v>343</v>
      </c>
      <c r="BJ384" s="638">
        <v>11</v>
      </c>
      <c r="BK384" s="638" t="s">
        <v>338</v>
      </c>
      <c r="BL384" s="859">
        <v>6.0000000000000001E-3</v>
      </c>
      <c r="BM384" s="859">
        <v>0.17699999999999999</v>
      </c>
      <c r="BN384" s="653">
        <f t="shared" si="113"/>
        <v>3.3898305084745763E-2</v>
      </c>
      <c r="BO384" s="855"/>
      <c r="BP384" s="821">
        <v>0.05</v>
      </c>
      <c r="BQ384" s="690"/>
      <c r="BR384" s="690"/>
      <c r="BS384" s="842" t="str">
        <f t="shared" si="114"/>
        <v/>
      </c>
      <c r="BT384" s="855"/>
      <c r="BU384" s="821">
        <v>0.05</v>
      </c>
      <c r="BX384" s="666" t="str">
        <f t="shared" si="111"/>
        <v>Aug</v>
      </c>
      <c r="BY384" s="643">
        <f>IF(CB384=$CB386,SUMIF($BI374:$BI385,$BX384,$BR374:$BR385),SUMIF($BI374:$BI385,$BX384,$BM374:$BM385))</f>
        <v>0.17699999999999999</v>
      </c>
      <c r="BZ384" s="821">
        <f>IF(IF(CB384=CB386,SUMIF(BI374:BI385,$BX384,BU374:BU385),SUMIF(BI374:BI385,$BX384,BP374:BP385))=0,NA(),IF(CB384=CB386,SUMIF(BI374:BI385,$BX384,BU374:BU385),SUMIF(BI374:BI385,$BX384,BP374:BP385)))</f>
        <v>0.05</v>
      </c>
      <c r="CA384" s="644">
        <f>IF(IF(CB384=CB386,SUMIF(BI374:BI385,$BX384,BS374:BS385),SUMIF(BI374:BI385,$BX384,BN374:BN385))=0,0,IF(CB384=CB386,SUMIF(BI374:BI385,$BX384,BS374:BS385),SUMIF(BI374:BI385,$BX384,BN374:BN385)))</f>
        <v>3.3898305084745763E-2</v>
      </c>
      <c r="CB384" s="645">
        <f t="shared" si="115"/>
        <v>23</v>
      </c>
      <c r="CC384" s="645">
        <f t="shared" si="112"/>
        <v>8</v>
      </c>
    </row>
    <row r="385" spans="61:81" ht="15" customHeight="1">
      <c r="BI385" s="638" t="s">
        <v>344</v>
      </c>
      <c r="BJ385" s="638">
        <v>12</v>
      </c>
      <c r="BK385" s="638" t="s">
        <v>338</v>
      </c>
      <c r="BL385" s="859">
        <v>5.8999999999999997E-2</v>
      </c>
      <c r="BM385" s="859">
        <v>1.659</v>
      </c>
      <c r="BN385" s="653">
        <f t="shared" si="113"/>
        <v>3.5563592525617839E-2</v>
      </c>
      <c r="BO385" s="855"/>
      <c r="BP385" s="821">
        <v>0.05</v>
      </c>
      <c r="BQ385" s="690"/>
      <c r="BR385" s="690"/>
      <c r="BS385" s="842" t="str">
        <f t="shared" si="114"/>
        <v/>
      </c>
      <c r="BT385" s="855"/>
      <c r="BU385" s="821">
        <v>0.05</v>
      </c>
      <c r="BX385" s="666" t="str">
        <f t="shared" si="111"/>
        <v>Sep</v>
      </c>
      <c r="BY385" s="643">
        <f>IF(CB385=$CB386,SUMIF($BI374:$BI385,$BX385,$BR374:$BR385),SUMIF($BI374:$BI385,$BX385,$BM374:$BM385))</f>
        <v>1.659</v>
      </c>
      <c r="BZ385" s="821">
        <f>IF(IF(CB385=CB386,SUMIF(BI374:BI385,$BX385,BU374:BU385),SUMIF(BI374:BI385,$BX385,BP374:BP385))=0,NA(),IF(CB385=CB386,SUMIF(BI374:BI385,$BX385,BU374:BU385),SUMIF(BI374:BI385,$BX385,BP374:BP385)))</f>
        <v>0.05</v>
      </c>
      <c r="CA385" s="644">
        <f>IF(IF(CB385=CB386,SUMIF(BI374:BI385,$BX385,BS374:BS385),SUMIF(BI374:BI385,$BX385,BN374:BN385))=0,0,IF(CB385=CB386,SUMIF(BI374:BI385,$BX385,BS374:BS385),SUMIF(BI374:BI385,$BX385,BN374:BN385)))</f>
        <v>3.5563592525617839E-2</v>
      </c>
      <c r="CB385" s="645">
        <f t="shared" si="115"/>
        <v>23</v>
      </c>
      <c r="CC385" s="645">
        <f>IF(CC386-1&lt;1,CC386+11,CC386-1)</f>
        <v>9</v>
      </c>
    </row>
    <row r="386" spans="61:81" ht="15" customHeight="1">
      <c r="BI386" s="6"/>
      <c r="BJ386" s="6"/>
      <c r="BK386" s="6"/>
      <c r="BL386" s="6"/>
      <c r="BM386" s="6"/>
      <c r="BN386" s="6"/>
      <c r="BO386" s="6"/>
      <c r="BP386" s="6"/>
      <c r="BQ386" s="6"/>
      <c r="BR386" s="6"/>
      <c r="BS386" s="6"/>
      <c r="BT386" s="6"/>
      <c r="BU386" s="6"/>
      <c r="BW386" s="667" t="str">
        <f>Cover!$M$34</f>
        <v>OCT FY-24</v>
      </c>
      <c r="BX386" s="666" t="str">
        <f>TEXT(CONCATENATE(CC386,"/01/20",CB386),"MMM")</f>
        <v>Oct</v>
      </c>
      <c r="BY386" s="643">
        <f>SUMIF($BI374:$BI385,$BX386,$BR374:$BR385)</f>
        <v>0.23300000000000001</v>
      </c>
      <c r="BZ386" s="821">
        <f>IF(IF(CB386=CB386,SUMIF(BI374:BI385,$BX386,BU374:BU385),SUMIF(BI374:BI385,$BX386,BP374:BP385))=0,NA(),IF(CB386=CB386,SUMIF(BI374:BI385,$BX386,BU374:BU385),SUMIF(BI374:BI385,$BX386,BP374:BP385)))</f>
        <v>0.05</v>
      </c>
      <c r="CA386" s="644">
        <f>IF(SUMIF($BI374:$BI385,$BX386,$BS374:$BS385)=0,0,SUMIF($BI374:$BI385,$BX386,$BS374:$BS385))</f>
        <v>3.0042918454935622E-2</v>
      </c>
      <c r="CB386" s="645">
        <f>CB367</f>
        <v>24</v>
      </c>
      <c r="CC386" s="645">
        <f>MONTH(DATEVALUE(LEFT(BW386,3)&amp;" 1"))</f>
        <v>10</v>
      </c>
    </row>
    <row r="387" spans="61:81" ht="15" customHeight="1">
      <c r="BJ387" s="6"/>
      <c r="BK387" s="6"/>
      <c r="BL387" s="6"/>
      <c r="BM387" s="6"/>
      <c r="BN387" s="6"/>
      <c r="BO387" s="6"/>
      <c r="BP387" s="6"/>
      <c r="BQ387" s="6"/>
      <c r="BR387" s="6"/>
      <c r="BS387" s="6"/>
      <c r="BT387" s="6"/>
      <c r="BU387" s="6"/>
    </row>
    <row r="388" spans="61:81" ht="15" customHeight="1">
      <c r="BI388" s="54" t="s">
        <v>292</v>
      </c>
      <c r="BJ388" s="287" t="s">
        <v>157</v>
      </c>
      <c r="BK388" s="287"/>
      <c r="BL388" s="287"/>
      <c r="BM388" s="287"/>
      <c r="BN388" s="287"/>
      <c r="BO388" s="287"/>
      <c r="BP388" s="287"/>
      <c r="BQ388" s="287"/>
      <c r="BR388" s="287"/>
      <c r="BS388" s="287"/>
      <c r="BT388" s="287"/>
      <c r="BU388" s="287"/>
    </row>
    <row r="389" spans="61:81" ht="15" customHeight="1">
      <c r="BI389" s="54" t="s">
        <v>296</v>
      </c>
      <c r="BJ389" s="283" t="s">
        <v>156</v>
      </c>
      <c r="BK389" s="283"/>
      <c r="BL389" s="283"/>
      <c r="BM389" s="283"/>
      <c r="BN389" s="283"/>
      <c r="BO389" s="283"/>
      <c r="BP389" s="283"/>
      <c r="BQ389" s="283"/>
      <c r="BR389" s="283"/>
      <c r="BS389" s="283"/>
      <c r="BT389" s="283"/>
      <c r="BU389" s="283"/>
    </row>
    <row r="390" spans="61:81" ht="15" customHeight="1" thickBot="1">
      <c r="BI390" s="54" t="s">
        <v>300</v>
      </c>
      <c r="BJ390" s="283" t="s">
        <v>472</v>
      </c>
      <c r="BK390" s="283"/>
      <c r="BL390" s="283"/>
      <c r="BM390" s="283"/>
      <c r="BN390" s="283"/>
      <c r="BO390" s="283"/>
      <c r="BP390" s="283"/>
      <c r="BQ390" s="283"/>
      <c r="BR390" s="283"/>
      <c r="BS390" s="283"/>
      <c r="BT390" s="283"/>
      <c r="BU390" s="283"/>
    </row>
    <row r="391" spans="61:81" ht="15" customHeight="1" thickBot="1">
      <c r="BI391" s="1402" t="s">
        <v>453</v>
      </c>
      <c r="BJ391" s="1403"/>
      <c r="BK391" s="1404"/>
      <c r="BL391" s="1402" t="s">
        <v>302</v>
      </c>
      <c r="BM391" s="1403"/>
      <c r="BN391" s="1403"/>
      <c r="BO391" s="1403"/>
      <c r="BP391" s="1404"/>
      <c r="BQ391" s="1402" t="s">
        <v>719</v>
      </c>
      <c r="BR391" s="1403"/>
      <c r="BS391" s="1403"/>
      <c r="BT391" s="1403"/>
      <c r="BU391" s="1404"/>
      <c r="BW391" s="1402" t="s">
        <v>303</v>
      </c>
      <c r="BX391" s="1403"/>
      <c r="BY391" s="1403"/>
      <c r="BZ391" s="1403"/>
      <c r="CA391" s="1403"/>
      <c r="CB391" s="1403"/>
      <c r="CC391" s="1404"/>
    </row>
    <row r="392" spans="61:81" ht="15" customHeight="1">
      <c r="BI392" s="636" t="s">
        <v>23</v>
      </c>
      <c r="BJ392" s="636" t="s">
        <v>37</v>
      </c>
      <c r="BK392" s="636" t="s">
        <v>304</v>
      </c>
      <c r="BL392" s="637" t="s">
        <v>305</v>
      </c>
      <c r="BM392" s="637" t="s">
        <v>310</v>
      </c>
      <c r="BN392" s="637" t="s">
        <v>311</v>
      </c>
      <c r="BO392" s="278" t="s">
        <v>312</v>
      </c>
      <c r="BP392" s="637" t="s">
        <v>313</v>
      </c>
      <c r="BQ392" s="637" t="s">
        <v>305</v>
      </c>
      <c r="BR392" s="637" t="s">
        <v>715</v>
      </c>
      <c r="BS392" s="637" t="s">
        <v>716</v>
      </c>
      <c r="BT392" s="278" t="s">
        <v>717</v>
      </c>
      <c r="BU392" s="637" t="s">
        <v>718</v>
      </c>
      <c r="BW392" s="279" t="s">
        <v>314</v>
      </c>
      <c r="BX392" s="279" t="s">
        <v>23</v>
      </c>
      <c r="BY392" s="280" t="s">
        <v>315</v>
      </c>
      <c r="BZ392" s="279" t="s">
        <v>122</v>
      </c>
      <c r="CA392" s="279" t="s">
        <v>316</v>
      </c>
      <c r="CB392" s="279" t="s">
        <v>317</v>
      </c>
      <c r="CC392" s="279" t="s">
        <v>318</v>
      </c>
    </row>
    <row r="393" spans="61:81" ht="15" customHeight="1">
      <c r="BI393" s="638" t="s">
        <v>319</v>
      </c>
      <c r="BJ393" s="638">
        <v>1</v>
      </c>
      <c r="BK393" s="638" t="s">
        <v>320</v>
      </c>
      <c r="BL393" s="859">
        <v>0.16700000000000001</v>
      </c>
      <c r="BM393" s="869">
        <f>IF(BM355="","",BM355)</f>
        <v>0.185</v>
      </c>
      <c r="BN393" s="653">
        <f>IF(BM393="","",BL393/BM393)</f>
        <v>0.90270270270270281</v>
      </c>
      <c r="BO393" s="289">
        <f>IF(SUM(BM393:BM395=0),0,SUM(BL393:BL395)/SUM(BM393:BM395))</f>
        <v>0.81714285714285717</v>
      </c>
      <c r="BP393" s="819">
        <v>0.8</v>
      </c>
      <c r="BQ393" s="690">
        <v>0.159</v>
      </c>
      <c r="BR393" s="869">
        <f>IF(BR355="","",BR355)</f>
        <v>0.217</v>
      </c>
      <c r="BS393" s="842">
        <f>IF(BR393="","",BQ393/BR393)</f>
        <v>0.73271889400921664</v>
      </c>
      <c r="BT393" s="289">
        <f>IF(SUM(BR393:BR395=""),0,SUM(BQ393:BQ395)/SUM(BR393:BR395))</f>
        <v>0.73271889400921664</v>
      </c>
      <c r="BU393" s="657">
        <v>0.8</v>
      </c>
      <c r="BX393" s="666" t="str">
        <f t="shared" ref="BX393:BX404" si="116">TEXT(CONCATENATE(CC393,"/01/20",CB393),"MMM")</f>
        <v>Oct</v>
      </c>
      <c r="BY393" s="643">
        <f>IF(CB393=$CB405,SUMIF($BI393:$BI404,$BX393,$BR393:$BR404),SUMIF($BI393:$BI404,$BX393,$BM393:$BM404))</f>
        <v>0.185</v>
      </c>
      <c r="BZ393" s="821">
        <f>IF(IF(CB393=CB405,SUMIF(BI393:BI404,$BX393,BU393:BU404),SUMIF(BI393:BI404,$BX393,BP393:BP404))=0,NA(),IF(CB393=CB405,SUMIF(BI393:BI404,$BX393,BU393:BU404),SUMIF(BI393:BI404,$BX393,BP393:BP404)))</f>
        <v>0.8</v>
      </c>
      <c r="CA393" s="644">
        <f>IF(IF(CB393=CB405,SUMIF(BI393:BI404,$BX393,BS393:BS404),SUMIF(BI393:BI404,$BX393,BN393:BN404))=0,NA(),IF(CB393=CB405,SUMIF(BI393:BI404,$BX393,BS393:BS404),SUMIF(BI393:BI404,$BX393,BN393:BN404)))</f>
        <v>0.90270270270270281</v>
      </c>
      <c r="CB393" s="645">
        <f>CB374</f>
        <v>23</v>
      </c>
      <c r="CC393" s="645">
        <f t="shared" ref="CC393:CC403" si="117">IF(CC394-1&lt;1,CC394+11,CC394-1)</f>
        <v>10</v>
      </c>
    </row>
    <row r="394" spans="61:81" ht="15" customHeight="1">
      <c r="BI394" s="638" t="s">
        <v>321</v>
      </c>
      <c r="BJ394" s="638">
        <v>2</v>
      </c>
      <c r="BK394" s="638" t="s">
        <v>320</v>
      </c>
      <c r="BL394" s="859">
        <v>0.55000000000000004</v>
      </c>
      <c r="BM394" s="869">
        <f t="shared" ref="BM394:BM404" si="118">IF(BM356="","",BM356)</f>
        <v>0.68</v>
      </c>
      <c r="BN394" s="653">
        <f t="shared" ref="BN394:BN404" si="119">IF(BM394="","",BL394/BM394)</f>
        <v>0.80882352941176472</v>
      </c>
      <c r="BO394" s="855"/>
      <c r="BP394" s="819">
        <v>0.8</v>
      </c>
      <c r="BQ394" s="690"/>
      <c r="BR394" s="869" t="str">
        <f t="shared" ref="BR394:BR403" si="120">IF(BR356="","",BR356)</f>
        <v/>
      </c>
      <c r="BS394" s="842" t="str">
        <f t="shared" ref="BS394:BS403" si="121">IF(BR394="","",BQ394/BR394)</f>
        <v/>
      </c>
      <c r="BT394" s="855"/>
      <c r="BU394" s="657">
        <v>0.8</v>
      </c>
      <c r="BX394" s="666" t="str">
        <f t="shared" si="116"/>
        <v>Nov</v>
      </c>
      <c r="BY394" s="643">
        <f>IF(CB394=$CB405,SUMIF($BI393:$BI404,$BX394,$BR393:$BR404),SUMIF($BI393:$BI404,$BX394,$BM393:$BM404))</f>
        <v>0.68</v>
      </c>
      <c r="BZ394" s="821">
        <f>IF(IF(CB394=CB405,SUMIF(BI393:BI404,$BX394,BU393:BU404),SUMIF(BI393:BI404,$BX394,BP393:BP404))=0,NA(),IF(CB394=CB405,SUMIF(BI393:BI404,$BX394,BU393:BU404),SUMIF(BI393:BI404,$BX394,BP393:BP404)))</f>
        <v>0.8</v>
      </c>
      <c r="CA394" s="644">
        <f>IF(IF(CB394=CB405,SUMIF(BI393:BI404,$BX394,BS393:BS404),SUMIF(BI393:BI404,$BX394,BN393:BN404))=0,NA(),IF(CB394=CB405,SUMIF(BI393:BI404,$BX394,BS393:BS404),SUMIF(BI393:BI404,$BX394,BN393:BN404)))</f>
        <v>0.80882352941176472</v>
      </c>
      <c r="CB394" s="645">
        <f t="shared" ref="CB394:CB404" si="122">CB375</f>
        <v>23</v>
      </c>
      <c r="CC394" s="645">
        <f t="shared" si="117"/>
        <v>11</v>
      </c>
    </row>
    <row r="395" spans="61:81" ht="15" customHeight="1">
      <c r="BI395" s="638" t="s">
        <v>322</v>
      </c>
      <c r="BJ395" s="638">
        <v>3</v>
      </c>
      <c r="BK395" s="638" t="s">
        <v>320</v>
      </c>
      <c r="BL395" s="859">
        <v>0.56999999999999995</v>
      </c>
      <c r="BM395" s="869">
        <f t="shared" si="118"/>
        <v>0.71</v>
      </c>
      <c r="BN395" s="653">
        <f t="shared" si="119"/>
        <v>0.80281690140845063</v>
      </c>
      <c r="BO395" s="855"/>
      <c r="BP395" s="819">
        <v>0.8</v>
      </c>
      <c r="BQ395" s="690"/>
      <c r="BR395" s="869" t="str">
        <f t="shared" si="120"/>
        <v/>
      </c>
      <c r="BS395" s="842" t="str">
        <f t="shared" si="121"/>
        <v/>
      </c>
      <c r="BT395" s="855"/>
      <c r="BU395" s="657">
        <v>0.8</v>
      </c>
      <c r="BX395" s="666" t="str">
        <f t="shared" si="116"/>
        <v>Dec</v>
      </c>
      <c r="BY395" s="643">
        <f>IF(CB395=$CB405,SUMIF($BI393:$BI404,$BX395,$BR393:$BR404),SUMIF($BI393:$BI404,$BX395,$BM393:$BM404))</f>
        <v>0.71</v>
      </c>
      <c r="BZ395" s="821">
        <f>IF(IF(CB395=CB405,SUMIF(BI393:BI404,$BX395,BU393:BU404),SUMIF(BI393:BI404,$BX395,BP393:BP404))=0,NA(),IF(CB395=CB405,SUMIF(BI393:BI404,$BX395,BU393:BU404),SUMIF(BI393:BI404,$BX395,BP393:BP404)))</f>
        <v>0.8</v>
      </c>
      <c r="CA395" s="644">
        <f>IF(IF(CB395=CB405,SUMIF(BI393:BI404,$BX395,BS393:BS404),SUMIF(BI393:BI404,$BX395,BN393:BN404))=0,NA(),IF(CB395=CB405,SUMIF(BI393:BI404,$BX395,BS393:BS404),SUMIF(BI393:BI404,$BX395,BN393:BN404)))</f>
        <v>0.80281690140845063</v>
      </c>
      <c r="CB395" s="645">
        <f t="shared" si="122"/>
        <v>23</v>
      </c>
      <c r="CC395" s="645">
        <f t="shared" si="117"/>
        <v>12</v>
      </c>
    </row>
    <row r="396" spans="61:81" ht="15" customHeight="1">
      <c r="BI396" s="638" t="s">
        <v>323</v>
      </c>
      <c r="BJ396" s="638">
        <v>4</v>
      </c>
      <c r="BK396" s="638" t="s">
        <v>324</v>
      </c>
      <c r="BL396" s="859">
        <v>0.28999999999999998</v>
      </c>
      <c r="BM396" s="869">
        <f t="shared" si="118"/>
        <v>0.35</v>
      </c>
      <c r="BN396" s="653">
        <f t="shared" si="119"/>
        <v>0.82857142857142851</v>
      </c>
      <c r="BO396" s="289">
        <f>IF(SUM(BM396:BM398=0),0,SUM(BL396:BL398)/SUM(BM396:BM398))</f>
        <v>0.87735849056603787</v>
      </c>
      <c r="BP396" s="819">
        <v>0.8</v>
      </c>
      <c r="BQ396" s="690"/>
      <c r="BR396" s="869" t="str">
        <f t="shared" si="120"/>
        <v/>
      </c>
      <c r="BS396" s="842" t="str">
        <f t="shared" si="121"/>
        <v/>
      </c>
      <c r="BT396" s="289">
        <f>IF(SUM(BR396:BR398=""),0,SUM(BQ396:BQ398)/SUM(BR396:BR398))</f>
        <v>0</v>
      </c>
      <c r="BU396" s="657">
        <v>0.8</v>
      </c>
      <c r="BX396" s="666" t="str">
        <f t="shared" si="116"/>
        <v>Jan</v>
      </c>
      <c r="BY396" s="643">
        <f>IF(CB396=$CB405,SUMIF($BI393:$BI404,$BX396,$BR393:$BR404),SUMIF($BI393:$BI404,$BX396,$BM393:$BM404))</f>
        <v>0.35</v>
      </c>
      <c r="BZ396" s="821">
        <f>IF(IF(CB396=CB405,SUMIF(BI393:BI404,$BX396,BU393:BU404),SUMIF(BI393:BI404,$BX396,BP393:BP404))=0,NA(),IF(CB396=CB405,SUMIF(BI393:BI404,$BX396,BU393:BU404),SUMIF(BI393:BI404,$BX396,BP393:BP404)))</f>
        <v>0.8</v>
      </c>
      <c r="CA396" s="644">
        <f>IF(IF(CB396=CB405,SUMIF(BI393:BI404,$BX396,BS393:BS404),SUMIF(BI393:BI404,$BX396,BN393:BN404))=0,NA(),IF(CB396=CB405,SUMIF(BI393:BI404,$BX396,BS393:BS404),SUMIF(BI393:BI404,$BX396,BN393:BN404)))</f>
        <v>0.82857142857142851</v>
      </c>
      <c r="CB396" s="645">
        <f t="shared" si="122"/>
        <v>23</v>
      </c>
      <c r="CC396" s="645">
        <f t="shared" si="117"/>
        <v>1</v>
      </c>
    </row>
    <row r="397" spans="61:81" ht="15" customHeight="1">
      <c r="BI397" s="638" t="s">
        <v>325</v>
      </c>
      <c r="BJ397" s="638">
        <v>5</v>
      </c>
      <c r="BK397" s="638" t="s">
        <v>324</v>
      </c>
      <c r="BL397" s="859">
        <v>0.25</v>
      </c>
      <c r="BM397" s="869">
        <f t="shared" si="118"/>
        <v>0.28999999999999998</v>
      </c>
      <c r="BN397" s="653">
        <f t="shared" si="119"/>
        <v>0.86206896551724144</v>
      </c>
      <c r="BO397" s="855"/>
      <c r="BP397" s="819">
        <v>0.8</v>
      </c>
      <c r="BQ397" s="690"/>
      <c r="BR397" s="869" t="str">
        <f t="shared" si="120"/>
        <v/>
      </c>
      <c r="BS397" s="842" t="str">
        <f t="shared" si="121"/>
        <v/>
      </c>
      <c r="BT397" s="855"/>
      <c r="BU397" s="657">
        <v>0.8</v>
      </c>
      <c r="BX397" s="666" t="str">
        <f t="shared" si="116"/>
        <v>Feb</v>
      </c>
      <c r="BY397" s="643">
        <f>IF(CB397=$CB405,SUMIF($BI393:$BI404,$BX397,$BR393:$BR404),SUMIF($BI393:$BI404,$BX397,$BM393:$BM404))</f>
        <v>0.28999999999999998</v>
      </c>
      <c r="BZ397" s="821">
        <f>IF(IF(CB397=CB405,SUMIF(BI393:BI404,$BX397,BU393:BU404),SUMIF(BI393:BI404,$BX397,BP393:BP404))=0,NA(),IF(CB397=CB405,SUMIF(BI393:BI404,$BX397,BU393:BU404),SUMIF(BI393:BI404,$BX397,BP393:BP404)))</f>
        <v>0.8</v>
      </c>
      <c r="CA397" s="644">
        <f>IF(IF(CB397=CB405,SUMIF(BI393:BI404,$BX397,BS393:BS404),SUMIF(BI393:BI404,$BX397,BN393:BN404))=0,NA(),IF(CB397=CB405,SUMIF(BI393:BI404,$BX397,BS393:BS404),SUMIF(BI393:BI404,$BX397,BN393:BN404)))</f>
        <v>0.86206896551724144</v>
      </c>
      <c r="CB397" s="645">
        <f t="shared" si="122"/>
        <v>23</v>
      </c>
      <c r="CC397" s="645">
        <f t="shared" si="117"/>
        <v>2</v>
      </c>
    </row>
    <row r="398" spans="61:81" ht="15" customHeight="1">
      <c r="BI398" s="638" t="s">
        <v>326</v>
      </c>
      <c r="BJ398" s="638">
        <v>6</v>
      </c>
      <c r="BK398" s="638" t="s">
        <v>324</v>
      </c>
      <c r="BL398" s="859">
        <v>0.39</v>
      </c>
      <c r="BM398" s="869">
        <f t="shared" si="118"/>
        <v>0.42</v>
      </c>
      <c r="BN398" s="653">
        <f t="shared" si="119"/>
        <v>0.9285714285714286</v>
      </c>
      <c r="BO398" s="855"/>
      <c r="BP398" s="819">
        <v>0.8</v>
      </c>
      <c r="BQ398" s="690"/>
      <c r="BR398" s="869" t="str">
        <f t="shared" si="120"/>
        <v/>
      </c>
      <c r="BS398" s="842" t="str">
        <f t="shared" si="121"/>
        <v/>
      </c>
      <c r="BT398" s="855"/>
      <c r="BU398" s="657">
        <v>0.8</v>
      </c>
      <c r="BX398" s="666" t="str">
        <f t="shared" si="116"/>
        <v>Mar</v>
      </c>
      <c r="BY398" s="643">
        <f>IF(CB398=$CB405,SUMIF($BI393:$BI404,$BX398,$BR393:$BR404),SUMIF($BI393:$BI404,$BX398,$BM393:$BM404))</f>
        <v>0.42</v>
      </c>
      <c r="BZ398" s="821">
        <f>IF(IF(CB398=CB405,SUMIF(BI393:BI404,$BX398,BU393:BU404),SUMIF(BI393:BI404,$BX398,BP393:BP404))=0,NA(),IF(CB398=CB405,SUMIF(BI393:BI404,$BX398,BU393:BU404),SUMIF(BI393:BI404,$BX398,BP393:BP404)))</f>
        <v>0.8</v>
      </c>
      <c r="CA398" s="644">
        <f>IF(IF(CB398=CB405,SUMIF(BI393:BI404,$BX398,BS393:BS404),SUMIF(BI393:BI404,$BX398,BN393:BN404))=0,NA(),IF(CB398=CB405,SUMIF(BI393:BI404,$BX398,BS393:BS404),SUMIF(BI393:BI404,$BX398,BN393:BN404)))</f>
        <v>0.9285714285714286</v>
      </c>
      <c r="CB398" s="645">
        <f t="shared" si="122"/>
        <v>23</v>
      </c>
      <c r="CC398" s="645">
        <f t="shared" si="117"/>
        <v>3</v>
      </c>
    </row>
    <row r="399" spans="61:81" ht="15" customHeight="1">
      <c r="BI399" s="638" t="s">
        <v>327</v>
      </c>
      <c r="BJ399" s="638">
        <v>7</v>
      </c>
      <c r="BK399" s="638" t="s">
        <v>328</v>
      </c>
      <c r="BL399" s="859">
        <v>0.3</v>
      </c>
      <c r="BM399" s="869">
        <f t="shared" si="118"/>
        <v>0.34</v>
      </c>
      <c r="BN399" s="653">
        <f t="shared" si="119"/>
        <v>0.88235294117647045</v>
      </c>
      <c r="BO399" s="289">
        <f>IF(SUM(BM399:BM401=0),0,SUM(BL399:BL401)/SUM(BM399:BM401))</f>
        <v>0.8851351351351352</v>
      </c>
      <c r="BP399" s="819">
        <v>0.8</v>
      </c>
      <c r="BQ399" s="690"/>
      <c r="BR399" s="869" t="str">
        <f t="shared" si="120"/>
        <v/>
      </c>
      <c r="BS399" s="842" t="str">
        <f t="shared" si="121"/>
        <v/>
      </c>
      <c r="BT399" s="289">
        <f>IF(SUM(BR399:BR401=""),0,SUM(BQ399:BQ401)/SUM(BR399:BR401))</f>
        <v>0</v>
      </c>
      <c r="BU399" s="657">
        <v>0.8</v>
      </c>
      <c r="BX399" s="666" t="str">
        <f t="shared" si="116"/>
        <v>Apr</v>
      </c>
      <c r="BY399" s="643">
        <f>IF(CB399=$CB405,SUMIF($BI393:$BI404,$BX399,$BR393:$BR404),SUMIF($BI393:$BI404,$BX399,$BM393:$BM404))</f>
        <v>0.34</v>
      </c>
      <c r="BZ399" s="821">
        <f>IF(IF(CB399=CB405,SUMIF(BI393:BI404,$BX399,BU393:BU404),SUMIF(BI393:BI404,$BX399,BP393:BP404))=0,NA(),IF(CB399=CB405,SUMIF(BI393:BI404,$BX399,BU393:BU404),SUMIF(BI393:BI404,$BX399,BP393:BP404)))</f>
        <v>0.8</v>
      </c>
      <c r="CA399" s="644">
        <f>IF(IF(CB399=CB405,SUMIF(BI393:BI404,$BX399,BS393:BS404),SUMIF(BI393:BI404,$BX399,BN393:BN404))=0,NA(),IF(CB399=CB405,SUMIF(BI393:BI404,$BX399,BS393:BS404),SUMIF(BI393:BI404,$BX399,BN393:BN404)))</f>
        <v>0.88235294117647045</v>
      </c>
      <c r="CB399" s="645">
        <f t="shared" si="122"/>
        <v>23</v>
      </c>
      <c r="CC399" s="645">
        <f t="shared" si="117"/>
        <v>4</v>
      </c>
    </row>
    <row r="400" spans="61:81" ht="15" customHeight="1">
      <c r="BI400" s="638" t="s">
        <v>329</v>
      </c>
      <c r="BJ400" s="638">
        <v>8</v>
      </c>
      <c r="BK400" s="638" t="s">
        <v>328</v>
      </c>
      <c r="BL400" s="859">
        <v>0.4</v>
      </c>
      <c r="BM400" s="869">
        <f t="shared" si="118"/>
        <v>0.43</v>
      </c>
      <c r="BN400" s="653">
        <f t="shared" si="119"/>
        <v>0.93023255813953498</v>
      </c>
      <c r="BO400" s="855"/>
      <c r="BP400" s="819">
        <v>0.8</v>
      </c>
      <c r="BQ400" s="690"/>
      <c r="BR400" s="869" t="str">
        <f t="shared" si="120"/>
        <v/>
      </c>
      <c r="BS400" s="842" t="str">
        <f t="shared" si="121"/>
        <v/>
      </c>
      <c r="BT400" s="855"/>
      <c r="BU400" s="657">
        <v>0.8</v>
      </c>
      <c r="BX400" s="666" t="str">
        <f t="shared" si="116"/>
        <v>May</v>
      </c>
      <c r="BY400" s="643">
        <f>IF(CB400=$CB405,SUMIF($BI393:$BI404,$BX400,$BR393:$BR404),SUMIF($BI393:$BI404,$BX400,$BM393:$BM404))</f>
        <v>0.43</v>
      </c>
      <c r="BZ400" s="821">
        <f>IF(IF(CB400=CB405,SUMIF(BI393:BI404,$BX400,BU393:BU404),SUMIF(BI393:BI404,$BX400,BP393:BP404))=0,NA(),IF(CB400=CB405,SUMIF(BI393:BI404,$BX400,BU393:BU404),SUMIF(BI393:BI404,$BX400,BP393:BP404)))</f>
        <v>0.8</v>
      </c>
      <c r="CA400" s="644">
        <f>IF(IF(CB400=CB405,SUMIF(BI393:BI404,$BX400,BS393:BS404),SUMIF(BI393:BI404,$BX400,BN393:BN404))=0,NA(),IF(CB400=CB405,SUMIF(BI393:BI404,$BX400,BS393:BS404),SUMIF(BI393:BI404,$BX400,BN393:BN404)))</f>
        <v>0.93023255813953498</v>
      </c>
      <c r="CB400" s="645">
        <f t="shared" si="122"/>
        <v>23</v>
      </c>
      <c r="CC400" s="645">
        <f t="shared" si="117"/>
        <v>5</v>
      </c>
    </row>
    <row r="401" spans="61:81" ht="15" customHeight="1">
      <c r="BI401" s="638" t="s">
        <v>331</v>
      </c>
      <c r="BJ401" s="638">
        <v>9</v>
      </c>
      <c r="BK401" s="638" t="s">
        <v>328</v>
      </c>
      <c r="BL401" s="859">
        <v>0.61</v>
      </c>
      <c r="BM401" s="869">
        <f t="shared" si="118"/>
        <v>0.71</v>
      </c>
      <c r="BN401" s="653">
        <f t="shared" si="119"/>
        <v>0.85915492957746487</v>
      </c>
      <c r="BO401" s="855"/>
      <c r="BP401" s="819">
        <v>0.8</v>
      </c>
      <c r="BQ401" s="690"/>
      <c r="BR401" s="869" t="str">
        <f t="shared" si="120"/>
        <v/>
      </c>
      <c r="BS401" s="842" t="str">
        <f t="shared" si="121"/>
        <v/>
      </c>
      <c r="BT401" s="855"/>
      <c r="BU401" s="657">
        <v>0.8</v>
      </c>
      <c r="BX401" s="666" t="str">
        <f t="shared" si="116"/>
        <v>Jun</v>
      </c>
      <c r="BY401" s="643">
        <f>IF(CB401=$CB405,SUMIF($BI393:$BI404,$BX401,$BR393:$BR404),SUMIF($BI393:$BI404,$BX401,$BM393:$BM404))</f>
        <v>0.71</v>
      </c>
      <c r="BZ401" s="821">
        <f>IF(IF(CB401=CB405,SUMIF(BI393:BI404,$BX401,BU393:BU404),SUMIF(BI393:BI404,$BX401,BP393:BP404))=0,NA(),IF(CB401=CB405,SUMIF(BI393:BI404,$BX401,BU393:BU404),SUMIF(BI393:BI404,$BX401,BP393:BP404)))</f>
        <v>0.8</v>
      </c>
      <c r="CA401" s="644">
        <f>IF(IF(CB401=CB405,SUMIF(BI393:BI404,$BX401,BS393:BS404),SUMIF(BI393:BI404,$BX401,BN393:BN404))=0,NA(),IF(CB401=CB405,SUMIF(BI393:BI404,$BX401,BS393:BS404),SUMIF(BI393:BI404,$BX401,BN393:BN404)))</f>
        <v>0.85915492957746487</v>
      </c>
      <c r="CB401" s="645">
        <f t="shared" si="122"/>
        <v>23</v>
      </c>
      <c r="CC401" s="645">
        <f t="shared" si="117"/>
        <v>6</v>
      </c>
    </row>
    <row r="402" spans="61:81" ht="15" customHeight="1">
      <c r="BI402" s="638" t="s">
        <v>337</v>
      </c>
      <c r="BJ402" s="638">
        <v>10</v>
      </c>
      <c r="BK402" s="638" t="s">
        <v>338</v>
      </c>
      <c r="BL402" s="859">
        <v>0.56999999999999995</v>
      </c>
      <c r="BM402" s="869">
        <f t="shared" si="118"/>
        <v>0.67</v>
      </c>
      <c r="BN402" s="653">
        <f t="shared" si="119"/>
        <v>0.85074626865671632</v>
      </c>
      <c r="BO402" s="289">
        <f>IF(SUM(BM402:BM404=0),0,SUM(BL402:BL404)/SUM(BM402:BM404))</f>
        <v>1.4066805845511481</v>
      </c>
      <c r="BP402" s="819">
        <v>0.8</v>
      </c>
      <c r="BQ402" s="690"/>
      <c r="BR402" s="869" t="str">
        <f t="shared" si="120"/>
        <v/>
      </c>
      <c r="BS402" s="842" t="str">
        <f t="shared" si="121"/>
        <v/>
      </c>
      <c r="BT402" s="289">
        <f>IF(SUM(BR402:BR404=""),0,SUM(BQ402:BQ404)/SUM(BR402:BR404))</f>
        <v>0</v>
      </c>
      <c r="BU402" s="657">
        <v>0.8</v>
      </c>
      <c r="BX402" s="666" t="str">
        <f t="shared" si="116"/>
        <v>Jul</v>
      </c>
      <c r="BY402" s="643">
        <f>IF(CB402=$CB405,SUMIF($BI393:$BI404,$BX402,$BR393:$BR404),SUMIF($BI393:$BI404,$BX402,$BM393:$BM404))</f>
        <v>0.67</v>
      </c>
      <c r="BZ402" s="821">
        <f>IF(IF(CB402=CB405,SUMIF(BI393:BI404,$BX402,BU393:BU404),SUMIF(BI393:BI404,$BX402,BP393:BP404))=0,NA(),IF(CB402=CB405,SUMIF(BI393:BI404,$BX402,BU393:BU404),SUMIF(BI393:BI404,$BX402,BP393:BP404)))</f>
        <v>0.8</v>
      </c>
      <c r="CA402" s="644">
        <f>IF(IF(CB402=CB405,SUMIF(BI393:BI404,$BX402,BS393:BS404),SUMIF(BI393:BI404,$BX402,BN393:BN404))=0,NA(),IF(CB402=CB405,SUMIF(BI393:BI404,$BX402,BS393:BS404),SUMIF(BI393:BI404,$BX402,BN393:BN404)))</f>
        <v>0.85074626865671632</v>
      </c>
      <c r="CB402" s="645">
        <f t="shared" si="122"/>
        <v>23</v>
      </c>
      <c r="CC402" s="645">
        <f t="shared" si="117"/>
        <v>7</v>
      </c>
    </row>
    <row r="403" spans="61:81" ht="15" customHeight="1">
      <c r="BI403" s="638" t="s">
        <v>343</v>
      </c>
      <c r="BJ403" s="638">
        <v>11</v>
      </c>
      <c r="BK403" s="638" t="s">
        <v>338</v>
      </c>
      <c r="BL403" s="859">
        <v>1.51</v>
      </c>
      <c r="BM403" s="869">
        <f t="shared" si="118"/>
        <v>0.16800000000000001</v>
      </c>
      <c r="BN403" s="653">
        <f t="shared" si="119"/>
        <v>8.9880952380952372</v>
      </c>
      <c r="BO403" s="855"/>
      <c r="BP403" s="819">
        <v>0.8</v>
      </c>
      <c r="BQ403" s="690"/>
      <c r="BR403" s="869" t="str">
        <f t="shared" si="120"/>
        <v/>
      </c>
      <c r="BS403" s="842" t="str">
        <f t="shared" si="121"/>
        <v/>
      </c>
      <c r="BT403" s="855"/>
      <c r="BU403" s="657">
        <v>0.8</v>
      </c>
      <c r="BX403" s="666" t="str">
        <f t="shared" si="116"/>
        <v>Aug</v>
      </c>
      <c r="BY403" s="643">
        <f>IF(CB403=$CB405,SUMIF($BI393:$BI404,$BX403,$BR393:$BR404),SUMIF($BI393:$BI404,$BX403,$BM393:$BM404))</f>
        <v>0.16800000000000001</v>
      </c>
      <c r="BZ403" s="821">
        <f>IF(IF(CB403=CB405,SUMIF(BI393:BI404,$BX403,BU393:BU404),SUMIF(BI393:BI404,$BX403,BP393:BP404))=0,NA(),IF(CB403=CB405,SUMIF(BI393:BI404,$BX403,BU393:BU404),SUMIF(BI393:BI404,$BX403,BP393:BP404)))</f>
        <v>0.8</v>
      </c>
      <c r="CA403" s="644">
        <f>IF(IF(CB403=CB405,SUMIF(BI393:BI404,$BX403,BS393:BS404),SUMIF(BI393:BI404,$BX403,BN393:BN404))=0,NA(),IF(CB403=CB405,SUMIF(BI393:BI404,$BX403,BS393:BS404),SUMIF(BI393:BI404,$BX403,BN393:BN404)))</f>
        <v>8.9880952380952372</v>
      </c>
      <c r="CB403" s="645">
        <f t="shared" si="122"/>
        <v>23</v>
      </c>
      <c r="CC403" s="645">
        <f t="shared" si="117"/>
        <v>8</v>
      </c>
    </row>
    <row r="404" spans="61:81" ht="15" customHeight="1">
      <c r="BI404" s="638" t="s">
        <v>344</v>
      </c>
      <c r="BJ404" s="638">
        <v>12</v>
      </c>
      <c r="BK404" s="638" t="s">
        <v>338</v>
      </c>
      <c r="BL404" s="859">
        <v>1.2889999999999999</v>
      </c>
      <c r="BM404" s="869">
        <f t="shared" si="118"/>
        <v>1.5569999999999999</v>
      </c>
      <c r="BN404" s="653">
        <f t="shared" si="119"/>
        <v>0.82787411689145796</v>
      </c>
      <c r="BO404" s="855"/>
      <c r="BP404" s="819">
        <v>0.8</v>
      </c>
      <c r="BQ404" s="690"/>
      <c r="BR404" s="869" t="str">
        <f>IF(BR366="","",BR366)</f>
        <v/>
      </c>
      <c r="BS404" s="842" t="str">
        <f>IF(BR404="","",BQ404/BR404)</f>
        <v/>
      </c>
      <c r="BT404" s="855"/>
      <c r="BU404" s="657">
        <v>0.8</v>
      </c>
      <c r="BX404" s="666" t="str">
        <f t="shared" si="116"/>
        <v>Sep</v>
      </c>
      <c r="BY404" s="643">
        <f>IF(CB404=$CB405,SUMIF($BI393:$BI404,$BX404,$BR393:$BR404),SUMIF($BI393:$BI404,$BX404,$BM393:$BM404))</f>
        <v>1.5569999999999999</v>
      </c>
      <c r="BZ404" s="821">
        <f>IF(IF(CB404=CB405,SUMIF(BI393:BI404,$BX404,BU393:BU404),SUMIF(BI393:BI404,$BX404,BP393:BP404))=0,NA(),IF(CB404=CB405,SUMIF(BI393:BI404,$BX404,BU393:BU404),SUMIF(BI393:BI404,$BX404,BP393:BP404)))</f>
        <v>0.8</v>
      </c>
      <c r="CA404" s="644">
        <f>IF(IF(CB404=CB405,SUMIF(BI393:BI404,$BX404,BS393:BS404),SUMIF(BI393:BI404,$BX404,BN393:BN404))=0,NA(),IF(CB404=CB405,SUMIF(BI393:BI404,$BX404,BS393:BS404),SUMIF(BI393:BI404,$BX404,BN393:BN404)))</f>
        <v>0.82787411689145796</v>
      </c>
      <c r="CB404" s="645">
        <f t="shared" si="122"/>
        <v>23</v>
      </c>
      <c r="CC404" s="645">
        <f>IF(CC405-1&lt;1,CC405+11,CC405-1)</f>
        <v>9</v>
      </c>
    </row>
    <row r="405" spans="61:81" ht="15" customHeight="1">
      <c r="BW405" s="667" t="str">
        <f>Cover!$M$34</f>
        <v>OCT FY-24</v>
      </c>
      <c r="BX405" s="666" t="str">
        <f>TEXT(CONCATENATE(CC405,"/01/20",CB405),"MMM")</f>
        <v>Oct</v>
      </c>
      <c r="BY405" s="643">
        <f>SUMIF($BI393:$BI404,$BX405,$BR393:$BR404)</f>
        <v>0.217</v>
      </c>
      <c r="BZ405" s="821">
        <f>IF(IF(CB405=CB405,SUMIF(BI393:BI404,$BX405,BU393:BU404),SUMIF(BI393:BI404,$BX405,BP393:BP404))=0,NA(),IF(CB405=CB405,SUMIF(BI393:BI404,$BX405,BU393:BU404),SUMIF(BI393:BI404,$BX405,BP393:BP404)))</f>
        <v>0.8</v>
      </c>
      <c r="CA405" s="644">
        <f>IF(SUMIF($BI393:$BI404,$BX405,$BS393:$BS404)=0,NA(),SUMIF($BI393:$BI404,$BX405,$BS393:$BS404))</f>
        <v>0.73271889400921664</v>
      </c>
      <c r="CB405" s="645">
        <f>CB386</f>
        <v>24</v>
      </c>
      <c r="CC405" s="645">
        <f>MONTH(DATEVALUE(LEFT(BW405,3)&amp;" 1"))</f>
        <v>10</v>
      </c>
    </row>
    <row r="406" spans="61:81" ht="15" customHeight="1">
      <c r="BJ406" s="6"/>
      <c r="BK406" s="6"/>
      <c r="BL406" s="6"/>
      <c r="BM406" s="6"/>
      <c r="BN406" s="6"/>
      <c r="BO406" s="6"/>
      <c r="BP406" s="6"/>
      <c r="BQ406" s="6"/>
      <c r="BR406" s="6"/>
      <c r="BS406" s="6"/>
      <c r="BT406" s="6"/>
      <c r="BU406" s="6"/>
      <c r="BV406" s="6"/>
    </row>
    <row r="407" spans="61:81" ht="15" customHeight="1">
      <c r="BI407" s="54" t="s">
        <v>292</v>
      </c>
      <c r="BJ407" s="1116" t="s">
        <v>463</v>
      </c>
      <c r="BK407" s="1116"/>
      <c r="BL407" s="1116"/>
      <c r="BM407" s="1116"/>
      <c r="BN407" s="1116"/>
      <c r="BO407" s="1116"/>
      <c r="BP407" s="1116"/>
      <c r="BQ407" s="1116"/>
      <c r="BR407" s="1116"/>
      <c r="BS407" s="1116"/>
      <c r="BT407" s="1116"/>
      <c r="BU407" s="1116"/>
    </row>
    <row r="408" spans="61:81" ht="15" customHeight="1">
      <c r="BI408" s="54" t="s">
        <v>296</v>
      </c>
      <c r="BJ408" s="1233" t="s">
        <v>461</v>
      </c>
      <c r="BK408" s="1233"/>
      <c r="BL408" s="1233"/>
      <c r="BM408" s="1233"/>
      <c r="BN408" s="1233"/>
      <c r="BO408" s="1233"/>
      <c r="BP408" s="1233"/>
      <c r="BQ408" s="1233"/>
      <c r="BR408" s="1233"/>
      <c r="BS408" s="1233"/>
      <c r="BT408" s="1233"/>
      <c r="BU408" s="1233"/>
    </row>
    <row r="409" spans="61:81" ht="15" customHeight="1" thickBot="1">
      <c r="BI409" s="54" t="s">
        <v>300</v>
      </c>
      <c r="BJ409" s="1222" t="s">
        <v>462</v>
      </c>
      <c r="BK409" s="1222"/>
      <c r="BL409" s="1222"/>
      <c r="BM409" s="1222"/>
      <c r="BN409" s="1222"/>
      <c r="BO409" s="1222"/>
      <c r="BP409" s="1222"/>
      <c r="BQ409" s="1222"/>
      <c r="BR409" s="1222"/>
      <c r="BS409" s="1222"/>
      <c r="BT409" s="1222"/>
      <c r="BU409" s="1222"/>
    </row>
    <row r="410" spans="61:81" ht="15" customHeight="1" thickBot="1">
      <c r="BI410" s="1405" t="s">
        <v>454</v>
      </c>
      <c r="BJ410" s="1406"/>
      <c r="BK410" s="1407"/>
      <c r="BL410" s="1405" t="s">
        <v>302</v>
      </c>
      <c r="BM410" s="1406"/>
      <c r="BN410" s="1406"/>
      <c r="BO410" s="1406"/>
      <c r="BP410" s="1407"/>
      <c r="BQ410" s="1405" t="s">
        <v>719</v>
      </c>
      <c r="BR410" s="1406"/>
      <c r="BS410" s="1406"/>
      <c r="BT410" s="1406"/>
      <c r="BU410" s="1407"/>
      <c r="BW410" s="1405" t="s">
        <v>303</v>
      </c>
      <c r="BX410" s="1406"/>
      <c r="BY410" s="1406"/>
      <c r="BZ410" s="1406"/>
      <c r="CA410" s="1406"/>
      <c r="CB410" s="1406"/>
      <c r="CC410" s="1407"/>
    </row>
    <row r="411" spans="61:81" ht="15" customHeight="1">
      <c r="BI411" s="636" t="s">
        <v>23</v>
      </c>
      <c r="BJ411" s="636" t="s">
        <v>37</v>
      </c>
      <c r="BK411" s="636" t="s">
        <v>304</v>
      </c>
      <c r="BL411" s="637" t="s">
        <v>305</v>
      </c>
      <c r="BM411" s="637" t="s">
        <v>310</v>
      </c>
      <c r="BN411" s="637" t="s">
        <v>311</v>
      </c>
      <c r="BO411" s="278" t="s">
        <v>312</v>
      </c>
      <c r="BP411" s="637" t="s">
        <v>313</v>
      </c>
      <c r="BQ411" s="637" t="s">
        <v>305</v>
      </c>
      <c r="BR411" s="637" t="s">
        <v>715</v>
      </c>
      <c r="BS411" s="637" t="s">
        <v>716</v>
      </c>
      <c r="BT411" s="278" t="s">
        <v>717</v>
      </c>
      <c r="BU411" s="637" t="s">
        <v>718</v>
      </c>
      <c r="BW411" s="279" t="s">
        <v>314</v>
      </c>
      <c r="BX411" s="279" t="s">
        <v>23</v>
      </c>
      <c r="BY411" s="280" t="s">
        <v>315</v>
      </c>
      <c r="BZ411" s="279" t="s">
        <v>122</v>
      </c>
      <c r="CA411" s="279" t="s">
        <v>316</v>
      </c>
      <c r="CB411" s="279" t="s">
        <v>317</v>
      </c>
      <c r="CC411" s="279" t="s">
        <v>318</v>
      </c>
    </row>
    <row r="412" spans="61:81" ht="15" customHeight="1">
      <c r="BI412" s="638" t="s">
        <v>319</v>
      </c>
      <c r="BJ412" s="638">
        <v>1</v>
      </c>
      <c r="BK412" s="638" t="s">
        <v>320</v>
      </c>
      <c r="BL412" s="858">
        <v>4.5999999999999999E-2</v>
      </c>
      <c r="BM412" s="858">
        <v>0.05</v>
      </c>
      <c r="BN412" s="653">
        <f>IF(BM412="","",BL412/BM412)</f>
        <v>0.91999999999999993</v>
      </c>
      <c r="BO412" s="289">
        <f>IF(SUM(BM412:BM414=0),0,SUM(BL412:BL414)/SUM(BM412:BM414))</f>
        <v>0.9086956521739129</v>
      </c>
      <c r="BP412" s="821">
        <v>0.9</v>
      </c>
      <c r="BQ412" s="689">
        <v>0.35</v>
      </c>
      <c r="BR412" s="689">
        <v>0.43</v>
      </c>
      <c r="BS412" s="842">
        <f>IF(BR412="","",BQ412/BR412)</f>
        <v>0.81395348837209303</v>
      </c>
      <c r="BT412" s="289">
        <f>IF(SUM(BR412:BR414=0),0,SUM(BQ412:BQ414)/SUM(BR412:BR414))</f>
        <v>0.81395348837209303</v>
      </c>
      <c r="BU412" s="821">
        <v>0.9</v>
      </c>
      <c r="BX412" s="666" t="str">
        <f t="shared" ref="BX412:BX423" si="123">TEXT(CONCATENATE(CC412,"/01/20",CB412),"MMM")</f>
        <v>Oct</v>
      </c>
      <c r="BY412" s="643">
        <f>IF(CB412=$CB424,SUMIF($BI412:$BI423,$BX412,$BR412:$BR423),SUMIF($BI412:$BI423,$BX412,$BM412:$BM423))</f>
        <v>0.05</v>
      </c>
      <c r="BZ412" s="821">
        <f>IF(IF(CB412=CB424,SUMIF(BI412:BI423,$BX412,BU412:BU423),SUMIF(BI412:BI423,$BX412,BP412:BP423))=0,NA(),IF(CB412=CB424,SUMIF(BI412:BI423,$BX412,BU412:BU423),SUMIF(BI412:BI423,$BX412,BP412:BP423)))</f>
        <v>0.9</v>
      </c>
      <c r="CA412" s="644">
        <f>IF(IF(CB412=CB424,SUMIF(BI412:BI423,$BX412,BS412:BS423),SUMIF(BI412:BI423,$BX412,BN412:BN423))=0,NA(),IF(CB412=CB424,SUMIF(BI412:BI423,$BX412,BS412:BS423),SUMIF(BI412:BI423,$BX412,BN412:BN423)))</f>
        <v>0.91999999999999993</v>
      </c>
      <c r="CB412" s="645">
        <f t="shared" ref="CB412:CB424" si="124">CB393</f>
        <v>23</v>
      </c>
      <c r="CC412" s="645">
        <f t="shared" ref="CC412:CC422" si="125">IF(CC413-1&lt;1,CC413+11,CC413-1)</f>
        <v>10</v>
      </c>
    </row>
    <row r="413" spans="61:81" ht="15" customHeight="1">
      <c r="BI413" s="638" t="s">
        <v>321</v>
      </c>
      <c r="BJ413" s="638">
        <v>2</v>
      </c>
      <c r="BK413" s="638" t="s">
        <v>320</v>
      </c>
      <c r="BL413" s="858">
        <v>6.3799999999999996E-2</v>
      </c>
      <c r="BM413" s="858">
        <v>6.7000000000000004E-2</v>
      </c>
      <c r="BN413" s="653">
        <f t="shared" ref="BN413:BN423" si="126">IF(BM413="","",BL413/BM413)</f>
        <v>0.95223880597014909</v>
      </c>
      <c r="BO413" s="854"/>
      <c r="BP413" s="821">
        <v>0.9</v>
      </c>
      <c r="BQ413" s="858"/>
      <c r="BR413" s="689"/>
      <c r="BS413" s="842" t="str">
        <f t="shared" ref="BS413:BS423" si="127">IF(BR413="","",BQ413/BR413)</f>
        <v/>
      </c>
      <c r="BT413" s="854"/>
      <c r="BU413" s="821">
        <v>0.9</v>
      </c>
      <c r="BX413" s="666" t="str">
        <f t="shared" si="123"/>
        <v>Nov</v>
      </c>
      <c r="BY413" s="643">
        <f>IF(CB413=$CB424,SUMIF($BI412:$BI423,$BX413,$BR412:$BR423),SUMIF($BI412:$BI423,$BX413,$BM412:$BM423))</f>
        <v>6.7000000000000004E-2</v>
      </c>
      <c r="BZ413" s="821">
        <f>IF(IF(CB413=CB424,SUMIF(BI412:BI423,$BX413,BU412:BU423),SUMIF(BI412:BI423,$BX413,BP412:BP423))=0,NA(),IF(CB413=CB424,SUMIF(BI412:BI423,$BX413,BU412:BU423),SUMIF(BI412:BI423,$BX413,BP412:BP423)))</f>
        <v>0.9</v>
      </c>
      <c r="CA413" s="644">
        <f>IF(IF(CB413=CB424,SUMIF(BI412:BI423,$BX413,BS412:BS423),SUMIF(BI412:BI423,$BX413,BN412:BN423))=0,NA(),IF(CB413=CB424,SUMIF(BI412:BI423,$BX413,BS412:BS423),SUMIF(BI412:BI423,$BX413,BN412:BN423)))</f>
        <v>0.95223880597014909</v>
      </c>
      <c r="CB413" s="645">
        <f t="shared" si="124"/>
        <v>23</v>
      </c>
      <c r="CC413" s="645">
        <f t="shared" si="125"/>
        <v>11</v>
      </c>
    </row>
    <row r="414" spans="61:81" ht="15" customHeight="1">
      <c r="BI414" s="638" t="s">
        <v>322</v>
      </c>
      <c r="BJ414" s="638">
        <v>3</v>
      </c>
      <c r="BK414" s="638" t="s">
        <v>320</v>
      </c>
      <c r="BL414" s="858">
        <v>0.14099999999999999</v>
      </c>
      <c r="BM414" s="858">
        <v>0.159</v>
      </c>
      <c r="BN414" s="653">
        <f t="shared" si="126"/>
        <v>0.88679245283018859</v>
      </c>
      <c r="BO414" s="854"/>
      <c r="BP414" s="821">
        <v>0.9</v>
      </c>
      <c r="BQ414" s="858"/>
      <c r="BR414" s="858"/>
      <c r="BS414" s="842" t="str">
        <f t="shared" si="127"/>
        <v/>
      </c>
      <c r="BT414" s="854"/>
      <c r="BU414" s="821">
        <v>0.9</v>
      </c>
      <c r="BX414" s="666" t="str">
        <f t="shared" si="123"/>
        <v>Dec</v>
      </c>
      <c r="BY414" s="643">
        <f>IF(CB414=$CB424,SUMIF($BI412:$BI423,$BX414,$BR412:$BR423),SUMIF($BI412:$BI423,$BX414,$BM412:$BM423))</f>
        <v>0.159</v>
      </c>
      <c r="BZ414" s="821">
        <f>IF(IF(CB414=CB424,SUMIF(BI412:BI423,$BX414,BU412:BU423),SUMIF(BI412:BI423,$BX414,BP412:BP423))=0,NA(),IF(CB414=CB424,SUMIF(BI412:BI423,$BX414,BU412:BU423),SUMIF(BI412:BI423,$BX414,BP412:BP423)))</f>
        <v>0.9</v>
      </c>
      <c r="CA414" s="644">
        <f>IF(IF(CB414=CB424,SUMIF(BI412:BI423,$BX414,BS412:BS423),SUMIF(BI412:BI423,$BX414,BN412:BN423))=0,NA(),IF(CB414=CB424,SUMIF(BI412:BI423,$BX414,BS412:BS423),SUMIF(BI412:BI423,$BX414,BN412:BN423)))</f>
        <v>0.88679245283018859</v>
      </c>
      <c r="CB414" s="645">
        <f t="shared" si="124"/>
        <v>23</v>
      </c>
      <c r="CC414" s="645">
        <f t="shared" si="125"/>
        <v>12</v>
      </c>
    </row>
    <row r="415" spans="61:81" ht="15" customHeight="1">
      <c r="BI415" s="638" t="s">
        <v>323</v>
      </c>
      <c r="BJ415" s="638">
        <v>4</v>
      </c>
      <c r="BK415" s="638" t="s">
        <v>324</v>
      </c>
      <c r="BL415" s="858">
        <v>4.4400000000000002E-2</v>
      </c>
      <c r="BM415" s="858">
        <v>0.05</v>
      </c>
      <c r="BN415" s="653">
        <f t="shared" si="126"/>
        <v>0.88800000000000001</v>
      </c>
      <c r="BO415" s="289">
        <f>IF(SUM(BM415:BM417=0),0,SUM(BL415:BL417)/SUM(BM415:BM417))</f>
        <v>0.91056179775280899</v>
      </c>
      <c r="BP415" s="821">
        <v>0.9</v>
      </c>
      <c r="BQ415" s="858"/>
      <c r="BR415" s="689"/>
      <c r="BS415" s="842" t="str">
        <f t="shared" si="127"/>
        <v/>
      </c>
      <c r="BT415" s="289">
        <f>IF(SUM(BR415:BR417=0),0,SUM(BQ415:BQ417)/SUM(BR415:BR417))</f>
        <v>0</v>
      </c>
      <c r="BU415" s="821">
        <v>0.9</v>
      </c>
      <c r="BX415" s="666" t="str">
        <f t="shared" si="123"/>
        <v>Jan</v>
      </c>
      <c r="BY415" s="643">
        <f>IF(CB415=$CB424,SUMIF($BI412:$BI423,$BX415,$BR412:$BR423),SUMIF($BI412:$BI423,$BX415,$BM412:$BM423))</f>
        <v>0.05</v>
      </c>
      <c r="BZ415" s="821">
        <f>IF(IF(CB415=CB424,SUMIF(BI412:BI423,$BX415,BU412:BU423),SUMIF(BI412:BI423,$BX415,BP412:BP423))=0,NA(),IF(CB415=CB424,SUMIF(BI412:BI423,$BX415,BU412:BU423),SUMIF(BI412:BI423,$BX415,BP412:BP423)))</f>
        <v>0.9</v>
      </c>
      <c r="CA415" s="644">
        <f>IF(IF(CB415=CB424,SUMIF(BI412:BI423,$BX415,BS412:BS423),SUMIF(BI412:BI423,$BX415,BN412:BN423))=0,NA(),IF(CB415=CB424,SUMIF(BI412:BI423,$BX415,BS412:BS423),SUMIF(BI412:BI423,$BX415,BN412:BN423)))</f>
        <v>0.88800000000000001</v>
      </c>
      <c r="CB415" s="645">
        <f t="shared" si="124"/>
        <v>23</v>
      </c>
      <c r="CC415" s="645">
        <f t="shared" si="125"/>
        <v>1</v>
      </c>
    </row>
    <row r="416" spans="61:81" ht="15" customHeight="1">
      <c r="BI416" s="638" t="s">
        <v>325</v>
      </c>
      <c r="BJ416" s="638">
        <v>5</v>
      </c>
      <c r="BK416" s="638" t="s">
        <v>324</v>
      </c>
      <c r="BL416" s="859">
        <v>0.308</v>
      </c>
      <c r="BM416" s="859">
        <v>0.34</v>
      </c>
      <c r="BN416" s="653">
        <f t="shared" si="126"/>
        <v>0.90588235294117636</v>
      </c>
      <c r="BO416" s="854"/>
      <c r="BP416" s="821">
        <v>0.9</v>
      </c>
      <c r="BQ416" s="690"/>
      <c r="BR416" s="690"/>
      <c r="BS416" s="842" t="str">
        <f t="shared" si="127"/>
        <v/>
      </c>
      <c r="BT416" s="854"/>
      <c r="BU416" s="821">
        <v>0.9</v>
      </c>
      <c r="BX416" s="666" t="str">
        <f t="shared" si="123"/>
        <v>Feb</v>
      </c>
      <c r="BY416" s="643">
        <f>IF(CB416=$CB424,SUMIF($BI412:$BI423,$BX416,$BR412:$BR423),SUMIF($BI412:$BI423,$BX416,$BM412:$BM423))</f>
        <v>0.34</v>
      </c>
      <c r="BZ416" s="821">
        <f>IF(IF(CB416=CB424,SUMIF(BI412:BI423,$BX416,BU412:BU423),SUMIF(BI412:BI423,$BX416,BP412:BP423))=0,NA(),IF(CB416=CB424,SUMIF(BI412:BI423,$BX416,BU412:BU423),SUMIF(BI412:BI423,$BX416,BP412:BP423)))</f>
        <v>0.9</v>
      </c>
      <c r="CA416" s="644">
        <f>IF(IF(CB416=CB424,SUMIF(BI412:BI423,$BX416,BS412:BS423),SUMIF(BI412:BI423,$BX416,BN412:BN423))=0,NA(),IF(CB416=CB424,SUMIF(BI412:BI423,$BX416,BS412:BS423),SUMIF(BI412:BI423,$BX416,BN412:BN423)))</f>
        <v>0.90588235294117636</v>
      </c>
      <c r="CB416" s="645">
        <f t="shared" si="124"/>
        <v>23</v>
      </c>
      <c r="CC416" s="645">
        <f t="shared" si="125"/>
        <v>2</v>
      </c>
    </row>
    <row r="417" spans="61:81" ht="15" customHeight="1">
      <c r="BI417" s="638" t="s">
        <v>326</v>
      </c>
      <c r="BJ417" s="638">
        <v>6</v>
      </c>
      <c r="BK417" s="638" t="s">
        <v>324</v>
      </c>
      <c r="BL417" s="859">
        <v>0.45800000000000002</v>
      </c>
      <c r="BM417" s="859">
        <v>0.5</v>
      </c>
      <c r="BN417" s="653">
        <f t="shared" si="126"/>
        <v>0.91600000000000004</v>
      </c>
      <c r="BO417" s="854"/>
      <c r="BP417" s="821">
        <v>0.9</v>
      </c>
      <c r="BQ417" s="690"/>
      <c r="BR417" s="690"/>
      <c r="BS417" s="842" t="str">
        <f t="shared" si="127"/>
        <v/>
      </c>
      <c r="BT417" s="854"/>
      <c r="BU417" s="821">
        <v>0.9</v>
      </c>
      <c r="BX417" s="666" t="str">
        <f t="shared" si="123"/>
        <v>Mar</v>
      </c>
      <c r="BY417" s="643">
        <f>IF(CB417=$CB424,SUMIF($BI412:$BI423,$BX417,$BR412:$BR423),SUMIF($BI412:$BI423,$BX417,$BM412:$BM423))</f>
        <v>0.5</v>
      </c>
      <c r="BZ417" s="821">
        <f>IF(IF(CB417=CB424,SUMIF(BI412:BI423,$BX417,BU412:BU423),SUMIF(BI412:BI423,$BX417,BP412:BP423))=0,NA(),IF(CB417=CB424,SUMIF(BI412:BI423,$BX417,BU412:BU423),SUMIF(BI412:BI423,$BX417,BP412:BP423)))</f>
        <v>0.9</v>
      </c>
      <c r="CA417" s="644">
        <f>IF(IF(CB417=CB424,SUMIF(BI412:BI423,$BX417,BS412:BS423),SUMIF(BI412:BI423,$BX417,BN412:BN423))=0,NA(),IF(CB417=CB424,SUMIF(BI412:BI423,$BX417,BS412:BS423),SUMIF(BI412:BI423,$BX417,BN412:BN423)))</f>
        <v>0.91600000000000004</v>
      </c>
      <c r="CB417" s="645">
        <f t="shared" si="124"/>
        <v>23</v>
      </c>
      <c r="CC417" s="645">
        <f t="shared" si="125"/>
        <v>3</v>
      </c>
    </row>
    <row r="418" spans="61:81" ht="15" customHeight="1">
      <c r="BI418" s="638" t="s">
        <v>327</v>
      </c>
      <c r="BJ418" s="638">
        <v>7</v>
      </c>
      <c r="BK418" s="638" t="s">
        <v>328</v>
      </c>
      <c r="BL418" s="859">
        <v>0.44600000000000001</v>
      </c>
      <c r="BM418" s="859">
        <v>0.49</v>
      </c>
      <c r="BN418" s="653">
        <f t="shared" si="126"/>
        <v>0.91020408163265309</v>
      </c>
      <c r="BO418" s="289">
        <f>IF(SUM(BM418:BM420=0),0,SUM(BL418:BL420)/SUM(BM418:BM420))</f>
        <v>0.87752808988764053</v>
      </c>
      <c r="BP418" s="821">
        <v>0.9</v>
      </c>
      <c r="BQ418" s="690"/>
      <c r="BR418" s="690"/>
      <c r="BS418" s="842" t="str">
        <f t="shared" si="127"/>
        <v/>
      </c>
      <c r="BT418" s="289">
        <f>IF(SUM(BR418:BR420=0),0,SUM(BQ418:BQ420)/SUM(BR418:BR420))</f>
        <v>0</v>
      </c>
      <c r="BU418" s="821">
        <v>0.9</v>
      </c>
      <c r="BX418" s="666" t="str">
        <f t="shared" si="123"/>
        <v>Apr</v>
      </c>
      <c r="BY418" s="643">
        <f>IF(CB418=$CB424,SUMIF($BI412:$BI423,$BX418,$BR412:$BR423),SUMIF($BI412:$BI423,$BX418,$BM412:$BM423))</f>
        <v>0.49</v>
      </c>
      <c r="BZ418" s="821">
        <f>IF(IF(CB418=CB424,SUMIF(BI412:BI423,$BX418,BU412:BU423),SUMIF(BI412:BI423,$BX418,BP412:BP423))=0,NA(),IF(CB418=CB424,SUMIF(BI412:BI423,$BX418,BU412:BU423),SUMIF(BI412:BI423,$BX418,BP412:BP423)))</f>
        <v>0.9</v>
      </c>
      <c r="CA418" s="644">
        <f>IF(IF(CB418=CB424,SUMIF(BI412:BI423,$BX418,BS412:BS423),SUMIF(BI412:BI423,$BX418,BN412:BN423))=0,NA(),IF(CB418=CB424,SUMIF(BI412:BI423,$BX418,BS412:BS423),SUMIF(BI412:BI423,$BX418,BN412:BN423)))</f>
        <v>0.91020408163265309</v>
      </c>
      <c r="CB418" s="645">
        <f t="shared" si="124"/>
        <v>23</v>
      </c>
      <c r="CC418" s="645">
        <f t="shared" si="125"/>
        <v>4</v>
      </c>
    </row>
    <row r="419" spans="61:81" ht="15" customHeight="1">
      <c r="BI419" s="638" t="s">
        <v>329</v>
      </c>
      <c r="BJ419" s="638">
        <v>8</v>
      </c>
      <c r="BK419" s="638" t="s">
        <v>328</v>
      </c>
      <c r="BL419" s="859">
        <v>0.40200000000000002</v>
      </c>
      <c r="BM419" s="859">
        <v>0.45</v>
      </c>
      <c r="BN419" s="653">
        <f t="shared" si="126"/>
        <v>0.89333333333333331</v>
      </c>
      <c r="BO419" s="854"/>
      <c r="BP419" s="821">
        <v>0.9</v>
      </c>
      <c r="BQ419" s="690"/>
      <c r="BR419" s="690"/>
      <c r="BS419" s="842" t="str">
        <f t="shared" si="127"/>
        <v/>
      </c>
      <c r="BT419" s="854"/>
      <c r="BU419" s="821">
        <v>0.9</v>
      </c>
      <c r="BX419" s="666" t="str">
        <f t="shared" si="123"/>
        <v>May</v>
      </c>
      <c r="BY419" s="643">
        <f>IF(CB419=$CB424,SUMIF($BI412:$BI423,$BX419,$BR412:$BR423),SUMIF($BI412:$BI423,$BX419,$BM412:$BM423))</f>
        <v>0.45</v>
      </c>
      <c r="BZ419" s="821">
        <f>IF(IF(CB419=CB424,SUMIF(BI412:BI423,$BX419,BU412:BU423),SUMIF(BI412:BI423,$BX419,BP412:BP423))=0,NA(),IF(CB419=CB424,SUMIF(BI412:BI423,$BX419,BU412:BU423),SUMIF(BI412:BI423,$BX419,BP412:BP423)))</f>
        <v>0.9</v>
      </c>
      <c r="CA419" s="644">
        <f>IF(IF(CB419=CB424,SUMIF(BI412:BI423,$BX419,BS412:BS423),SUMIF(BI412:BI423,$BX419,BN412:BN423))=0,NA(),IF(CB419=CB424,SUMIF(BI412:BI423,$BX419,BS412:BS423),SUMIF(BI412:BI423,$BX419,BN412:BN423)))</f>
        <v>0.89333333333333331</v>
      </c>
      <c r="CB419" s="645">
        <f t="shared" si="124"/>
        <v>23</v>
      </c>
      <c r="CC419" s="645">
        <f t="shared" si="125"/>
        <v>5</v>
      </c>
    </row>
    <row r="420" spans="61:81" ht="15" customHeight="1">
      <c r="BI420" s="638" t="s">
        <v>331</v>
      </c>
      <c r="BJ420" s="638">
        <v>9</v>
      </c>
      <c r="BK420" s="638" t="s">
        <v>328</v>
      </c>
      <c r="BL420" s="859">
        <v>0.71399999999999997</v>
      </c>
      <c r="BM420" s="859">
        <v>0.84</v>
      </c>
      <c r="BN420" s="653">
        <f t="shared" si="126"/>
        <v>0.85</v>
      </c>
      <c r="BO420" s="854"/>
      <c r="BP420" s="821">
        <v>0.9</v>
      </c>
      <c r="BQ420" s="690"/>
      <c r="BR420" s="690"/>
      <c r="BS420" s="842" t="str">
        <f t="shared" si="127"/>
        <v/>
      </c>
      <c r="BT420" s="854"/>
      <c r="BU420" s="821">
        <v>0.9</v>
      </c>
      <c r="BX420" s="666" t="str">
        <f t="shared" si="123"/>
        <v>Jun</v>
      </c>
      <c r="BY420" s="643">
        <f>IF(CB420=$CB424,SUMIF($BI412:$BI423,$BX420,$BR412:$BR423),SUMIF($BI412:$BI423,$BX420,$BM412:$BM423))</f>
        <v>0.84</v>
      </c>
      <c r="BZ420" s="821">
        <f>IF(IF(CB420=CB424,SUMIF(BI412:BI423,$BX420,BU412:BU423),SUMIF(BI412:BI423,$BX420,BP412:BP423))=0,NA(),IF(CB420=CB424,SUMIF(BI412:BI423,$BX420,BU412:BU423),SUMIF(BI412:BI423,$BX420,BP412:BP423)))</f>
        <v>0.9</v>
      </c>
      <c r="CA420" s="644">
        <f>IF(IF(CB420=CB424,SUMIF(BI412:BI423,$BX420,BS412:BS423),SUMIF(BI412:BI423,$BX420,BN412:BN423))=0,NA(),IF(CB420=CB424,SUMIF(BI412:BI423,$BX420,BS412:BS423),SUMIF(BI412:BI423,$BX420,BN412:BN423)))</f>
        <v>0.85</v>
      </c>
      <c r="CB420" s="645">
        <f t="shared" si="124"/>
        <v>23</v>
      </c>
      <c r="CC420" s="645">
        <f t="shared" si="125"/>
        <v>6</v>
      </c>
    </row>
    <row r="421" spans="61:81" ht="15" customHeight="1">
      <c r="BI421" s="638" t="s">
        <v>337</v>
      </c>
      <c r="BJ421" s="638">
        <v>10</v>
      </c>
      <c r="BK421" s="638" t="s">
        <v>338</v>
      </c>
      <c r="BL421" s="859">
        <v>0.87</v>
      </c>
      <c r="BM421" s="859">
        <v>0.95</v>
      </c>
      <c r="BN421" s="653">
        <f t="shared" si="126"/>
        <v>0.9157894736842106</v>
      </c>
      <c r="BO421" s="289">
        <f>IF(SUM(BM421:BM423=0),0,SUM(BL421:BL423)/SUM(BM421:BM423))</f>
        <v>0.89411764705882368</v>
      </c>
      <c r="BP421" s="821">
        <v>0.9</v>
      </c>
      <c r="BQ421" s="690"/>
      <c r="BR421" s="690"/>
      <c r="BS421" s="842" t="str">
        <f t="shared" si="127"/>
        <v/>
      </c>
      <c r="BT421" s="289">
        <f>IF(SUM(BR421:BR423=0),0,SUM(BQ421:BQ423)/SUM(BR421:BR423))</f>
        <v>0</v>
      </c>
      <c r="BU421" s="821">
        <v>0.9</v>
      </c>
      <c r="BX421" s="666" t="str">
        <f t="shared" si="123"/>
        <v>Jul</v>
      </c>
      <c r="BY421" s="643">
        <f>IF(CB421=$CB424,SUMIF($BI412:$BI423,$BX421,$BR412:$BR423),SUMIF($BI412:$BI423,$BX421,$BM412:$BM423))</f>
        <v>0.95</v>
      </c>
      <c r="BZ421" s="821">
        <f>IF(IF(CB421=CB424,SUMIF(BI412:BI423,$BX421,BU412:BU423),SUMIF(BI412:BI423,$BX421,BP412:BP423))=0,NA(),IF(CB421=CB424,SUMIF(BI412:BI423,$BX421,BU412:BU423),SUMIF(BI412:BI423,$BX421,BP412:BP423)))</f>
        <v>0.9</v>
      </c>
      <c r="CA421" s="644">
        <f>IF(IF(CB421=CB424,SUMIF(BI412:BI423,$BX421,BS412:BS423),SUMIF(BI412:BI423,$BX421,BN412:BN423))=0,NA(),IF(CB421=CB424,SUMIF(BI412:BI423,$BX421,BS412:BS423),SUMIF(BI412:BI423,$BX421,BN412:BN423)))</f>
        <v>0.9157894736842106</v>
      </c>
      <c r="CB421" s="645">
        <f t="shared" si="124"/>
        <v>23</v>
      </c>
      <c r="CC421" s="645">
        <f t="shared" si="125"/>
        <v>7</v>
      </c>
    </row>
    <row r="422" spans="61:81" ht="15" customHeight="1">
      <c r="BI422" s="638" t="s">
        <v>343</v>
      </c>
      <c r="BJ422" s="638">
        <v>11</v>
      </c>
      <c r="BK422" s="638" t="s">
        <v>338</v>
      </c>
      <c r="BL422" s="859">
        <v>0.41599999999999998</v>
      </c>
      <c r="BM422" s="859">
        <v>0.47</v>
      </c>
      <c r="BN422" s="653">
        <f t="shared" si="126"/>
        <v>0.88510638297872346</v>
      </c>
      <c r="BO422" s="854"/>
      <c r="BP422" s="821">
        <v>0.9</v>
      </c>
      <c r="BQ422" s="690"/>
      <c r="BR422" s="690"/>
      <c r="BS422" s="842" t="str">
        <f t="shared" si="127"/>
        <v/>
      </c>
      <c r="BT422" s="854"/>
      <c r="BU422" s="821">
        <v>0.9</v>
      </c>
      <c r="BX422" s="666" t="str">
        <f t="shared" si="123"/>
        <v>Aug</v>
      </c>
      <c r="BY422" s="643">
        <f>IF(CB422=$CB424,SUMIF($BI412:$BI423,$BX422,$BR412:$BR423),SUMIF($BI412:$BI423,$BX422,$BM412:$BM423))</f>
        <v>0.47</v>
      </c>
      <c r="BZ422" s="821">
        <f>IF(IF(CB422=CB424,SUMIF(BI412:BI423,$BX422,BU412:BU423),SUMIF(BI412:BI423,$BX422,BP412:BP423))=0,NA(),IF(CB422=CB424,SUMIF(BI412:BI423,$BX422,BU412:BU423),SUMIF(BI412:BI423,$BX422,BP412:BP423)))</f>
        <v>0.9</v>
      </c>
      <c r="CA422" s="644">
        <f>IF(IF(CB422=CB424,SUMIF(BI412:BI423,$BX422,BS412:BS423),SUMIF(BI412:BI423,$BX422,BN412:BN423))=0,NA(),IF(CB422=CB424,SUMIF(BI412:BI423,$BX422,BS412:BS423),SUMIF(BI412:BI423,$BX422,BN412:BN423)))</f>
        <v>0.88510638297872346</v>
      </c>
      <c r="CB422" s="645">
        <f t="shared" si="124"/>
        <v>23</v>
      </c>
      <c r="CC422" s="645">
        <f t="shared" si="125"/>
        <v>8</v>
      </c>
    </row>
    <row r="423" spans="61:81" ht="15" customHeight="1">
      <c r="BI423" s="638" t="s">
        <v>344</v>
      </c>
      <c r="BJ423" s="638">
        <v>12</v>
      </c>
      <c r="BK423" s="638" t="s">
        <v>338</v>
      </c>
      <c r="BL423" s="859">
        <v>0.38600000000000001</v>
      </c>
      <c r="BM423" s="859">
        <v>0.45</v>
      </c>
      <c r="BN423" s="653">
        <f t="shared" si="126"/>
        <v>0.85777777777777775</v>
      </c>
      <c r="BO423" s="854"/>
      <c r="BP423" s="821">
        <v>0.9</v>
      </c>
      <c r="BQ423" s="690"/>
      <c r="BR423" s="690"/>
      <c r="BS423" s="842" t="str">
        <f t="shared" si="127"/>
        <v/>
      </c>
      <c r="BT423" s="854"/>
      <c r="BU423" s="821">
        <v>0.9</v>
      </c>
      <c r="BX423" s="666" t="str">
        <f t="shared" si="123"/>
        <v>Sep</v>
      </c>
      <c r="BY423" s="643">
        <f>IF(CB423=$CB424,SUMIF($BI412:$BI423,$BX423,$BR412:$BR423),SUMIF($BI412:$BI423,$BX423,$BM412:$BM423))</f>
        <v>0.45</v>
      </c>
      <c r="BZ423" s="821">
        <f>IF(IF(CB423=CB424,SUMIF(BI412:BI423,$BX423,BU412:BU423),SUMIF(BI412:BI423,$BX423,BP412:BP423))=0,NA(),IF(CB423=CB424,SUMIF(BI412:BI423,$BX423,BU412:BU423),SUMIF(BI412:BI423,$BX423,BP412:BP423)))</f>
        <v>0.9</v>
      </c>
      <c r="CA423" s="644">
        <f>IF(IF(CB423=CB424,SUMIF(BI412:BI423,$BX423,BS412:BS423),SUMIF(BI412:BI423,$BX423,BN412:BN423))=0,NA(),IF(CB423=CB424,SUMIF(BI412:BI423,$BX423,BS412:BS423),SUMIF(BI412:BI423,$BX423,BN412:BN423)))</f>
        <v>0.85777777777777775</v>
      </c>
      <c r="CB423" s="645">
        <f t="shared" si="124"/>
        <v>23</v>
      </c>
      <c r="CC423" s="645">
        <f>IF(CC424-1&lt;1,CC424+11,CC424-1)</f>
        <v>9</v>
      </c>
    </row>
    <row r="424" spans="61:81" ht="15" customHeight="1">
      <c r="BJ424" s="277"/>
      <c r="BK424" s="277"/>
      <c r="BL424" s="277"/>
      <c r="BM424" s="277"/>
      <c r="BN424" s="277"/>
      <c r="BO424" s="277"/>
      <c r="BP424" s="277"/>
      <c r="BQ424" s="277"/>
      <c r="BR424" s="277"/>
      <c r="BS424" s="277"/>
      <c r="BT424" s="277"/>
      <c r="BW424" s="667" t="str">
        <f>Cover!$M$34</f>
        <v>OCT FY-24</v>
      </c>
      <c r="BX424" s="666" t="str">
        <f>TEXT(CONCATENATE(CC424,"/01/20",CB424),"MMM")</f>
        <v>Oct</v>
      </c>
      <c r="BY424" s="643">
        <f>SUMIF($BI412:$BI423,$BX424,$BR412:$BR423)</f>
        <v>0.43</v>
      </c>
      <c r="BZ424" s="821">
        <f>IF(IF(CB424=CB424,SUMIF(BI412:BI423,$BX424,BU412:BU423),SUMIF(BI412:BI423,$BX424,BP412:BP423))=0,NA(),IF(CB424=CB424,SUMIF(BI412:BI423,$BX424,BU412:BU423),SUMIF(BI412:BI423,$BX424,BP412:BP423)))</f>
        <v>0.9</v>
      </c>
      <c r="CA424" s="644">
        <f>IF(SUMIF($BI412:$BI423,$BX424,$BS412:$BS423)=0,NA(),SUMIF($BI412:$BI423,$BX424,$BS412:$BS423))</f>
        <v>0.81395348837209303</v>
      </c>
      <c r="CB424" s="645">
        <f t="shared" si="124"/>
        <v>24</v>
      </c>
      <c r="CC424" s="645">
        <f>MONTH(DATEVALUE(LEFT(BW424,3)&amp;" 1"))</f>
        <v>10</v>
      </c>
    </row>
    <row r="425" spans="61:81" ht="15" customHeight="1">
      <c r="BI425" s="6"/>
      <c r="BJ425" s="6"/>
      <c r="BK425" s="6"/>
      <c r="BL425" s="6"/>
      <c r="BM425" s="6"/>
      <c r="BN425" s="6"/>
      <c r="BO425" s="6"/>
      <c r="BP425" s="6"/>
      <c r="BQ425" s="6"/>
      <c r="BR425" s="6"/>
      <c r="BS425" s="6"/>
      <c r="BT425" s="6"/>
      <c r="BU425" s="6"/>
      <c r="BV425" s="6"/>
    </row>
    <row r="426" spans="61:81" ht="15" customHeight="1">
      <c r="BI426" s="54" t="s">
        <v>292</v>
      </c>
      <c r="BJ426" s="287" t="s">
        <v>464</v>
      </c>
      <c r="BK426" s="287"/>
      <c r="BL426" s="287"/>
      <c r="BM426" s="287"/>
      <c r="BN426" s="287"/>
      <c r="BO426" s="287"/>
      <c r="BP426" s="287"/>
      <c r="BQ426" s="287"/>
      <c r="BR426" s="287"/>
      <c r="BS426" s="287"/>
      <c r="BT426" s="287"/>
      <c r="BU426" s="287"/>
    </row>
    <row r="427" spans="61:81" ht="15" customHeight="1">
      <c r="BI427" s="54" t="s">
        <v>296</v>
      </c>
      <c r="BJ427" s="283" t="s">
        <v>468</v>
      </c>
      <c r="BK427" s="283"/>
      <c r="BL427" s="283"/>
      <c r="BM427" s="283"/>
      <c r="BN427" s="283"/>
      <c r="BO427" s="283"/>
      <c r="BP427" s="283"/>
      <c r="BQ427" s="283"/>
      <c r="BR427" s="283"/>
      <c r="BS427" s="283"/>
      <c r="BT427" s="283"/>
      <c r="BU427" s="283"/>
    </row>
    <row r="428" spans="61:81" ht="15" customHeight="1" thickBot="1">
      <c r="BI428" s="54" t="s">
        <v>300</v>
      </c>
      <c r="BJ428" s="288" t="s">
        <v>470</v>
      </c>
      <c r="BK428" s="288"/>
      <c r="BL428" s="288"/>
      <c r="BM428" s="288"/>
      <c r="BN428" s="288"/>
      <c r="BO428" s="288"/>
      <c r="BP428" s="288"/>
      <c r="BQ428" s="288"/>
      <c r="BR428" s="288"/>
      <c r="BS428" s="288"/>
      <c r="BT428" s="288"/>
      <c r="BU428" s="288"/>
    </row>
    <row r="429" spans="61:81" ht="15" customHeight="1" thickBot="1">
      <c r="BI429" s="1405" t="s">
        <v>454</v>
      </c>
      <c r="BJ429" s="1406"/>
      <c r="BK429" s="1407"/>
      <c r="BL429" s="1405" t="s">
        <v>302</v>
      </c>
      <c r="BM429" s="1406"/>
      <c r="BN429" s="1406"/>
      <c r="BO429" s="1406"/>
      <c r="BP429" s="1407"/>
      <c r="BQ429" s="1405" t="s">
        <v>719</v>
      </c>
      <c r="BR429" s="1406"/>
      <c r="BS429" s="1406"/>
      <c r="BT429" s="1406"/>
      <c r="BU429" s="1407"/>
      <c r="BW429" s="1405" t="s">
        <v>303</v>
      </c>
      <c r="BX429" s="1406"/>
      <c r="BY429" s="1406"/>
      <c r="BZ429" s="1406"/>
      <c r="CA429" s="1406"/>
      <c r="CB429" s="1406"/>
      <c r="CC429" s="1407"/>
    </row>
    <row r="430" spans="61:81" ht="15" customHeight="1">
      <c r="BI430" s="636" t="s">
        <v>23</v>
      </c>
      <c r="BJ430" s="636" t="s">
        <v>37</v>
      </c>
      <c r="BK430" s="636" t="s">
        <v>304</v>
      </c>
      <c r="BL430" s="637" t="s">
        <v>305</v>
      </c>
      <c r="BM430" s="637" t="s">
        <v>310</v>
      </c>
      <c r="BN430" s="637" t="s">
        <v>311</v>
      </c>
      <c r="BO430" s="278" t="s">
        <v>312</v>
      </c>
      <c r="BP430" s="637" t="s">
        <v>313</v>
      </c>
      <c r="BQ430" s="637" t="s">
        <v>305</v>
      </c>
      <c r="BR430" s="637" t="s">
        <v>715</v>
      </c>
      <c r="BS430" s="637" t="s">
        <v>716</v>
      </c>
      <c r="BT430" s="278" t="s">
        <v>717</v>
      </c>
      <c r="BU430" s="637" t="s">
        <v>718</v>
      </c>
      <c r="BW430" s="279" t="s">
        <v>314</v>
      </c>
      <c r="BX430" s="279" t="s">
        <v>23</v>
      </c>
      <c r="BY430" s="280" t="s">
        <v>315</v>
      </c>
      <c r="BZ430" s="279" t="s">
        <v>122</v>
      </c>
      <c r="CA430" s="279" t="s">
        <v>316</v>
      </c>
      <c r="CB430" s="279" t="s">
        <v>317</v>
      </c>
      <c r="CC430" s="279" t="s">
        <v>318</v>
      </c>
    </row>
    <row r="431" spans="61:81" ht="15" customHeight="1">
      <c r="BI431" s="638" t="s">
        <v>319</v>
      </c>
      <c r="BJ431" s="638">
        <v>1</v>
      </c>
      <c r="BK431" s="638" t="s">
        <v>320</v>
      </c>
      <c r="BL431" s="825">
        <f>IF(BM412="","",BM412)</f>
        <v>0.05</v>
      </c>
      <c r="BM431" s="858">
        <v>0.125</v>
      </c>
      <c r="BN431" s="653">
        <f>IF(BM431="","",BL431/BM431)</f>
        <v>0.4</v>
      </c>
      <c r="BO431" s="289">
        <f>IF(SUM(BM431:BM433=0),0,SUM(BL431:BL433)/SUM(BM431:BM433))</f>
        <v>0.2651296829971182</v>
      </c>
      <c r="BP431" s="657">
        <v>0.3</v>
      </c>
      <c r="BQ431" s="846">
        <f>IF(BR412="","",BR412)</f>
        <v>0.43</v>
      </c>
      <c r="BR431" s="689">
        <v>1.77</v>
      </c>
      <c r="BS431" s="653">
        <f>IF(BR431="","",BQ431/BR431)</f>
        <v>0.24293785310734461</v>
      </c>
      <c r="BT431" s="289">
        <f>IF(SUM(BR431:BR433=0),0,SUM(BQ431:BQ433)/SUM(BR431:BR433))</f>
        <v>0.24293785310734461</v>
      </c>
      <c r="BU431" s="657">
        <v>0.3</v>
      </c>
      <c r="BV431" s="6"/>
      <c r="BX431" s="666" t="str">
        <f t="shared" ref="BX431:BX442" si="128">TEXT(CONCATENATE(CC431,"/01/20",CB431),"MMM")</f>
        <v>Oct</v>
      </c>
      <c r="BY431" s="643">
        <f>IF(CB431=$CB443,SUMIF($BI431:$BI442,$BX431,$BR431:$BR442),SUMIF($BI431:$BI442,$BX431,$BM431:$BM442))</f>
        <v>0.125</v>
      </c>
      <c r="BZ431" s="821">
        <f>IF(IF(CB431=CB443,SUMIF(BI431:BI442,$BX431,BU431:BU442),SUMIF(BI431:BI442,$BX431,BP431:BP442))=0,NA(),IF(CB431=CB443,SUMIF(BI431:BI442,$BX431,BU431:BU442),SUMIF(BI431:BI442,$BX431,BP431:BP442)))</f>
        <v>0.3</v>
      </c>
      <c r="CA431" s="640">
        <f>IF(IF(CB431=CB443,SUMIF(BI431:BI442,$BX431,BS431:BS442),SUMIF(BI431:BI442,$BX431,BN431:BN442))=0,NA(),IF(CB431=CB443,SUMIF(BI431:BI442,$BX431,BS431:BS442),SUMIF(BI431:BI442,$BX431,BN431:BN442)))</f>
        <v>0.4</v>
      </c>
      <c r="CB431" s="645">
        <f>CB412</f>
        <v>23</v>
      </c>
      <c r="CC431" s="645">
        <f t="shared" ref="CC431:CC441" si="129">IF(CC432-1&lt;1,CC432+11,CC432-1)</f>
        <v>10</v>
      </c>
    </row>
    <row r="432" spans="61:81" ht="15" customHeight="1">
      <c r="BI432" s="638" t="s">
        <v>321</v>
      </c>
      <c r="BJ432" s="638">
        <v>2</v>
      </c>
      <c r="BK432" s="638" t="s">
        <v>320</v>
      </c>
      <c r="BL432" s="825">
        <f t="shared" ref="BL432:BL442" si="130">IF(BM413="","",BM413)</f>
        <v>6.7000000000000004E-2</v>
      </c>
      <c r="BM432" s="860">
        <v>0.252</v>
      </c>
      <c r="BN432" s="653">
        <f t="shared" ref="BN432:BN442" si="131">IF(BM432="","",BL432/BM432)</f>
        <v>0.26587301587301587</v>
      </c>
      <c r="BO432" s="855"/>
      <c r="BP432" s="657">
        <v>0.3</v>
      </c>
      <c r="BQ432" s="846" t="str">
        <f t="shared" ref="BQ432:BQ442" si="132">IF(BR413="","",BR413)</f>
        <v/>
      </c>
      <c r="BR432" s="822"/>
      <c r="BS432" s="653" t="str">
        <f t="shared" ref="BS432:BS441" si="133">IF(BR432="","",BQ432/BR432)</f>
        <v/>
      </c>
      <c r="BT432" s="854"/>
      <c r="BU432" s="657">
        <v>0.3</v>
      </c>
      <c r="BX432" s="666" t="str">
        <f t="shared" si="128"/>
        <v>Nov</v>
      </c>
      <c r="BY432" s="643">
        <f>IF(CB432=$CB443,SUMIF($BI431:$BI442,$BX432,$BR431:$BR442),SUMIF($BI431:$BI442,$BX432,$BM431:$BM442))</f>
        <v>0.252</v>
      </c>
      <c r="BZ432" s="821">
        <f>IF(IF(CB432=CB443,SUMIF(BI431:BI442,$BX432,BU431:BU442),SUMIF(BI431:BI442,$BX432,BP431:BP442))=0,NA(),IF(CB432=CB443,SUMIF(BI431:BI442,$BX432,BU431:BU442),SUMIF(BI431:BI442,$BX432,BP431:BP442)))</f>
        <v>0.3</v>
      </c>
      <c r="CA432" s="640">
        <f>IF(IF(CB432=CB443,SUMIF(BI431:BI442,$BX432,BS431:BS442),SUMIF(BI431:BI442,$BX432,BN431:BN442))=0,NA(),IF(CB432=CB443,SUMIF(BI431:BI442,$BX432,BS431:BS442),SUMIF(BI431:BI442,$BX432,BN431:BN442)))</f>
        <v>0.26587301587301587</v>
      </c>
      <c r="CB432" s="645">
        <f t="shared" ref="CB432:CB443" si="134">CB413</f>
        <v>23</v>
      </c>
      <c r="CC432" s="645">
        <f t="shared" si="129"/>
        <v>11</v>
      </c>
    </row>
    <row r="433" spans="61:81" ht="15" customHeight="1">
      <c r="BI433" s="638" t="s">
        <v>322</v>
      </c>
      <c r="BJ433" s="638">
        <v>3</v>
      </c>
      <c r="BK433" s="638" t="s">
        <v>320</v>
      </c>
      <c r="BL433" s="825">
        <f t="shared" si="130"/>
        <v>0.159</v>
      </c>
      <c r="BM433" s="860">
        <v>0.66400000000000003</v>
      </c>
      <c r="BN433" s="653">
        <f t="shared" si="131"/>
        <v>0.23945783132530118</v>
      </c>
      <c r="BO433" s="855"/>
      <c r="BP433" s="657">
        <v>0.3</v>
      </c>
      <c r="BQ433" s="846" t="str">
        <f>IF(BR414="","",BR414)</f>
        <v/>
      </c>
      <c r="BR433" s="822"/>
      <c r="BS433" s="653" t="str">
        <f t="shared" si="133"/>
        <v/>
      </c>
      <c r="BT433" s="854"/>
      <c r="BU433" s="657">
        <v>0.3</v>
      </c>
      <c r="BX433" s="666" t="str">
        <f t="shared" si="128"/>
        <v>Dec</v>
      </c>
      <c r="BY433" s="643">
        <f>IF(CB433=$CB443,SUMIF($BI431:$BI442,$BX433,$BR431:$BR442),SUMIF($BI431:$BI442,$BX433,$BM431:$BM442))</f>
        <v>0.66400000000000003</v>
      </c>
      <c r="BZ433" s="821">
        <f>IF(IF(CB433=CB443,SUMIF(BI431:BI442,$BX433,BU431:BU442),SUMIF(BI431:BI442,$BX433,BP431:BP442))=0,NA(),IF(CB433=CB443,SUMIF(BI431:BI442,$BX433,BU431:BU442),SUMIF(BI431:BI442,$BX433,BP431:BP442)))</f>
        <v>0.3</v>
      </c>
      <c r="CA433" s="640">
        <f>IF(IF(CB433=CB443,SUMIF(BI431:BI442,$BX433,BS431:BS442),SUMIF(BI431:BI442,$BX433,BN431:BN442))=0,NA(),IF(CB433=CB443,SUMIF(BI431:BI442,$BX433,BS431:BS442),SUMIF(BI431:BI442,$BX433,BN431:BN442)))</f>
        <v>0.23945783132530118</v>
      </c>
      <c r="CB433" s="645">
        <f t="shared" si="134"/>
        <v>23</v>
      </c>
      <c r="CC433" s="645">
        <f t="shared" si="129"/>
        <v>12</v>
      </c>
    </row>
    <row r="434" spans="61:81" ht="15" customHeight="1">
      <c r="BI434" s="638" t="s">
        <v>323</v>
      </c>
      <c r="BJ434" s="638">
        <v>4</v>
      </c>
      <c r="BK434" s="638" t="s">
        <v>324</v>
      </c>
      <c r="BL434" s="825">
        <f t="shared" si="130"/>
        <v>0.05</v>
      </c>
      <c r="BM434" s="860">
        <v>0.23799999999999999</v>
      </c>
      <c r="BN434" s="653">
        <f t="shared" si="131"/>
        <v>0.21008403361344541</v>
      </c>
      <c r="BO434" s="289">
        <f>IF(SUM(BM434:BM436=0),0,SUM(BL434:BL436)/SUM(BM434:BM436))</f>
        <v>0.27233782129742962</v>
      </c>
      <c r="BP434" s="657">
        <v>0.3</v>
      </c>
      <c r="BQ434" s="846" t="str">
        <f t="shared" si="132"/>
        <v/>
      </c>
      <c r="BR434" s="822"/>
      <c r="BS434" s="653" t="str">
        <f t="shared" si="133"/>
        <v/>
      </c>
      <c r="BT434" s="289">
        <f>IF(SUM(BR434:BR436=0),0,SUM(BQ434:BQ436)/SUM(BR434:BR436))</f>
        <v>0</v>
      </c>
      <c r="BU434" s="657">
        <v>0.3</v>
      </c>
      <c r="BX434" s="666" t="str">
        <f t="shared" si="128"/>
        <v>Jan</v>
      </c>
      <c r="BY434" s="643">
        <f>IF(CB434=$CB443,SUMIF($BI431:$BI442,$BX434,$BR431:$BR442),SUMIF($BI431:$BI442,$BX434,$BM431:$BM442))</f>
        <v>0.23799999999999999</v>
      </c>
      <c r="BZ434" s="821">
        <f>IF(IF(CB434=CB443,SUMIF(BI431:BI442,$BX434,BU431:BU442),SUMIF(BI431:BI442,$BX434,BP431:BP442))=0,NA(),IF(CB434=CB443,SUMIF(BI431:BI442,$BX434,BU431:BU442),SUMIF(BI431:BI442,$BX434,BP431:BP442)))</f>
        <v>0.3</v>
      </c>
      <c r="CA434" s="640">
        <f>IF(IF(CB434=CB443,SUMIF(BI431:BI442,$BX434,BS431:BS442),SUMIF(BI431:BI442,$BX434,BN431:BN442))=0,NA(),IF(CB434=CB443,SUMIF(BI431:BI442,$BX434,BS431:BS442),SUMIF(BI431:BI442,$BX434,BN431:BN442)))</f>
        <v>0.21008403361344541</v>
      </c>
      <c r="CB434" s="645">
        <f t="shared" si="134"/>
        <v>23</v>
      </c>
      <c r="CC434" s="645">
        <f t="shared" si="129"/>
        <v>1</v>
      </c>
    </row>
    <row r="435" spans="61:81" ht="15" customHeight="1">
      <c r="BI435" s="638" t="s">
        <v>325</v>
      </c>
      <c r="BJ435" s="638">
        <v>5</v>
      </c>
      <c r="BK435" s="638" t="s">
        <v>324</v>
      </c>
      <c r="BL435" s="825">
        <f t="shared" si="130"/>
        <v>0.34</v>
      </c>
      <c r="BM435" s="859">
        <v>1.28</v>
      </c>
      <c r="BN435" s="653">
        <f t="shared" si="131"/>
        <v>0.265625</v>
      </c>
      <c r="BO435" s="855"/>
      <c r="BP435" s="657">
        <v>0.3</v>
      </c>
      <c r="BQ435" s="846" t="str">
        <f t="shared" si="132"/>
        <v/>
      </c>
      <c r="BR435" s="690"/>
      <c r="BS435" s="653" t="str">
        <f t="shared" si="133"/>
        <v/>
      </c>
      <c r="BT435" s="854"/>
      <c r="BU435" s="657">
        <v>0.3</v>
      </c>
      <c r="BX435" s="666" t="str">
        <f t="shared" si="128"/>
        <v>Feb</v>
      </c>
      <c r="BY435" s="643">
        <f>IF(CB435=$CB443,SUMIF($BI431:$BI442,$BX435,$BR431:$BR442),SUMIF($BI431:$BI442,$BX435,$BM431:$BM442))</f>
        <v>1.28</v>
      </c>
      <c r="BZ435" s="821">
        <f>IF(IF(CB435=CB443,SUMIF(BI431:BI442,$BX435,BU431:BU442),SUMIF(BI431:BI442,$BX435,BP431:BP442))=0,NA(),IF(CB435=CB443,SUMIF(BI431:BI442,$BX435,BU431:BU442),SUMIF(BI431:BI442,$BX435,BP431:BP442)))</f>
        <v>0.3</v>
      </c>
      <c r="CA435" s="640">
        <f>IF(IF(CB435=CB443,SUMIF(BI431:BI442,$BX435,BS431:BS442),SUMIF(BI431:BI442,$BX435,BN431:BN442))=0,NA(),IF(CB435=CB443,SUMIF(BI431:BI442,$BX435,BS431:BS442),SUMIF(BI431:BI442,$BX435,BN431:BN442)))</f>
        <v>0.265625</v>
      </c>
      <c r="CB435" s="645">
        <f t="shared" si="134"/>
        <v>23</v>
      </c>
      <c r="CC435" s="645">
        <f t="shared" si="129"/>
        <v>2</v>
      </c>
    </row>
    <row r="436" spans="61:81" ht="15" customHeight="1">
      <c r="BI436" s="638" t="s">
        <v>326</v>
      </c>
      <c r="BJ436" s="638">
        <v>6</v>
      </c>
      <c r="BK436" s="638" t="s">
        <v>324</v>
      </c>
      <c r="BL436" s="825">
        <f t="shared" si="130"/>
        <v>0.5</v>
      </c>
      <c r="BM436" s="859">
        <v>1.75</v>
      </c>
      <c r="BN436" s="653">
        <f t="shared" si="131"/>
        <v>0.2857142857142857</v>
      </c>
      <c r="BO436" s="855"/>
      <c r="BP436" s="657">
        <v>0.3</v>
      </c>
      <c r="BQ436" s="846" t="str">
        <f t="shared" si="132"/>
        <v/>
      </c>
      <c r="BR436" s="689"/>
      <c r="BS436" s="653" t="str">
        <f t="shared" si="133"/>
        <v/>
      </c>
      <c r="BT436" s="854"/>
      <c r="BU436" s="657">
        <v>0.3</v>
      </c>
      <c r="BX436" s="666" t="str">
        <f t="shared" si="128"/>
        <v>Mar</v>
      </c>
      <c r="BY436" s="643">
        <f>IF(CB436=$CB443,SUMIF($BI431:$BI442,$BX436,$BR431:$BR442),SUMIF($BI431:$BI442,$BX436,$BM431:$BM442))</f>
        <v>1.75</v>
      </c>
      <c r="BZ436" s="821">
        <f>IF(IF(CB436=CB443,SUMIF(BI431:BI442,$BX436,BU431:BU442),SUMIF(BI431:BI442,$BX436,BP431:BP442))=0,NA(),IF(CB436=CB443,SUMIF(BI431:BI442,$BX436,BU431:BU442),SUMIF(BI431:BI442,$BX436,BP431:BP442)))</f>
        <v>0.3</v>
      </c>
      <c r="CA436" s="640">
        <f>IF(IF(CB436=CB443,SUMIF(BI431:BI442,$BX436,BS431:BS442),SUMIF(BI431:BI442,$BX436,BN431:BN442))=0,NA(),IF(CB436=CB443,SUMIF(BI431:BI442,$BX436,BS431:BS442),SUMIF(BI431:BI442,$BX436,BN431:BN442)))</f>
        <v>0.2857142857142857</v>
      </c>
      <c r="CB436" s="645">
        <f t="shared" si="134"/>
        <v>23</v>
      </c>
      <c r="CC436" s="645">
        <f t="shared" si="129"/>
        <v>3</v>
      </c>
    </row>
    <row r="437" spans="61:81" ht="15" customHeight="1">
      <c r="BI437" s="638" t="s">
        <v>327</v>
      </c>
      <c r="BJ437" s="638">
        <v>7</v>
      </c>
      <c r="BK437" s="638" t="s">
        <v>328</v>
      </c>
      <c r="BL437" s="825">
        <f t="shared" si="130"/>
        <v>0.49</v>
      </c>
      <c r="BM437" s="859">
        <v>2</v>
      </c>
      <c r="BN437" s="653">
        <f t="shared" si="131"/>
        <v>0.245</v>
      </c>
      <c r="BO437" s="289">
        <f>IF(SUM(BM437:BM439=0),0,SUM(BL437:BL439)/SUM(BM437:BM439))</f>
        <v>0.27010622154779967</v>
      </c>
      <c r="BP437" s="657">
        <v>0.3</v>
      </c>
      <c r="BQ437" s="846" t="str">
        <f t="shared" si="132"/>
        <v/>
      </c>
      <c r="BR437" s="690"/>
      <c r="BS437" s="653" t="str">
        <f t="shared" si="133"/>
        <v/>
      </c>
      <c r="BT437" s="289">
        <f>IF(SUM(BR437:BR439=0),0,SUM(BQ437:BQ439)/SUM(BR437:BR439))</f>
        <v>0</v>
      </c>
      <c r="BU437" s="657">
        <v>0.3</v>
      </c>
      <c r="BX437" s="666" t="str">
        <f t="shared" si="128"/>
        <v>Apr</v>
      </c>
      <c r="BY437" s="643">
        <f>IF(CB437=$CB443,SUMIF($BI431:$BI442,$BX437,$BR431:$BR442),SUMIF($BI431:$BI442,$BX437,$BM431:$BM442))</f>
        <v>2</v>
      </c>
      <c r="BZ437" s="821">
        <f>IF(IF(CB437=CB443,SUMIF(BI431:BI442,$BX437,BU431:BU442),SUMIF(BI431:BI442,$BX437,BP431:BP442))=0,NA(),IF(CB437=CB443,SUMIF(BI431:BI442,$BX437,BU431:BU442),SUMIF(BI431:BI442,$BX437,BP431:BP442)))</f>
        <v>0.3</v>
      </c>
      <c r="CA437" s="640">
        <f>IF(IF(CB437=CB443,SUMIF(BI431:BI442,$BX437,BS431:BS442),SUMIF(BI431:BI442,$BX437,BN431:BN442))=0,NA(),IF(CB437=CB443,SUMIF(BI431:BI442,$BX437,BS431:BS442),SUMIF(BI431:BI442,$BX437,BN431:BN442)))</f>
        <v>0.245</v>
      </c>
      <c r="CB437" s="645">
        <f t="shared" si="134"/>
        <v>23</v>
      </c>
      <c r="CC437" s="645">
        <f t="shared" si="129"/>
        <v>4</v>
      </c>
    </row>
    <row r="438" spans="61:81" ht="15" customHeight="1">
      <c r="BI438" s="638" t="s">
        <v>329</v>
      </c>
      <c r="BJ438" s="638">
        <v>8</v>
      </c>
      <c r="BK438" s="638" t="s">
        <v>328</v>
      </c>
      <c r="BL438" s="825">
        <f t="shared" si="130"/>
        <v>0.45</v>
      </c>
      <c r="BM438" s="859">
        <v>1.44</v>
      </c>
      <c r="BN438" s="653">
        <f t="shared" si="131"/>
        <v>0.3125</v>
      </c>
      <c r="BO438" s="855"/>
      <c r="BP438" s="657">
        <v>0.3</v>
      </c>
      <c r="BQ438" s="846" t="str">
        <f t="shared" si="132"/>
        <v/>
      </c>
      <c r="BR438" s="690"/>
      <c r="BS438" s="653" t="str">
        <f t="shared" si="133"/>
        <v/>
      </c>
      <c r="BT438" s="854"/>
      <c r="BU438" s="657">
        <v>0.3</v>
      </c>
      <c r="BX438" s="666" t="str">
        <f t="shared" si="128"/>
        <v>May</v>
      </c>
      <c r="BY438" s="643">
        <f>IF(CB438=$CB443,SUMIF($BI431:$BI442,$BX438,$BR431:$BR442),SUMIF($BI431:$BI442,$BX438,$BM431:$BM442))</f>
        <v>1.44</v>
      </c>
      <c r="BZ438" s="821">
        <f>IF(IF(CB438=CB443,SUMIF(BI431:BI442,$BX438,BU431:BU442),SUMIF(BI431:BI442,$BX438,BP431:BP442))=0,NA(),IF(CB438=CB443,SUMIF(BI431:BI442,$BX438,BU431:BU442),SUMIF(BI431:BI442,$BX438,BP431:BP442)))</f>
        <v>0.3</v>
      </c>
      <c r="CA438" s="640">
        <f>IF(IF(CB438=CB443,SUMIF(BI431:BI442,$BX438,BS431:BS442),SUMIF(BI431:BI442,$BX438,BN431:BN442))=0,NA(),IF(CB438=CB443,SUMIF(BI431:BI442,$BX438,BS431:BS442),SUMIF(BI431:BI442,$BX438,BN431:BN442)))</f>
        <v>0.3125</v>
      </c>
      <c r="CB438" s="645">
        <f t="shared" si="134"/>
        <v>23</v>
      </c>
      <c r="CC438" s="645">
        <f t="shared" si="129"/>
        <v>5</v>
      </c>
    </row>
    <row r="439" spans="61:81" ht="15" customHeight="1">
      <c r="BI439" s="638" t="s">
        <v>331</v>
      </c>
      <c r="BJ439" s="638">
        <v>9</v>
      </c>
      <c r="BK439" s="638" t="s">
        <v>328</v>
      </c>
      <c r="BL439" s="825">
        <f t="shared" si="130"/>
        <v>0.84</v>
      </c>
      <c r="BM439" s="859">
        <v>3.15</v>
      </c>
      <c r="BN439" s="653">
        <f t="shared" si="131"/>
        <v>0.26666666666666666</v>
      </c>
      <c r="BO439" s="855"/>
      <c r="BP439" s="657">
        <v>0.3</v>
      </c>
      <c r="BQ439" s="846" t="str">
        <f t="shared" si="132"/>
        <v/>
      </c>
      <c r="BR439" s="690"/>
      <c r="BS439" s="653" t="str">
        <f t="shared" si="133"/>
        <v/>
      </c>
      <c r="BT439" s="854"/>
      <c r="BU439" s="657">
        <v>0.3</v>
      </c>
      <c r="BX439" s="666" t="str">
        <f t="shared" si="128"/>
        <v>Jun</v>
      </c>
      <c r="BY439" s="643">
        <f>IF(CB439=$CB443,SUMIF($BI431:$BI442,$BX439,$BR431:$BR442),SUMIF($BI431:$BI442,$BX439,$BM431:$BM442))</f>
        <v>3.15</v>
      </c>
      <c r="BZ439" s="821">
        <f>IF(IF(CB439=CB443,SUMIF(BI431:BI442,$BX439,BU431:BU442),SUMIF(BI431:BI442,$BX439,BP431:BP442))=0,NA(),IF(CB439=CB443,SUMIF(BI431:BI442,$BX439,BU431:BU442),SUMIF(BI431:BI442,$BX439,BP431:BP442)))</f>
        <v>0.3</v>
      </c>
      <c r="CA439" s="640">
        <f>IF(IF(CB439=CB443,SUMIF(BI431:BI442,$BX439,BS431:BS442),SUMIF(BI431:BI442,$BX439,BN431:BN442))=0,NA(),IF(CB439=CB443,SUMIF(BI431:BI442,$BX439,BS431:BS442),SUMIF(BI431:BI442,$BX439,BN431:BN442)))</f>
        <v>0.26666666666666666</v>
      </c>
      <c r="CB439" s="645">
        <f t="shared" si="134"/>
        <v>23</v>
      </c>
      <c r="CC439" s="645">
        <f t="shared" si="129"/>
        <v>6</v>
      </c>
    </row>
    <row r="440" spans="61:81" ht="15" customHeight="1">
      <c r="BI440" s="638" t="s">
        <v>337</v>
      </c>
      <c r="BJ440" s="638">
        <v>10</v>
      </c>
      <c r="BK440" s="638" t="s">
        <v>338</v>
      </c>
      <c r="BL440" s="825">
        <f t="shared" si="130"/>
        <v>0.95</v>
      </c>
      <c r="BM440" s="859">
        <v>2.92</v>
      </c>
      <c r="BN440" s="653">
        <f t="shared" si="131"/>
        <v>0.32534246575342463</v>
      </c>
      <c r="BO440" s="289">
        <f>IF(SUM(BM440:BM442=0),0,SUM(BL440:BL442)/SUM(BM440:BM442))</f>
        <v>0.27994011976047906</v>
      </c>
      <c r="BP440" s="657">
        <v>0.3</v>
      </c>
      <c r="BQ440" s="846" t="str">
        <f t="shared" si="132"/>
        <v/>
      </c>
      <c r="BR440" s="690"/>
      <c r="BS440" s="653" t="str">
        <f t="shared" si="133"/>
        <v/>
      </c>
      <c r="BT440" s="289">
        <f>IF(SUM(BR440:BR442=0),0,SUM(BQ440:BQ442)/SUM(BR440:BR442))</f>
        <v>0</v>
      </c>
      <c r="BU440" s="657">
        <v>0.3</v>
      </c>
      <c r="BX440" s="666" t="str">
        <f t="shared" si="128"/>
        <v>Jul</v>
      </c>
      <c r="BY440" s="643">
        <f>IF(CB440=$CB443,SUMIF($BI431:$BI442,$BX440,$BR431:$BR442),SUMIF($BI431:$BI442,$BX440,$BM431:$BM442))</f>
        <v>2.92</v>
      </c>
      <c r="BZ440" s="821">
        <f>IF(IF(CB440=CB443,SUMIF(BI431:BI442,$BX440,BU431:BU442),SUMIF(BI431:BI442,$BX440,BP431:BP442))=0,NA(),IF(CB440=CB443,SUMIF(BI431:BI442,$BX440,BU431:BU442),SUMIF(BI431:BI442,$BX440,BP431:BP442)))</f>
        <v>0.3</v>
      </c>
      <c r="CA440" s="640">
        <f>IF(IF(CB440=CB443,SUMIF(BI431:BI442,$BX440,BS431:BS442),SUMIF(BI431:BI442,$BX440,BN431:BN442))=0,NA(),IF(CB440=CB443,SUMIF(BI431:BI442,$BX440,BS431:BS442),SUMIF(BI431:BI442,$BX440,BN431:BN442)))</f>
        <v>0.32534246575342463</v>
      </c>
      <c r="CB440" s="645">
        <f t="shared" si="134"/>
        <v>23</v>
      </c>
      <c r="CC440" s="645">
        <f t="shared" si="129"/>
        <v>7</v>
      </c>
    </row>
    <row r="441" spans="61:81" ht="15" customHeight="1">
      <c r="BI441" s="638" t="s">
        <v>343</v>
      </c>
      <c r="BJ441" s="638">
        <v>11</v>
      </c>
      <c r="BK441" s="638" t="s">
        <v>338</v>
      </c>
      <c r="BL441" s="825">
        <f>IF(BM422="","",BM422)</f>
        <v>0.47</v>
      </c>
      <c r="BM441" s="859">
        <v>1.94</v>
      </c>
      <c r="BN441" s="653">
        <f t="shared" si="131"/>
        <v>0.2422680412371134</v>
      </c>
      <c r="BO441" s="855"/>
      <c r="BP441" s="657">
        <v>0.3</v>
      </c>
      <c r="BQ441" s="846" t="str">
        <f t="shared" si="132"/>
        <v/>
      </c>
      <c r="BR441" s="690"/>
      <c r="BS441" s="653" t="str">
        <f t="shared" si="133"/>
        <v/>
      </c>
      <c r="BT441" s="854"/>
      <c r="BU441" s="657">
        <v>0.3</v>
      </c>
      <c r="BX441" s="666" t="str">
        <f t="shared" si="128"/>
        <v>Aug</v>
      </c>
      <c r="BY441" s="643">
        <f>IF(CB441=$CB443,SUMIF($BI431:$BI442,$BX441,$BR431:$BR442),SUMIF($BI431:$BI442,$BX441,$BM431:$BM442))</f>
        <v>1.94</v>
      </c>
      <c r="BZ441" s="821">
        <f>IF(IF(CB441=CB443,SUMIF(BI431:BI442,$BX441,BU431:BU442),SUMIF(BI431:BI442,$BX441,BP431:BP442))=0,NA(),IF(CB441=CB443,SUMIF(BI431:BI442,$BX441,BU431:BU442),SUMIF(BI431:BI442,$BX441,BP431:BP442)))</f>
        <v>0.3</v>
      </c>
      <c r="CA441" s="640">
        <f>IF(IF(CB441=CB443,SUMIF(BI431:BI442,$BX441,BS431:BS442),SUMIF(BI431:BI442,$BX441,BN431:BN442))=0,NA(),IF(CB441=CB443,SUMIF(BI431:BI442,$BX441,BS431:BS442),SUMIF(BI431:BI442,$BX441,BN431:BN442)))</f>
        <v>0.2422680412371134</v>
      </c>
      <c r="CB441" s="645">
        <f t="shared" si="134"/>
        <v>23</v>
      </c>
      <c r="CC441" s="645">
        <f t="shared" si="129"/>
        <v>8</v>
      </c>
    </row>
    <row r="442" spans="61:81" ht="15" customHeight="1">
      <c r="BI442" s="638" t="s">
        <v>344</v>
      </c>
      <c r="BJ442" s="638">
        <v>12</v>
      </c>
      <c r="BK442" s="638" t="s">
        <v>338</v>
      </c>
      <c r="BL442" s="825">
        <f t="shared" si="130"/>
        <v>0.45</v>
      </c>
      <c r="BM442" s="859">
        <v>1.82</v>
      </c>
      <c r="BN442" s="653">
        <f t="shared" si="131"/>
        <v>0.24725274725274726</v>
      </c>
      <c r="BO442" s="855"/>
      <c r="BP442" s="657">
        <v>0.3</v>
      </c>
      <c r="BQ442" s="846" t="str">
        <f t="shared" si="132"/>
        <v/>
      </c>
      <c r="BR442" s="690"/>
      <c r="BS442" s="653" t="str">
        <f>IF(BR442="","",BQ442/BR442)</f>
        <v/>
      </c>
      <c r="BT442" s="854"/>
      <c r="BU442" s="657">
        <v>0.3</v>
      </c>
      <c r="BX442" s="666" t="str">
        <f t="shared" si="128"/>
        <v>Sep</v>
      </c>
      <c r="BY442" s="643">
        <f>IF(CB442=$CB443,SUMIF($BI431:$BI442,$BX442,$BR431:$BR442),SUMIF($BI431:$BI442,$BX442,$BM431:$BM442))</f>
        <v>1.82</v>
      </c>
      <c r="BZ442" s="821">
        <f>IF(IF(CB442=CB443,SUMIF(BI431:BI442,$BX442,BU431:BU442),SUMIF(BI431:BI442,$BX442,BP431:BP442))=0,NA(),IF(CB442=CB443,SUMIF(BI431:BI442,$BX442,BU431:BU442),SUMIF(BI431:BI442,$BX442,BP431:BP442)))</f>
        <v>0.3</v>
      </c>
      <c r="CA442" s="640">
        <f>IF(IF(CB442=CB443,SUMIF(BI431:BI442,$BX442,BS431:BS442),SUMIF(BI431:BI442,$BX442,BN431:BN442))=0,NA(),IF(CB442=CB443,SUMIF(BI431:BI442,$BX442,BS431:BS442),SUMIF(BI431:BI442,$BX442,BN431:BN442)))</f>
        <v>0.24725274725274726</v>
      </c>
      <c r="CB442" s="645">
        <f t="shared" si="134"/>
        <v>23</v>
      </c>
      <c r="CC442" s="645">
        <f>IF(CC443-1&lt;1,CC443+11,CC443-1)</f>
        <v>9</v>
      </c>
    </row>
    <row r="443" spans="61:81" ht="15" customHeight="1">
      <c r="BJ443" s="277"/>
      <c r="BK443" s="277"/>
      <c r="BL443" s="277"/>
      <c r="BM443" s="277"/>
      <c r="BN443" s="698" t="str">
        <f t="shared" ref="BN443" si="135">IFERROR(BL443/BM443,"")</f>
        <v/>
      </c>
      <c r="BO443" s="277"/>
      <c r="BP443" s="277"/>
      <c r="BQ443" s="277"/>
      <c r="BR443" s="277"/>
      <c r="BS443" s="277"/>
      <c r="BT443" s="277"/>
      <c r="BW443" s="667" t="str">
        <f>Cover!$M$34</f>
        <v>OCT FY-24</v>
      </c>
      <c r="BX443" s="666" t="str">
        <f>TEXT(CONCATENATE(CC443,"/01/20",CB443),"MMM")</f>
        <v>Oct</v>
      </c>
      <c r="BY443" s="643">
        <f>SUMIF($BI431:$BI442,$BX443,$BR431:$BR442)</f>
        <v>1.77</v>
      </c>
      <c r="BZ443" s="821">
        <f>IF(IF(CB443=CB443,SUMIF(BI431:BI442,$BX443,BU431:BU442),SUMIF(BI431:BI442,$BX443,BP431:BP442))=0,NA(),IF(CB443=CB443,SUMIF(BI431:BI442,$BX443,BU431:BU442),SUMIF(BI431:BI442,$BX443,BP431:BP442)))</f>
        <v>0.3</v>
      </c>
      <c r="CA443" s="640">
        <f>IF(SUMIF($BI431:$BI442,$BX443,$BS431:$BS442)=0,NA(),SUMIF($BI431:$BI442,$BX443,$BS431:$BS442))</f>
        <v>0.24293785310734461</v>
      </c>
      <c r="CB443" s="645">
        <f t="shared" si="134"/>
        <v>24</v>
      </c>
      <c r="CC443" s="645">
        <f>MONTH(DATEVALUE(LEFT(BW443,3)&amp;" 1"))</f>
        <v>10</v>
      </c>
    </row>
    <row r="445" spans="61:81" ht="15" customHeight="1">
      <c r="BI445" s="54" t="s">
        <v>292</v>
      </c>
      <c r="BJ445" s="1116" t="s">
        <v>465</v>
      </c>
      <c r="BK445" s="1116"/>
      <c r="BL445" s="1116"/>
      <c r="BM445" s="1116"/>
      <c r="BN445" s="1116"/>
      <c r="BO445" s="1116"/>
      <c r="BP445" s="1116"/>
      <c r="BQ445" s="1116"/>
      <c r="BR445" s="1116"/>
      <c r="BS445" s="1116"/>
      <c r="BT445" s="1116"/>
      <c r="BU445" s="1116"/>
      <c r="BY445" s="270"/>
      <c r="BZ445" s="270"/>
      <c r="CA445" s="270"/>
      <c r="CB445" s="270"/>
      <c r="CC445" s="270"/>
    </row>
    <row r="446" spans="61:81" ht="15" customHeight="1">
      <c r="BI446" s="54" t="s">
        <v>296</v>
      </c>
      <c r="BJ446" s="283" t="s">
        <v>472</v>
      </c>
      <c r="BK446" s="283"/>
      <c r="BL446" s="283"/>
      <c r="BM446" s="283"/>
      <c r="BN446" s="283"/>
      <c r="BO446" s="283"/>
      <c r="BP446" s="283"/>
      <c r="BQ446" s="283"/>
      <c r="BR446" s="283"/>
      <c r="BS446" s="283"/>
      <c r="BT446" s="283"/>
      <c r="BU446" s="283"/>
      <c r="BW446" s="270"/>
      <c r="BX446" s="270"/>
    </row>
    <row r="447" spans="61:81" ht="15" customHeight="1">
      <c r="BI447" s="54" t="s">
        <v>300</v>
      </c>
      <c r="BJ447" s="283" t="s">
        <v>473</v>
      </c>
      <c r="BK447" s="283"/>
      <c r="BL447" s="283"/>
      <c r="BM447" s="283"/>
      <c r="BN447" s="283"/>
      <c r="BO447" s="283"/>
      <c r="BP447" s="283"/>
      <c r="BQ447" s="283"/>
      <c r="BR447" s="283"/>
      <c r="BS447" s="283"/>
      <c r="BT447" s="283"/>
      <c r="BU447" s="283"/>
      <c r="BY447" s="270"/>
      <c r="BZ447" s="270"/>
      <c r="CA447" s="270"/>
      <c r="CB447" s="270"/>
      <c r="CC447" s="270"/>
    </row>
    <row r="448" spans="61:81" ht="15" customHeight="1" thickBot="1">
      <c r="BI448" s="54"/>
      <c r="BJ448" s="292"/>
      <c r="BK448" s="292"/>
      <c r="BL448" s="292"/>
      <c r="BM448" s="292"/>
      <c r="BN448" s="292"/>
      <c r="BO448" s="292"/>
      <c r="BP448" s="292"/>
      <c r="BQ448" s="292"/>
      <c r="BR448" s="292"/>
      <c r="BS448" s="292"/>
      <c r="BT448" s="292"/>
      <c r="BU448" s="292"/>
      <c r="BY448" s="270"/>
      <c r="BZ448" s="270"/>
      <c r="CA448" s="270"/>
      <c r="CB448" s="270"/>
      <c r="CC448" s="270"/>
    </row>
    <row r="449" spans="61:81" ht="15" customHeight="1" thickBot="1">
      <c r="BI449" s="1405" t="s">
        <v>454</v>
      </c>
      <c r="BJ449" s="1406"/>
      <c r="BK449" s="1407"/>
      <c r="BL449" s="1405" t="s">
        <v>302</v>
      </c>
      <c r="BM449" s="1406"/>
      <c r="BN449" s="1406"/>
      <c r="BO449" s="1406"/>
      <c r="BP449" s="1407"/>
      <c r="BQ449" s="1405" t="s">
        <v>719</v>
      </c>
      <c r="BR449" s="1406"/>
      <c r="BS449" s="1406"/>
      <c r="BT449" s="1406"/>
      <c r="BU449" s="1407"/>
      <c r="BW449" s="1405" t="s">
        <v>303</v>
      </c>
      <c r="BX449" s="1406"/>
      <c r="BY449" s="1406"/>
      <c r="BZ449" s="1406"/>
      <c r="CA449" s="1406"/>
      <c r="CB449" s="1406"/>
      <c r="CC449" s="1407"/>
    </row>
    <row r="450" spans="61:81" ht="15" customHeight="1">
      <c r="BI450" s="636" t="s">
        <v>23</v>
      </c>
      <c r="BJ450" s="636" t="s">
        <v>37</v>
      </c>
      <c r="BK450" s="636" t="s">
        <v>304</v>
      </c>
      <c r="BL450" s="637" t="s">
        <v>305</v>
      </c>
      <c r="BM450" s="637" t="s">
        <v>310</v>
      </c>
      <c r="BN450" s="637" t="s">
        <v>311</v>
      </c>
      <c r="BO450" s="278" t="s">
        <v>312</v>
      </c>
      <c r="BP450" s="637" t="s">
        <v>313</v>
      </c>
      <c r="BQ450" s="637" t="s">
        <v>305</v>
      </c>
      <c r="BR450" s="637" t="s">
        <v>715</v>
      </c>
      <c r="BS450" s="637" t="s">
        <v>716</v>
      </c>
      <c r="BT450" s="278" t="s">
        <v>717</v>
      </c>
      <c r="BU450" s="637" t="s">
        <v>718</v>
      </c>
      <c r="BW450" s="279" t="s">
        <v>314</v>
      </c>
      <c r="BX450" s="279" t="s">
        <v>23</v>
      </c>
      <c r="BY450" s="280" t="s">
        <v>315</v>
      </c>
      <c r="BZ450" s="279" t="s">
        <v>122</v>
      </c>
      <c r="CA450" s="279" t="s">
        <v>316</v>
      </c>
      <c r="CB450" s="279" t="s">
        <v>317</v>
      </c>
      <c r="CC450" s="279" t="s">
        <v>318</v>
      </c>
    </row>
    <row r="451" spans="61:81" ht="15" customHeight="1">
      <c r="BI451" s="638" t="s">
        <v>319</v>
      </c>
      <c r="BJ451" s="638">
        <v>1</v>
      </c>
      <c r="BK451" s="638" t="s">
        <v>320</v>
      </c>
      <c r="BL451" s="856">
        <f>IF(BM451="","",BN451*BM451)</f>
        <v>2.5000000000000001E-5</v>
      </c>
      <c r="BM451" s="689">
        <v>0.12</v>
      </c>
      <c r="BN451" s="847">
        <v>2.0833333333333335E-4</v>
      </c>
      <c r="BO451" s="849">
        <f>IF(SUM(BM451:BM453=0),0,SUM(BL451:BL453)/SUM(BM451:BM453))</f>
        <v>2.976374703394202E-4</v>
      </c>
      <c r="BP451" s="851">
        <v>6.9444444444444447E-4</v>
      </c>
      <c r="BQ451" s="857">
        <f>IF(BR451="","",BS451*BR451)</f>
        <v>7.7430555555555561E-5</v>
      </c>
      <c r="BR451" s="689">
        <v>0.223</v>
      </c>
      <c r="BS451" s="847">
        <v>3.4722222222222224E-4</v>
      </c>
      <c r="BT451" s="849">
        <f>IF(SUM(BR451:BR453=0),0,SUM(BQ451:BQ453)/SUM(BR451:BR453))</f>
        <v>3.4722222222222224E-4</v>
      </c>
      <c r="BU451" s="851">
        <v>6.9444444444444447E-4</v>
      </c>
      <c r="BX451" s="666" t="str">
        <f t="shared" ref="BX451:BX462" si="136">TEXT(CONCATENATE(CC451,"/01/20",CB451),"MMM")</f>
        <v>Oct</v>
      </c>
      <c r="BY451" s="643">
        <f>IF(CB451=$CB463,SUMIF($BI451:$BI462,$BX451,$BR451:$BR462),SUMIF($BI451:$BI462,$BX451,$BM451:$BM462))</f>
        <v>0.12</v>
      </c>
      <c r="BZ451" s="877">
        <f>IF(IF(CB451=CB463,SUMIF(BI451:BI462,$BX451,BU451:BU462),SUMIF(BI451:BI462,$BX451,BP451:BP462))=0,NA(),IF(CB451=CB463,SUMIF(BI451:BI462,$BX451,BU451:BU462),SUMIF(BI451:BI462,$BX451,BP451:BP462)))</f>
        <v>6.9444444444444447E-4</v>
      </c>
      <c r="CA451" s="876">
        <f>IF(IF(CB451=CB463,SUMIF(BI451:BI462,$BX451,BS451:BS462),SUMIF(BI451:BI462,$BX451,BN451:BN462))=0,NA(),IF(CB451=CB463,SUMIF(BI451:BI462,$BX451,BS451:BS462),SUMIF(BI451:BI462,$BX451,BN451:BN462)))</f>
        <v>2.0833333333333335E-4</v>
      </c>
      <c r="CB451" s="645">
        <f>CB431</f>
        <v>23</v>
      </c>
      <c r="CC451" s="645">
        <f t="shared" ref="CC451:CC461" si="137">IF(CC452-1&lt;1,CC452+11,CC452-1)</f>
        <v>10</v>
      </c>
    </row>
    <row r="452" spans="61:81" ht="15" customHeight="1">
      <c r="BI452" s="638" t="s">
        <v>321</v>
      </c>
      <c r="BJ452" s="638">
        <v>2</v>
      </c>
      <c r="BK452" s="638" t="s">
        <v>320</v>
      </c>
      <c r="BL452" s="856">
        <f t="shared" ref="BL452:BL462" si="138">IF(BM452="","",BN452*BM452)</f>
        <v>6.7083333333333342E-5</v>
      </c>
      <c r="BM452" s="689">
        <v>0.252</v>
      </c>
      <c r="BN452" s="847">
        <v>2.6620370370370372E-4</v>
      </c>
      <c r="BO452" s="852"/>
      <c r="BP452" s="851">
        <v>6.9444444444444447E-4</v>
      </c>
      <c r="BQ452" s="857" t="str">
        <f t="shared" ref="BQ452:BQ462" si="139">IF(BR452="","",BS452*BR452)</f>
        <v/>
      </c>
      <c r="BR452" s="689"/>
      <c r="BS452" s="847"/>
      <c r="BT452" s="852"/>
      <c r="BU452" s="851">
        <v>6.9444444444444447E-4</v>
      </c>
      <c r="BX452" s="666" t="str">
        <f t="shared" si="136"/>
        <v>Nov</v>
      </c>
      <c r="BY452" s="643">
        <f>IF(CB452=$CB463,SUMIF($BI451:$BI462,$BX452,$BR451:$BR462),SUMIF($BI451:$BI462,$BX452,$BM451:$BM462))</f>
        <v>0.252</v>
      </c>
      <c r="BZ452" s="877">
        <f>IF(IF(CB452=CB463,SUMIF(BI451:BI462,$BX452,BU451:BU462),SUMIF(BI451:BI462,$BX452,BP451:BP462))=0,NA(),IF(CB452=CB463,SUMIF(BI451:BI462,$BX452,BU451:BU462),SUMIF(BI451:BI462,$BX452,BP451:BP462)))</f>
        <v>6.9444444444444447E-4</v>
      </c>
      <c r="CA452" s="876">
        <f>IF(IF(CB452=CB463,SUMIF(BI451:BI462,$BX452,BS451:BS462),SUMIF(BI451:BI462,$BX452,BN451:BN462))=0,NA(),IF(CB452=CB463,SUMIF(BI451:BI462,$BX452,BS451:BS462),SUMIF(BI451:BI462,$BX452,BN451:BN462)))</f>
        <v>2.6620370370370372E-4</v>
      </c>
      <c r="CB452" s="645">
        <f t="shared" ref="CB452:CB463" si="140">CB432</f>
        <v>23</v>
      </c>
      <c r="CC452" s="645">
        <f t="shared" si="137"/>
        <v>11</v>
      </c>
    </row>
    <row r="453" spans="61:81" ht="15" customHeight="1">
      <c r="BI453" s="638" t="s">
        <v>322</v>
      </c>
      <c r="BJ453" s="638">
        <v>3</v>
      </c>
      <c r="BK453" s="638" t="s">
        <v>320</v>
      </c>
      <c r="BL453" s="856">
        <f t="shared" si="138"/>
        <v>2.284722222222222E-4</v>
      </c>
      <c r="BM453" s="858">
        <v>0.70499999999999996</v>
      </c>
      <c r="BN453" s="847">
        <v>3.2407407407407406E-4</v>
      </c>
      <c r="BO453" s="852"/>
      <c r="BP453" s="851">
        <v>6.9444444444444447E-4</v>
      </c>
      <c r="BQ453" s="857" t="str">
        <f t="shared" si="139"/>
        <v/>
      </c>
      <c r="BR453" s="689"/>
      <c r="BS453" s="847"/>
      <c r="BT453" s="852"/>
      <c r="BU453" s="851">
        <v>6.9444444444444447E-4</v>
      </c>
      <c r="BX453" s="666" t="str">
        <f t="shared" si="136"/>
        <v>Dec</v>
      </c>
      <c r="BY453" s="643">
        <f>IF(CB453=$CB463,SUMIF($BI451:$BI462,$BX453,$BR451:$BR462),SUMIF($BI451:$BI462,$BX453,$BM451:$BM462))</f>
        <v>0.70499999999999996</v>
      </c>
      <c r="BZ453" s="877">
        <f>IF(IF(CB453=CB463,SUMIF(BI451:BI462,$BX453,BU451:BU462),SUMIF(BI451:BI462,$BX453,BP451:BP462))=0,NA(),IF(CB453=CB463,SUMIF(BI451:BI462,$BX453,BU451:BU462),SUMIF(BI451:BI462,$BX453,BP451:BP462)))</f>
        <v>6.9444444444444447E-4</v>
      </c>
      <c r="CA453" s="876">
        <f>IF(IF(CB453=CB463,SUMIF(BI451:BI462,$BX453,BS451:BS462),SUMIF(BI451:BI462,$BX453,BN451:BN462))=0,NA(),IF(CB453=CB463,SUMIF(BI451:BI462,$BX453,BS451:BS462),SUMIF(BI451:BI462,$BX453,BN451:BN462)))</f>
        <v>3.2407407407407406E-4</v>
      </c>
      <c r="CB453" s="645">
        <f t="shared" si="140"/>
        <v>23</v>
      </c>
      <c r="CC453" s="645">
        <f t="shared" si="137"/>
        <v>12</v>
      </c>
    </row>
    <row r="454" spans="61:81" ht="15" customHeight="1">
      <c r="BI454" s="638" t="s">
        <v>323</v>
      </c>
      <c r="BJ454" s="638">
        <v>4</v>
      </c>
      <c r="BK454" s="638" t="s">
        <v>324</v>
      </c>
      <c r="BL454" s="856">
        <f t="shared" si="138"/>
        <v>5.167824074074074E-5</v>
      </c>
      <c r="BM454" s="689">
        <v>0.23499999999999999</v>
      </c>
      <c r="BN454" s="847">
        <v>2.199074074074074E-4</v>
      </c>
      <c r="BO454" s="849">
        <f>IF(SUM(BM454:BM456=0),0,SUM(BL454:BL456)/SUM(BM454:BM456))</f>
        <v>1.8694461402794731E-4</v>
      </c>
      <c r="BP454" s="851">
        <v>6.9444444444444447E-4</v>
      </c>
      <c r="BQ454" s="857" t="str">
        <f t="shared" si="139"/>
        <v/>
      </c>
      <c r="BR454" s="689"/>
      <c r="BS454" s="847"/>
      <c r="BT454" s="849">
        <f>IF(SUM(BR454:BR456=0),0,SUM(BQ454:BQ456)/SUM(BR454:BR456))</f>
        <v>0</v>
      </c>
      <c r="BU454" s="851">
        <v>6.9444444444444447E-4</v>
      </c>
      <c r="BX454" s="666" t="str">
        <f t="shared" si="136"/>
        <v>Jan</v>
      </c>
      <c r="BY454" s="643">
        <f>IF(CB454=$CB463,SUMIF($BI451:$BI462,$BX454,$BR451:$BR462),SUMIF($BI451:$BI462,$BX454,$BM451:$BM462))</f>
        <v>0.23499999999999999</v>
      </c>
      <c r="BZ454" s="877">
        <f>IF(IF(CB454=CB463,SUMIF(BI451:BI462,$BX454,BU451:BU462),SUMIF(BI451:BI462,$BX454,BP451:BP462))=0,NA(),IF(CB454=CB463,SUMIF(BI451:BI462,$BX454,BU451:BU462),SUMIF(BI451:BI462,$BX454,BP451:BP462)))</f>
        <v>6.9444444444444447E-4</v>
      </c>
      <c r="CA454" s="876">
        <f>IF(IF(CB454=CB463,SUMIF(BI451:BI462,$BX454,BS451:BS462),SUMIF(BI451:BI462,$BX454,BN451:BN462))=0,NA(),IF(CB454=CB463,SUMIF(BI451:BI462,$BX454,BS451:BS462),SUMIF(BI451:BI462,$BX454,BN451:BN462)))</f>
        <v>2.199074074074074E-4</v>
      </c>
      <c r="CB454" s="645">
        <f t="shared" si="140"/>
        <v>23</v>
      </c>
      <c r="CC454" s="645">
        <f t="shared" si="137"/>
        <v>1</v>
      </c>
    </row>
    <row r="455" spans="61:81" ht="15" customHeight="1">
      <c r="BI455" s="638" t="s">
        <v>325</v>
      </c>
      <c r="BJ455" s="638">
        <v>5</v>
      </c>
      <c r="BK455" s="638" t="s">
        <v>324</v>
      </c>
      <c r="BL455" s="856">
        <f t="shared" si="138"/>
        <v>2.2037037037037038E-5</v>
      </c>
      <c r="BM455" s="690">
        <v>0.13600000000000001</v>
      </c>
      <c r="BN455" s="848">
        <v>1.6203703703703703E-4</v>
      </c>
      <c r="BO455" s="852"/>
      <c r="BP455" s="851">
        <v>6.9444444444444447E-4</v>
      </c>
      <c r="BQ455" s="857" t="str">
        <f t="shared" si="139"/>
        <v/>
      </c>
      <c r="BR455" s="690"/>
      <c r="BS455" s="848"/>
      <c r="BT455" s="852"/>
      <c r="BU455" s="851">
        <v>6.9444444444444447E-4</v>
      </c>
      <c r="BX455" s="666" t="str">
        <f t="shared" si="136"/>
        <v>Feb</v>
      </c>
      <c r="BY455" s="643">
        <f>IF(CB455=$CB463,SUMIF($BI451:$BI462,$BX455,$BR451:$BR462),SUMIF($BI451:$BI462,$BX455,$BM451:$BM462))</f>
        <v>0.13600000000000001</v>
      </c>
      <c r="BZ455" s="877">
        <f>IF(IF(CB455=CB463,SUMIF(BI451:BI462,$BX455,BU451:BU462),SUMIF(BI451:BI462,$BX455,BP451:BP462))=0,NA(),IF(CB455=CB463,SUMIF(BI451:BI462,$BX455,BU451:BU462),SUMIF(BI451:BI462,$BX455,BP451:BP462)))</f>
        <v>6.9444444444444447E-4</v>
      </c>
      <c r="CA455" s="876">
        <f>IF(IF(CB455=CB463,SUMIF(BI451:BI462,$BX455,BS451:BS462),SUMIF(BI451:BI462,$BX455,BN451:BN462))=0,NA(),IF(CB455=CB463,SUMIF(BI451:BI462,$BX455,BS451:BS462),SUMIF(BI451:BI462,$BX455,BN451:BN462)))</f>
        <v>1.6203703703703703E-4</v>
      </c>
      <c r="CB455" s="645">
        <f t="shared" si="140"/>
        <v>23</v>
      </c>
      <c r="CC455" s="645">
        <f t="shared" si="137"/>
        <v>2</v>
      </c>
    </row>
    <row r="456" spans="61:81" ht="15" customHeight="1">
      <c r="BI456" s="638" t="s">
        <v>326</v>
      </c>
      <c r="BJ456" s="638">
        <v>6</v>
      </c>
      <c r="BK456" s="638" t="s">
        <v>324</v>
      </c>
      <c r="BL456" s="856">
        <f t="shared" si="138"/>
        <v>2.8356481481481479E-5</v>
      </c>
      <c r="BM456" s="690">
        <v>0.17499999999999999</v>
      </c>
      <c r="BN456" s="848">
        <v>1.6203703703703703E-4</v>
      </c>
      <c r="BO456" s="852"/>
      <c r="BP456" s="851">
        <v>6.9444444444444447E-4</v>
      </c>
      <c r="BQ456" s="857" t="str">
        <f t="shared" si="139"/>
        <v/>
      </c>
      <c r="BR456" s="687"/>
      <c r="BS456" s="848"/>
      <c r="BT456" s="852"/>
      <c r="BU456" s="851">
        <v>6.9444444444444447E-4</v>
      </c>
      <c r="BX456" s="666" t="str">
        <f t="shared" si="136"/>
        <v>Mar</v>
      </c>
      <c r="BY456" s="643">
        <f>IF(CB456=$CB463,SUMIF($BI451:$BI462,$BX456,$BR451:$BR462),SUMIF($BI451:$BI462,$BX456,$BM451:$BM462))</f>
        <v>0.17499999999999999</v>
      </c>
      <c r="BZ456" s="877">
        <f>IF(IF(CB456=CB463,SUMIF(BI451:BI462,$BX456,BU451:BU462),SUMIF(BI451:BI462,$BX456,BP451:BP462))=0,NA(),IF(CB456=CB463,SUMIF(BI451:BI462,$BX456,BU451:BU462),SUMIF(BI451:BI462,$BX456,BP451:BP462)))</f>
        <v>6.9444444444444447E-4</v>
      </c>
      <c r="CA456" s="876">
        <f>IF(IF(CB456=CB463,SUMIF(BI451:BI462,$BX456,BS451:BS462),SUMIF(BI451:BI462,$BX456,BN451:BN462))=0,NA(),IF(CB456=CB463,SUMIF(BI451:BI462,$BX456,BS451:BS462),SUMIF(BI451:BI462,$BX456,BN451:BN462)))</f>
        <v>1.6203703703703703E-4</v>
      </c>
      <c r="CB456" s="645">
        <f t="shared" si="140"/>
        <v>23</v>
      </c>
      <c r="CC456" s="645">
        <f t="shared" si="137"/>
        <v>3</v>
      </c>
    </row>
    <row r="457" spans="61:81" ht="15" customHeight="1">
      <c r="BI457" s="638" t="s">
        <v>327</v>
      </c>
      <c r="BJ457" s="638">
        <v>7</v>
      </c>
      <c r="BK457" s="638" t="s">
        <v>328</v>
      </c>
      <c r="BL457" s="856">
        <f t="shared" si="138"/>
        <v>3.1273148148148151E-5</v>
      </c>
      <c r="BM457" s="690">
        <v>0.193</v>
      </c>
      <c r="BN457" s="848">
        <v>1.6203703703703703E-4</v>
      </c>
      <c r="BO457" s="849">
        <f>IF(SUM(BM457:BM459=0),0,SUM(BL457:BL459)/SUM(BM457:BM459))</f>
        <v>1.7984467878372201E-4</v>
      </c>
      <c r="BP457" s="851">
        <v>6.9444444444444447E-4</v>
      </c>
      <c r="BQ457" s="857" t="str">
        <f t="shared" si="139"/>
        <v/>
      </c>
      <c r="BR457" s="687"/>
      <c r="BS457" s="848"/>
      <c r="BT457" s="849">
        <f>IF(SUM(BR457:BR459=0),0,SUM(BQ457:BQ459)/SUM(BR457:BR459))</f>
        <v>0</v>
      </c>
      <c r="BU457" s="851">
        <v>6.9444444444444447E-4</v>
      </c>
      <c r="BX457" s="666" t="str">
        <f t="shared" si="136"/>
        <v>Apr</v>
      </c>
      <c r="BY457" s="643">
        <f>IF(CB457=$CB463,SUMIF($BI451:$BI462,$BX457,$BR451:$BR462),SUMIF($BI451:$BI462,$BX457,$BM451:$BM462))</f>
        <v>0.193</v>
      </c>
      <c r="BZ457" s="877">
        <f>IF(IF(CB457=CB463,SUMIF(BI451:BI462,$BX457,BU451:BU462),SUMIF(BI451:BI462,$BX457,BP451:BP462))=0,NA(),IF(CB457=CB463,SUMIF(BI451:BI462,$BX457,BU451:BU462),SUMIF(BI451:BI462,$BX457,BP451:BP462)))</f>
        <v>6.9444444444444447E-4</v>
      </c>
      <c r="CA457" s="876">
        <f>IF(IF(CB457=CB463,SUMIF(BI451:BI462,$BX457,BS451:BS462),SUMIF(BI451:BI462,$BX457,BN451:BN462))=0,NA(),IF(CB457=CB463,SUMIF(BI451:BI462,$BX457,BS451:BS462),SUMIF(BI451:BI462,$BX457,BN451:BN462)))</f>
        <v>1.6203703703703703E-4</v>
      </c>
      <c r="CB457" s="645">
        <f t="shared" si="140"/>
        <v>23</v>
      </c>
      <c r="CC457" s="645">
        <f t="shared" si="137"/>
        <v>4</v>
      </c>
    </row>
    <row r="458" spans="61:81" ht="15" customHeight="1">
      <c r="BI458" s="638" t="s">
        <v>329</v>
      </c>
      <c r="BJ458" s="638">
        <v>8</v>
      </c>
      <c r="BK458" s="638" t="s">
        <v>328</v>
      </c>
      <c r="BL458" s="856">
        <f t="shared" si="138"/>
        <v>1.6435185185185184E-5</v>
      </c>
      <c r="BM458" s="690">
        <v>0.14199999999999999</v>
      </c>
      <c r="BN458" s="848">
        <v>1.1574074074074073E-4</v>
      </c>
      <c r="BO458" s="852"/>
      <c r="BP458" s="851">
        <v>6.9444444444444447E-4</v>
      </c>
      <c r="BQ458" s="857" t="str">
        <f t="shared" si="139"/>
        <v/>
      </c>
      <c r="BR458" s="687"/>
      <c r="BS458" s="848"/>
      <c r="BT458" s="852"/>
      <c r="BU458" s="851">
        <v>6.9444444444444447E-4</v>
      </c>
      <c r="BX458" s="666" t="str">
        <f t="shared" si="136"/>
        <v>May</v>
      </c>
      <c r="BY458" s="643">
        <f>IF(CB458=$CB463,SUMIF($BI451:$BI462,$BX458,$BR451:$BR462),SUMIF($BI451:$BI462,$BX458,$BM451:$BM462))</f>
        <v>0.14199999999999999</v>
      </c>
      <c r="BZ458" s="877">
        <f>IF(IF(CB458=CB463,SUMIF(BI451:BI462,$BX458,BU451:BU462),SUMIF(BI451:BI462,$BX458,BP451:BP462))=0,NA(),IF(CB458=CB463,SUMIF(BI451:BI462,$BX458,BU451:BU462),SUMIF(BI451:BI462,$BX458,BP451:BP462)))</f>
        <v>6.9444444444444447E-4</v>
      </c>
      <c r="CA458" s="876">
        <f>IF(IF(CB458=CB463,SUMIF(BI451:BI462,$BX458,BS451:BS462),SUMIF(BI451:BI462,$BX458,BN451:BN462))=0,NA(),IF(CB458=CB463,SUMIF(BI451:BI462,$BX458,BS451:BS462),SUMIF(BI451:BI462,$BX458,BN451:BN462)))</f>
        <v>1.1574074074074073E-4</v>
      </c>
      <c r="CB458" s="645">
        <f t="shared" si="140"/>
        <v>23</v>
      </c>
      <c r="CC458" s="645">
        <f t="shared" si="137"/>
        <v>5</v>
      </c>
    </row>
    <row r="459" spans="61:81" ht="15" customHeight="1">
      <c r="BI459" s="638" t="s">
        <v>331</v>
      </c>
      <c r="BJ459" s="638">
        <v>9</v>
      </c>
      <c r="BK459" s="638" t="s">
        <v>328</v>
      </c>
      <c r="BL459" s="856">
        <f t="shared" si="138"/>
        <v>6.8831018518518511E-5</v>
      </c>
      <c r="BM459" s="690">
        <v>0.313</v>
      </c>
      <c r="BN459" s="848">
        <v>2.199074074074074E-4</v>
      </c>
      <c r="BO459" s="852"/>
      <c r="BP459" s="851">
        <v>6.9444444444444447E-4</v>
      </c>
      <c r="BQ459" s="857" t="str">
        <f t="shared" si="139"/>
        <v/>
      </c>
      <c r="BR459" s="687"/>
      <c r="BS459" s="848"/>
      <c r="BT459" s="852"/>
      <c r="BU459" s="851">
        <v>6.9444444444444447E-4</v>
      </c>
      <c r="BX459" s="666" t="str">
        <f t="shared" si="136"/>
        <v>Jun</v>
      </c>
      <c r="BY459" s="643">
        <f>IF(CB459=$CB463,SUMIF($BI451:$BI462,$BX459,$BR451:$BR462),SUMIF($BI451:$BI462,$BX459,$BM451:$BM462))</f>
        <v>0.313</v>
      </c>
      <c r="BZ459" s="877">
        <f>IF(IF(CB459=CB463,SUMIF(BI451:BI462,$BX459,BU451:BU462),SUMIF(BI451:BI462,$BX459,BP451:BP462))=0,NA(),IF(CB459=CB463,SUMIF(BI451:BI462,$BX459,BU451:BU462),SUMIF(BI451:BI462,$BX459,BP451:BP462)))</f>
        <v>6.9444444444444447E-4</v>
      </c>
      <c r="CA459" s="876">
        <f>IF(IF(CB459=CB463,SUMIF(BI451:BI462,$BX459,BS451:BS462),SUMIF(BI451:BI462,$BX459,BN451:BN462))=0,NA(),IF(CB459=CB463,SUMIF(BI451:BI462,$BX459,BS451:BS462),SUMIF(BI451:BI462,$BX459,BN451:BN462)))</f>
        <v>2.199074074074074E-4</v>
      </c>
      <c r="CB459" s="645">
        <f t="shared" si="140"/>
        <v>23</v>
      </c>
      <c r="CC459" s="645">
        <f t="shared" si="137"/>
        <v>6</v>
      </c>
    </row>
    <row r="460" spans="61:81" ht="15" customHeight="1">
      <c r="BI460" s="638" t="s">
        <v>337</v>
      </c>
      <c r="BJ460" s="638">
        <v>10</v>
      </c>
      <c r="BK460" s="638" t="s">
        <v>338</v>
      </c>
      <c r="BL460" s="856">
        <f t="shared" si="138"/>
        <v>5.7847222222222222E-5</v>
      </c>
      <c r="BM460" s="690">
        <v>0.29399999999999998</v>
      </c>
      <c r="BN460" s="848">
        <v>1.9675925925925926E-4</v>
      </c>
      <c r="BO460" s="849">
        <f>IF(SUM(BM460:BM462=0),0,SUM(BL460:BL462)/SUM(BM460:BM462))</f>
        <v>1.8989151048639003E-4</v>
      </c>
      <c r="BP460" s="851">
        <v>6.9444444444444447E-4</v>
      </c>
      <c r="BQ460" s="857" t="str">
        <f t="shared" si="139"/>
        <v/>
      </c>
      <c r="BR460" s="687"/>
      <c r="BS460" s="848"/>
      <c r="BT460" s="849">
        <f>IF(SUM(BR460:BR462=0),0,SUM(BQ460:BQ462)/SUM(BR460:BR462))</f>
        <v>0</v>
      </c>
      <c r="BU460" s="851">
        <v>6.9444444444444447E-4</v>
      </c>
      <c r="BX460" s="666" t="str">
        <f t="shared" si="136"/>
        <v>Jul</v>
      </c>
      <c r="BY460" s="643">
        <f>IF(CB460=$CB463,SUMIF($BI451:$BI462,$BX460,$BR451:$BR462),SUMIF($BI451:$BI462,$BX460,$BM451:$BM462))</f>
        <v>0.29399999999999998</v>
      </c>
      <c r="BZ460" s="877">
        <f>IF(IF(CB460=CB463,SUMIF(BI451:BI462,$BX460,BU451:BU462),SUMIF(BI451:BI462,$BX460,BP451:BP462))=0,NA(),IF(CB460=CB463,SUMIF(BI451:BI462,$BX460,BU451:BU462),SUMIF(BI451:BI462,$BX460,BP451:BP462)))</f>
        <v>6.9444444444444447E-4</v>
      </c>
      <c r="CA460" s="876">
        <f>IF(IF(CB460=CB463,SUMIF(BI451:BI462,$BX460,BS451:BS462),SUMIF(BI451:BI462,$BX460,BN451:BN462))=0,NA(),IF(CB460=CB463,SUMIF(BI451:BI462,$BX460,BS451:BS462),SUMIF(BI451:BI462,$BX460,BN451:BN462)))</f>
        <v>1.9675925925925926E-4</v>
      </c>
      <c r="CB460" s="645">
        <f t="shared" si="140"/>
        <v>23</v>
      </c>
      <c r="CC460" s="645">
        <f t="shared" si="137"/>
        <v>7</v>
      </c>
    </row>
    <row r="461" spans="61:81" ht="15" customHeight="1">
      <c r="BI461" s="638" t="s">
        <v>343</v>
      </c>
      <c r="BJ461" s="638">
        <v>11</v>
      </c>
      <c r="BK461" s="638" t="s">
        <v>338</v>
      </c>
      <c r="BL461" s="856">
        <f t="shared" si="138"/>
        <v>2.611111111111111E-5</v>
      </c>
      <c r="BM461" s="690">
        <v>0.188</v>
      </c>
      <c r="BN461" s="848">
        <v>1.3888888888888889E-4</v>
      </c>
      <c r="BO461" s="852"/>
      <c r="BP461" s="851">
        <v>6.9444444444444447E-4</v>
      </c>
      <c r="BQ461" s="857" t="str">
        <f t="shared" si="139"/>
        <v/>
      </c>
      <c r="BR461" s="690"/>
      <c r="BS461" s="848"/>
      <c r="BT461" s="852"/>
      <c r="BU461" s="851">
        <v>6.9444444444444447E-4</v>
      </c>
      <c r="BX461" s="666" t="str">
        <f t="shared" si="136"/>
        <v>Aug</v>
      </c>
      <c r="BY461" s="643">
        <f>IF(CB461=$CB463,SUMIF($BI451:$BI462,$BX461,$BR451:$BR462),SUMIF($BI451:$BI462,$BX461,$BM451:$BM462))</f>
        <v>0.188</v>
      </c>
      <c r="BZ461" s="877">
        <f>IF(IF(CB461=CB463,SUMIF(BI451:BI462,$BX461,BU451:BU462),SUMIF(BI451:BI462,$BX461,BP451:BP462))=0,NA(),IF(CB461=CB463,SUMIF(BI451:BI462,$BX461,BU451:BU462),SUMIF(BI451:BI462,$BX461,BP451:BP462)))</f>
        <v>6.9444444444444447E-4</v>
      </c>
      <c r="CA461" s="876">
        <f>IF(IF(CB461=CB463,SUMIF(BI451:BI462,$BX461,BS451:BS462),SUMIF(BI451:BI462,$BX461,BN451:BN462))=0,NA(),IF(CB461=CB463,SUMIF(BI451:BI462,$BX461,BS451:BS462),SUMIF(BI451:BI462,$BX461,BN451:BN462)))</f>
        <v>1.3888888888888889E-4</v>
      </c>
      <c r="CB461" s="645">
        <f t="shared" si="140"/>
        <v>23</v>
      </c>
      <c r="CC461" s="645">
        <f t="shared" si="137"/>
        <v>8</v>
      </c>
    </row>
    <row r="462" spans="61:81" ht="15" customHeight="1">
      <c r="BI462" s="638" t="s">
        <v>344</v>
      </c>
      <c r="BJ462" s="638">
        <v>12</v>
      </c>
      <c r="BK462" s="638" t="s">
        <v>338</v>
      </c>
      <c r="BL462" s="856">
        <f t="shared" si="138"/>
        <v>4.2129629629629625E-5</v>
      </c>
      <c r="BM462" s="690">
        <v>0.182</v>
      </c>
      <c r="BN462" s="848">
        <v>2.3148148148148146E-4</v>
      </c>
      <c r="BO462" s="852"/>
      <c r="BP462" s="851">
        <v>6.9444444444444447E-4</v>
      </c>
      <c r="BQ462" s="857" t="str">
        <f t="shared" si="139"/>
        <v/>
      </c>
      <c r="BR462" s="687"/>
      <c r="BS462" s="848"/>
      <c r="BT462" s="852"/>
      <c r="BU462" s="851">
        <v>6.9444444444444447E-4</v>
      </c>
      <c r="BX462" s="666" t="str">
        <f t="shared" si="136"/>
        <v>Sep</v>
      </c>
      <c r="BY462" s="643">
        <f>IF(CB462=$CB463,SUMIF($BI451:$BI462,$BX462,$BR451:$BR462),SUMIF($BI451:$BI462,$BX462,$BM451:$BM462))</f>
        <v>0.182</v>
      </c>
      <c r="BZ462" s="877">
        <f>IF(IF(CB462=CB463,SUMIF(BI451:BI462,$BX462,BU451:BU462),SUMIF(BI451:BI462,$BX462,BP451:BP462))=0,NA(),IF(CB462=CB463,SUMIF(BI451:BI462,$BX462,BU451:BU462),SUMIF(BI451:BI462,$BX462,BP451:BP462)))</f>
        <v>6.9444444444444447E-4</v>
      </c>
      <c r="CA462" s="876">
        <f>IF(IF(CB462=CB463,SUMIF(BI451:BI462,$BX462,BS451:BS462),SUMIF(BI451:BI462,$BX462,BN451:BN462))=0,NA(),IF(CB462=CB463,SUMIF(BI451:BI462,$BX462,BS451:BS462),SUMIF(BI451:BI462,$BX462,BN451:BN462)))</f>
        <v>2.3148148148148146E-4</v>
      </c>
      <c r="CB462" s="645">
        <f t="shared" si="140"/>
        <v>23</v>
      </c>
      <c r="CC462" s="645">
        <f>IF(CC463-1&lt;1,CC463+11,CC463-1)</f>
        <v>9</v>
      </c>
    </row>
    <row r="463" spans="61:81" ht="15" customHeight="1">
      <c r="BJ463" s="277"/>
      <c r="BK463" s="277"/>
      <c r="BL463" s="277"/>
      <c r="BM463" s="277"/>
      <c r="BN463" s="277"/>
      <c r="BO463" s="277"/>
      <c r="BP463" s="277"/>
      <c r="BQ463" s="277"/>
      <c r="BR463" s="277"/>
      <c r="BS463" s="277"/>
      <c r="BT463" s="277"/>
      <c r="BW463" s="667" t="str">
        <f>Cover!$M$34</f>
        <v>OCT FY-24</v>
      </c>
      <c r="BX463" s="666" t="str">
        <f>TEXT(CONCATENATE(CC463,"/01/20",CB463),"MMM")</f>
        <v>Oct</v>
      </c>
      <c r="BY463" s="643">
        <f>SUMIF($BI451:$BI462,$BX463,$BR451:$BR462)</f>
        <v>0.223</v>
      </c>
      <c r="BZ463" s="877">
        <f>IF(IF(CB463=CB463,SUMIF(BI451:BI462,$BX463,BU451:BU462),SUMIF(BI451:BI462,$BX463,BP451:BP462))=0,NA(),IF(CB463=CB463,SUMIF(BI451:BI462,$BX463,BU451:BU462),SUMIF(BI451:BI462,$BX463,BP451:BP462)))</f>
        <v>6.9444444444444447E-4</v>
      </c>
      <c r="CA463" s="876">
        <f>IF(SUMIF($BI451:$BI462,$BX463,$BS451:$BS462)=0,NA(),SUMIF($BI451:$BI462,$BX463,$BS451:$BS462))</f>
        <v>3.4722222222222224E-4</v>
      </c>
      <c r="CB463" s="645">
        <f t="shared" si="140"/>
        <v>24</v>
      </c>
      <c r="CC463" s="645">
        <f>MONTH(DATEVALUE(LEFT(BW463,3)&amp;" 1"))</f>
        <v>10</v>
      </c>
    </row>
    <row r="464" spans="61:81" ht="15" customHeight="1">
      <c r="BI464" s="6"/>
      <c r="BJ464" s="6"/>
      <c r="BK464" s="6"/>
      <c r="BL464" s="6"/>
      <c r="BM464" s="6"/>
      <c r="BN464" s="6"/>
      <c r="BO464" s="6"/>
      <c r="BP464" s="6"/>
      <c r="BQ464" s="6"/>
      <c r="BR464" s="6"/>
      <c r="BS464" s="6"/>
      <c r="BT464" s="6"/>
      <c r="BU464" s="6"/>
      <c r="BV464" s="6"/>
    </row>
    <row r="465" spans="61:81" ht="15" customHeight="1">
      <c r="BI465" s="54" t="s">
        <v>292</v>
      </c>
      <c r="BJ465" s="287" t="s">
        <v>478</v>
      </c>
      <c r="BK465" s="287"/>
      <c r="BL465" s="287"/>
      <c r="BM465" s="287"/>
      <c r="BN465" s="287"/>
      <c r="BO465" s="287"/>
      <c r="BP465" s="287"/>
      <c r="BQ465" s="287"/>
      <c r="BR465" s="287"/>
      <c r="BS465" s="287"/>
      <c r="BT465" s="287"/>
      <c r="BU465" s="287"/>
    </row>
    <row r="466" spans="61:81" ht="15" customHeight="1">
      <c r="BI466" s="54" t="s">
        <v>296</v>
      </c>
      <c r="BJ466" s="283" t="s">
        <v>475</v>
      </c>
      <c r="BK466" s="283"/>
      <c r="BL466" s="283"/>
      <c r="BM466" s="283"/>
      <c r="BN466" s="283"/>
      <c r="BO466" s="283"/>
      <c r="BP466" s="283"/>
      <c r="BQ466" s="283"/>
      <c r="BR466" s="283"/>
      <c r="BS466" s="283"/>
      <c r="BT466" s="283"/>
      <c r="BU466" s="283"/>
    </row>
    <row r="467" spans="61:81" ht="15" customHeight="1" thickBot="1">
      <c r="BI467" s="54" t="s">
        <v>300</v>
      </c>
      <c r="BJ467" s="283" t="s">
        <v>476</v>
      </c>
      <c r="BK467" s="283"/>
      <c r="BL467" s="283"/>
      <c r="BM467" s="283"/>
      <c r="BN467" s="283"/>
      <c r="BO467" s="283"/>
      <c r="BP467" s="283"/>
      <c r="BQ467" s="283"/>
      <c r="BR467" s="283"/>
      <c r="BS467" s="283"/>
      <c r="BT467" s="283"/>
      <c r="BU467" s="283"/>
    </row>
    <row r="468" spans="61:81" ht="15" customHeight="1" thickBot="1">
      <c r="BI468" s="1405" t="s">
        <v>454</v>
      </c>
      <c r="BJ468" s="1406"/>
      <c r="BK468" s="1407"/>
      <c r="BL468" s="1405" t="s">
        <v>302</v>
      </c>
      <c r="BM468" s="1406"/>
      <c r="BN468" s="1406"/>
      <c r="BO468" s="1406"/>
      <c r="BP468" s="1407"/>
      <c r="BQ468" s="1405" t="s">
        <v>719</v>
      </c>
      <c r="BR468" s="1406"/>
      <c r="BS468" s="1406"/>
      <c r="BT468" s="1406"/>
      <c r="BU468" s="1407"/>
      <c r="BW468" s="1405" t="s">
        <v>303</v>
      </c>
      <c r="BX468" s="1406"/>
      <c r="BY468" s="1406"/>
      <c r="BZ468" s="1406"/>
      <c r="CA468" s="1406"/>
      <c r="CB468" s="1406"/>
      <c r="CC468" s="1407"/>
    </row>
    <row r="469" spans="61:81" ht="15" customHeight="1">
      <c r="BI469" s="636" t="s">
        <v>23</v>
      </c>
      <c r="BJ469" s="636" t="s">
        <v>37</v>
      </c>
      <c r="BK469" s="636" t="s">
        <v>304</v>
      </c>
      <c r="BL469" s="637" t="s">
        <v>305</v>
      </c>
      <c r="BM469" s="637" t="s">
        <v>310</v>
      </c>
      <c r="BN469" s="637" t="s">
        <v>311</v>
      </c>
      <c r="BO469" s="278" t="s">
        <v>312</v>
      </c>
      <c r="BP469" s="637" t="s">
        <v>313</v>
      </c>
      <c r="BQ469" s="637" t="s">
        <v>305</v>
      </c>
      <c r="BR469" s="637" t="s">
        <v>715</v>
      </c>
      <c r="BS469" s="637" t="s">
        <v>716</v>
      </c>
      <c r="BT469" s="278" t="s">
        <v>717</v>
      </c>
      <c r="BU469" s="637" t="s">
        <v>718</v>
      </c>
      <c r="BW469" s="279" t="s">
        <v>314</v>
      </c>
      <c r="BX469" s="279" t="s">
        <v>23</v>
      </c>
      <c r="BY469" s="280" t="s">
        <v>315</v>
      </c>
      <c r="BZ469" s="279" t="s">
        <v>122</v>
      </c>
      <c r="CA469" s="279" t="s">
        <v>316</v>
      </c>
      <c r="CB469" s="279" t="s">
        <v>317</v>
      </c>
      <c r="CC469" s="279" t="s">
        <v>318</v>
      </c>
    </row>
    <row r="470" spans="61:81" ht="15" customHeight="1">
      <c r="BI470" s="638" t="s">
        <v>319</v>
      </c>
      <c r="BJ470" s="638">
        <v>1</v>
      </c>
      <c r="BK470" s="638" t="s">
        <v>320</v>
      </c>
      <c r="BL470" s="859">
        <v>1.0999999999999999E-2</v>
      </c>
      <c r="BM470" s="858">
        <v>0.14000000000000001</v>
      </c>
      <c r="BN470" s="653">
        <f>IF(BM470="","",BL470/BM470)</f>
        <v>7.8571428571428556E-2</v>
      </c>
      <c r="BO470" s="289">
        <f>IF(SUM(BM470:BM472=0),0,SUM(BL470:BL472)/SUM(BM470:BM472))</f>
        <v>5.1344743276283612E-2</v>
      </c>
      <c r="BP470" s="821">
        <v>0.05</v>
      </c>
      <c r="BQ470" s="690">
        <v>1.0999999999999999E-2</v>
      </c>
      <c r="BR470" s="689">
        <v>0.249</v>
      </c>
      <c r="BS470" s="842">
        <f>IF(BR470="","",BQ470/BR470)</f>
        <v>4.4176706827309231E-2</v>
      </c>
      <c r="BT470" s="289">
        <f>IF(SUM(BR470:BR472=0),0,SUM(BQ470:BQ472)/SUM(BR470:BR472))</f>
        <v>4.4176706827309231E-2</v>
      </c>
      <c r="BU470" s="821">
        <v>0.05</v>
      </c>
      <c r="BX470" s="666" t="str">
        <f t="shared" ref="BX470:BX481" si="141">TEXT(CONCATENATE(CC470,"/01/20",CB470),"MMM")</f>
        <v>Oct</v>
      </c>
      <c r="BY470" s="643">
        <f>IF(CB470=$CB482,SUMIF($BI470:$BI481,$BX470,$BR470:$BR481),SUMIF($BI470:$BI481,$BX470,$BM470:$BM481))</f>
        <v>0.14000000000000001</v>
      </c>
      <c r="BZ470" s="821">
        <f>IF(IF(CB470=CB482,SUMIF(BI470:BI481,$BX470,BU470:BU481),SUMIF(BI470:BI481,$BX470,BP470:BP481))=0,NA(),IF(CB470=CB482,SUMIF(BI470:BI481,$BX470,BU470:BU481),SUMIF(BI470:BI481,$BX470,BP470:BP481)))</f>
        <v>0.05</v>
      </c>
      <c r="CA470" s="644">
        <f>IF(IF(CB470=CB482,SUMIF(BI470:BI481,$BX470,BS470:BS481),SUMIF(BI470:BI481,$BX470,BN470:BN481))=0,0,IF(CB470=CB482,SUMIF(BI470:BI481,$BX470,BS470:BS481),SUMIF(BI470:BI481,$BX470,BN470:BN481)))</f>
        <v>7.8571428571428556E-2</v>
      </c>
      <c r="CB470" s="645">
        <f>CB451</f>
        <v>23</v>
      </c>
      <c r="CC470" s="645">
        <f t="shared" ref="CC470:CC480" si="142">IF(CC471-1&lt;1,CC471+11,CC471-1)</f>
        <v>10</v>
      </c>
    </row>
    <row r="471" spans="61:81" ht="15" customHeight="1">
      <c r="BI471" s="638" t="s">
        <v>321</v>
      </c>
      <c r="BJ471" s="638">
        <v>2</v>
      </c>
      <c r="BK471" s="638" t="s">
        <v>320</v>
      </c>
      <c r="BL471" s="859">
        <v>1.2E-2</v>
      </c>
      <c r="BM471" s="858">
        <v>0.28899999999999998</v>
      </c>
      <c r="BN471" s="653">
        <f t="shared" ref="BN471:BN481" si="143">IF(BM471="","",BL471/BM471)</f>
        <v>4.1522491349480974E-2</v>
      </c>
      <c r="BO471" s="855"/>
      <c r="BP471" s="821">
        <v>0.05</v>
      </c>
      <c r="BQ471" s="690"/>
      <c r="BR471" s="689"/>
      <c r="BS471" s="842" t="str">
        <f t="shared" ref="BS471:BS480" si="144">IF(BR471="","",BQ471/BR471)</f>
        <v/>
      </c>
      <c r="BT471" s="855"/>
      <c r="BU471" s="821">
        <v>0.05</v>
      </c>
      <c r="BX471" s="666" t="str">
        <f t="shared" si="141"/>
        <v>Nov</v>
      </c>
      <c r="BY471" s="643">
        <f>IF(CB471=$CB482,SUMIF($BI470:$BI481,$BX471,$BR470:$BR481),SUMIF($BI470:$BI481,$BX471,$BM470:$BM481))</f>
        <v>0.28899999999999998</v>
      </c>
      <c r="BZ471" s="821">
        <f>IF(IF(CB471=CB482,SUMIF(BI470:BI481,$BX471,BU470:BU481),SUMIF(BI470:BI481,$BX471,BP470:BP481))=0,NA(),IF(CB471=CB482,SUMIF(BI470:BI481,$BX471,BU470:BU481),SUMIF(BI470:BI481,$BX471,BP470:BP481)))</f>
        <v>0.05</v>
      </c>
      <c r="CA471" s="644">
        <f>IF(IF(CB471=CB482,SUMIF(BI470:BI481,$BX471,BS470:BS481),SUMIF(BI470:BI481,$BX471,BN470:BN481))=0,0,IF(CB471=CB482,SUMIF(BI470:BI481,$BX471,BS470:BS481),SUMIF(BI470:BI481,$BX471,BN470:BN481)))</f>
        <v>4.1522491349480974E-2</v>
      </c>
      <c r="CB471" s="645">
        <f t="shared" ref="CB471:CB481" si="145">CB452</f>
        <v>23</v>
      </c>
      <c r="CC471" s="645">
        <f t="shared" si="142"/>
        <v>11</v>
      </c>
    </row>
    <row r="472" spans="61:81" ht="15" customHeight="1">
      <c r="BI472" s="638" t="s">
        <v>322</v>
      </c>
      <c r="BJ472" s="638">
        <v>3</v>
      </c>
      <c r="BK472" s="638" t="s">
        <v>320</v>
      </c>
      <c r="BL472" s="859">
        <v>0.04</v>
      </c>
      <c r="BM472" s="858">
        <v>0.79800000000000004</v>
      </c>
      <c r="BN472" s="653">
        <f t="shared" si="143"/>
        <v>5.0125313283208017E-2</v>
      </c>
      <c r="BO472" s="855"/>
      <c r="BP472" s="821">
        <v>0.05</v>
      </c>
      <c r="BQ472" s="690"/>
      <c r="BR472" s="689"/>
      <c r="BS472" s="842" t="str">
        <f t="shared" si="144"/>
        <v/>
      </c>
      <c r="BT472" s="855"/>
      <c r="BU472" s="821">
        <v>0.05</v>
      </c>
      <c r="BX472" s="666" t="str">
        <f t="shared" si="141"/>
        <v>Dec</v>
      </c>
      <c r="BY472" s="643">
        <f>IF(CB472=$CB482,SUMIF($BI470:$BI481,$BX472,$BR470:$BR481),SUMIF($BI470:$BI481,$BX472,$BM470:$BM481))</f>
        <v>0.79800000000000004</v>
      </c>
      <c r="BZ472" s="821">
        <f>IF(IF(CB472=CB482,SUMIF(BI470:BI481,$BX472,BU470:BU481),SUMIF(BI470:BI481,$BX472,BP470:BP481))=0,NA(),IF(CB472=CB482,SUMIF(BI470:BI481,$BX472,BU470:BU481),SUMIF(BI470:BI481,$BX472,BP470:BP481)))</f>
        <v>0.05</v>
      </c>
      <c r="CA472" s="644">
        <f>IF(IF(CB472=CB482,SUMIF(BI470:BI481,$BX472,BS470:BS481),SUMIF(BI470:BI481,$BX472,BN470:BN481))=0,0,IF(CB472=CB482,SUMIF(BI470:BI481,$BX472,BS470:BS481),SUMIF(BI470:BI481,$BX472,BN470:BN481)))</f>
        <v>5.0125313283208017E-2</v>
      </c>
      <c r="CB472" s="645">
        <f t="shared" si="145"/>
        <v>23</v>
      </c>
      <c r="CC472" s="645">
        <f t="shared" si="142"/>
        <v>12</v>
      </c>
    </row>
    <row r="473" spans="61:81" ht="15" customHeight="1">
      <c r="BI473" s="638" t="s">
        <v>323</v>
      </c>
      <c r="BJ473" s="638">
        <v>4</v>
      </c>
      <c r="BK473" s="638" t="s">
        <v>324</v>
      </c>
      <c r="BL473" s="859">
        <v>8.0000000000000002E-3</v>
      </c>
      <c r="BM473" s="858">
        <v>0.253</v>
      </c>
      <c r="BN473" s="653">
        <f t="shared" si="143"/>
        <v>3.1620553359683792E-2</v>
      </c>
      <c r="BO473" s="289">
        <f>IF(SUM(BM473:BM475=0),0,SUM(BL473:BL475)/SUM(BM473:BM475))</f>
        <v>2.7681660899653977E-2</v>
      </c>
      <c r="BP473" s="821">
        <v>0.05</v>
      </c>
      <c r="BQ473" s="690"/>
      <c r="BR473" s="689"/>
      <c r="BS473" s="842" t="str">
        <f t="shared" si="144"/>
        <v/>
      </c>
      <c r="BT473" s="289">
        <f>IF(SUM(BR473:BR475=0),0,SUM(BQ473:BQ475)/SUM(BR473:BR475))</f>
        <v>0</v>
      </c>
      <c r="BU473" s="821">
        <v>0.05</v>
      </c>
      <c r="BX473" s="666" t="str">
        <f t="shared" si="141"/>
        <v>Jan</v>
      </c>
      <c r="BY473" s="643">
        <f>IF(CB473=$CB482,SUMIF($BI470:$BI481,$BX473,$BR470:$BR481),SUMIF($BI470:$BI481,$BX473,$BM470:$BM481))</f>
        <v>0.253</v>
      </c>
      <c r="BZ473" s="821">
        <f>IF(IF(CB473=CB482,SUMIF(BI470:BI481,$BX473,BU470:BU481),SUMIF(BI470:BI481,$BX473,BP470:BP481))=0,NA(),IF(CB473=CB482,SUMIF(BI470:BI481,$BX473,BU470:BU481),SUMIF(BI470:BI481,$BX473,BP470:BP481)))</f>
        <v>0.05</v>
      </c>
      <c r="CA473" s="644">
        <f>IF(IF(CB473=CB482,SUMIF(BI470:BI481,$BX473,BS470:BS481),SUMIF(BI470:BI481,$BX473,BN470:BN481))=0,0,IF(CB473=CB482,SUMIF(BI470:BI481,$BX473,BS470:BS481),SUMIF(BI470:BI481,$BX473,BN470:BN481)))</f>
        <v>3.1620553359683792E-2</v>
      </c>
      <c r="CB473" s="645">
        <f t="shared" si="145"/>
        <v>23</v>
      </c>
      <c r="CC473" s="645">
        <f t="shared" si="142"/>
        <v>1</v>
      </c>
    </row>
    <row r="474" spans="61:81" ht="15" customHeight="1">
      <c r="BI474" s="638" t="s">
        <v>325</v>
      </c>
      <c r="BJ474" s="638">
        <v>5</v>
      </c>
      <c r="BK474" s="638" t="s">
        <v>324</v>
      </c>
      <c r="BL474" s="859">
        <v>5.0000000000000001E-3</v>
      </c>
      <c r="BM474" s="859">
        <v>0.14599999999999999</v>
      </c>
      <c r="BN474" s="653">
        <f t="shared" si="143"/>
        <v>3.4246575342465758E-2</v>
      </c>
      <c r="BO474" s="855"/>
      <c r="BP474" s="821">
        <v>0.05</v>
      </c>
      <c r="BQ474" s="690"/>
      <c r="BR474" s="690"/>
      <c r="BS474" s="842" t="str">
        <f t="shared" si="144"/>
        <v/>
      </c>
      <c r="BT474" s="855"/>
      <c r="BU474" s="821">
        <v>0.05</v>
      </c>
      <c r="BX474" s="666" t="str">
        <f t="shared" si="141"/>
        <v>Feb</v>
      </c>
      <c r="BY474" s="643">
        <f>IF(CB474=$CB482,SUMIF($BI470:$BI481,$BX474,$BR470:$BR481),SUMIF($BI470:$BI481,$BX474,$BM470:$BM481))</f>
        <v>0.14599999999999999</v>
      </c>
      <c r="BZ474" s="821">
        <f>IF(IF(CB474=CB482,SUMIF(BI470:BI481,$BX474,BU470:BU481),SUMIF(BI470:BI481,$BX474,BP470:BP481))=0,NA(),IF(CB474=CB482,SUMIF(BI470:BI481,$BX474,BU470:BU481),SUMIF(BI470:BI481,$BX474,BP470:BP481)))</f>
        <v>0.05</v>
      </c>
      <c r="CA474" s="644">
        <f>IF(IF(CB474=CB482,SUMIF(BI470:BI481,$BX474,BS470:BS481),SUMIF(BI470:BI481,$BX474,BN470:BN481))=0,0,IF(CB474=CB482,SUMIF(BI470:BI481,$BX474,BS470:BS481),SUMIF(BI470:BI481,$BX474,BN470:BN481)))</f>
        <v>3.4246575342465758E-2</v>
      </c>
      <c r="CB474" s="645">
        <f t="shared" si="145"/>
        <v>23</v>
      </c>
      <c r="CC474" s="645">
        <f t="shared" si="142"/>
        <v>2</v>
      </c>
    </row>
    <row r="475" spans="61:81" ht="15" customHeight="1">
      <c r="BI475" s="638" t="s">
        <v>326</v>
      </c>
      <c r="BJ475" s="638">
        <v>6</v>
      </c>
      <c r="BK475" s="638" t="s">
        <v>324</v>
      </c>
      <c r="BL475" s="859">
        <v>3.0000000000000001E-3</v>
      </c>
      <c r="BM475" s="859">
        <v>0.17899999999999999</v>
      </c>
      <c r="BN475" s="653">
        <f t="shared" si="143"/>
        <v>1.6759776536312849E-2</v>
      </c>
      <c r="BO475" s="855"/>
      <c r="BP475" s="821">
        <v>0.05</v>
      </c>
      <c r="BQ475" s="690"/>
      <c r="BR475" s="689"/>
      <c r="BS475" s="842" t="str">
        <f t="shared" si="144"/>
        <v/>
      </c>
      <c r="BT475" s="855"/>
      <c r="BU475" s="821">
        <v>0.05</v>
      </c>
      <c r="BX475" s="666" t="str">
        <f t="shared" si="141"/>
        <v>Mar</v>
      </c>
      <c r="BY475" s="643">
        <f>IF(CB475=$CB482,SUMIF($BI470:$BI481,$BX475,$BR470:$BR481),SUMIF($BI470:$BI481,$BX475,$BM470:$BM481))</f>
        <v>0.17899999999999999</v>
      </c>
      <c r="BZ475" s="821">
        <f>IF(IF(CB475=CB482,SUMIF(BI470:BI481,$BX475,BU470:BU481),SUMIF(BI470:BI481,$BX475,BP470:BP481))=0,NA(),IF(CB475=CB482,SUMIF(BI470:BI481,$BX475,BU470:BU481),SUMIF(BI470:BI481,$BX475,BP470:BP481)))</f>
        <v>0.05</v>
      </c>
      <c r="CA475" s="644">
        <f>IF(IF(CB475=CB482,SUMIF(BI470:BI481,$BX475,BS470:BS481),SUMIF(BI470:BI481,$BX475,BN470:BN481))=0,0,IF(CB475=CB482,SUMIF(BI470:BI481,$BX475,BS470:BS481),SUMIF(BI470:BI481,$BX475,BN470:BN481)))</f>
        <v>1.6759776536312849E-2</v>
      </c>
      <c r="CB475" s="645">
        <f t="shared" si="145"/>
        <v>23</v>
      </c>
      <c r="CC475" s="645">
        <f t="shared" si="142"/>
        <v>3</v>
      </c>
    </row>
    <row r="476" spans="61:81" ht="15" customHeight="1">
      <c r="BI476" s="638" t="s">
        <v>327</v>
      </c>
      <c r="BJ476" s="638">
        <v>7</v>
      </c>
      <c r="BK476" s="638" t="s">
        <v>328</v>
      </c>
      <c r="BL476" s="859">
        <v>3.0000000000000001E-3</v>
      </c>
      <c r="BM476" s="859">
        <v>0.20399999999999999</v>
      </c>
      <c r="BN476" s="653">
        <f t="shared" si="143"/>
        <v>1.4705882352941178E-2</v>
      </c>
      <c r="BO476" s="289">
        <f>IF(SUM(BM476:BM478=0),0,SUM(BL476:BL478)/SUM(BM476:BM478))</f>
        <v>1.4306151645207437E-2</v>
      </c>
      <c r="BP476" s="821">
        <v>0.05</v>
      </c>
      <c r="BQ476" s="690"/>
      <c r="BR476" s="690"/>
      <c r="BS476" s="842" t="str">
        <f t="shared" si="144"/>
        <v/>
      </c>
      <c r="BT476" s="289">
        <f>IF(SUM(BR476:BR478=0),0,SUM(BQ476:BQ478)/SUM(BR476:BR478))</f>
        <v>0</v>
      </c>
      <c r="BU476" s="821">
        <v>0.05</v>
      </c>
      <c r="BX476" s="666" t="str">
        <f t="shared" si="141"/>
        <v>Apr</v>
      </c>
      <c r="BY476" s="643">
        <f>IF(CB476=$CB482,SUMIF($BI470:$BI481,$BX476,$BR470:$BR481),SUMIF($BI470:$BI481,$BX476,$BM470:$BM481))</f>
        <v>0.20399999999999999</v>
      </c>
      <c r="BZ476" s="821">
        <f>IF(IF(CB476=CB482,SUMIF(BI470:BI481,$BX476,BU470:BU481),SUMIF(BI470:BI481,$BX476,BP470:BP481))=0,NA(),IF(CB476=CB482,SUMIF(BI470:BI481,$BX476,BU470:BU481),SUMIF(BI470:BI481,$BX476,BP470:BP481)))</f>
        <v>0.05</v>
      </c>
      <c r="CA476" s="644">
        <f>IF(IF(CB476=CB482,SUMIF(BI470:BI481,$BX476,BS470:BS481),SUMIF(BI470:BI481,$BX476,BN470:BN481))=0,0,IF(CB476=CB482,SUMIF(BI470:BI481,$BX476,BS470:BS481),SUMIF(BI470:BI481,$BX476,BN470:BN481)))</f>
        <v>1.4705882352941178E-2</v>
      </c>
      <c r="CB476" s="645">
        <f t="shared" si="145"/>
        <v>23</v>
      </c>
      <c r="CC476" s="645">
        <f t="shared" si="142"/>
        <v>4</v>
      </c>
    </row>
    <row r="477" spans="61:81" ht="15" customHeight="1">
      <c r="BI477" s="638" t="s">
        <v>329</v>
      </c>
      <c r="BJ477" s="638">
        <v>8</v>
      </c>
      <c r="BK477" s="638" t="s">
        <v>328</v>
      </c>
      <c r="BL477" s="859">
        <v>1E-3</v>
      </c>
      <c r="BM477" s="859">
        <v>0.154</v>
      </c>
      <c r="BN477" s="653">
        <f t="shared" si="143"/>
        <v>6.4935064935064939E-3</v>
      </c>
      <c r="BO477" s="855"/>
      <c r="BP477" s="821">
        <v>0.05</v>
      </c>
      <c r="BQ477" s="690"/>
      <c r="BR477" s="690"/>
      <c r="BS477" s="842" t="str">
        <f t="shared" si="144"/>
        <v/>
      </c>
      <c r="BT477" s="855"/>
      <c r="BU477" s="821">
        <v>0.05</v>
      </c>
      <c r="BX477" s="666" t="str">
        <f t="shared" si="141"/>
        <v>May</v>
      </c>
      <c r="BY477" s="643">
        <f>IF(CB477=$CB482,SUMIF($BI470:$BI481,$BX477,$BR470:$BR481),SUMIF($BI470:$BI481,$BX477,$BM470:$BM481))</f>
        <v>0.154</v>
      </c>
      <c r="BZ477" s="821">
        <f>IF(IF(CB477=CB482,SUMIF(BI470:BI481,$BX477,BU470:BU481),SUMIF(BI470:BI481,$BX477,BP470:BP481))=0,NA(),IF(CB477=CB482,SUMIF(BI470:BI481,$BX477,BU470:BU481),SUMIF(BI470:BI481,$BX477,BP470:BP481)))</f>
        <v>0.05</v>
      </c>
      <c r="CA477" s="644">
        <f>IF(IF(CB477=CB482,SUMIF(BI470:BI481,$BX477,BS470:BS481),SUMIF(BI470:BI481,$BX477,BN470:BN481))=0,0,IF(CB477=CB482,SUMIF(BI470:BI481,$BX477,BS470:BS481),SUMIF(BI470:BI481,$BX477,BN470:BN481)))</f>
        <v>6.4935064935064939E-3</v>
      </c>
      <c r="CB477" s="645">
        <f t="shared" si="145"/>
        <v>23</v>
      </c>
      <c r="CC477" s="645">
        <f t="shared" si="142"/>
        <v>5</v>
      </c>
    </row>
    <row r="478" spans="61:81" ht="15" customHeight="1">
      <c r="BI478" s="638" t="s">
        <v>331</v>
      </c>
      <c r="BJ478" s="638">
        <v>9</v>
      </c>
      <c r="BK478" s="638" t="s">
        <v>328</v>
      </c>
      <c r="BL478" s="859">
        <v>6.0000000000000001E-3</v>
      </c>
      <c r="BM478" s="859">
        <v>0.34100000000000003</v>
      </c>
      <c r="BN478" s="653">
        <f t="shared" si="143"/>
        <v>1.7595307917888561E-2</v>
      </c>
      <c r="BO478" s="855"/>
      <c r="BP478" s="821">
        <v>0.05</v>
      </c>
      <c r="BQ478" s="690"/>
      <c r="BR478" s="690"/>
      <c r="BS478" s="842" t="str">
        <f t="shared" si="144"/>
        <v/>
      </c>
      <c r="BT478" s="855"/>
      <c r="BU478" s="821">
        <v>0.05</v>
      </c>
      <c r="BX478" s="666" t="str">
        <f t="shared" si="141"/>
        <v>Jun</v>
      </c>
      <c r="BY478" s="643">
        <f>IF(CB478=$CB482,SUMIF($BI470:$BI481,$BX478,$BR470:$BR481),SUMIF($BI470:$BI481,$BX478,$BM470:$BM481))</f>
        <v>0.34100000000000003</v>
      </c>
      <c r="BZ478" s="821">
        <f>IF(IF(CB478=CB482,SUMIF(BI470:BI481,$BX478,BU470:BU481),SUMIF(BI470:BI481,$BX478,BP470:BP481))=0,NA(),IF(CB478=CB482,SUMIF(BI470:BI481,$BX478,BU470:BU481),SUMIF(BI470:BI481,$BX478,BP470:BP481)))</f>
        <v>0.05</v>
      </c>
      <c r="CA478" s="644">
        <f>IF(IF(CB478=CB482,SUMIF(BI470:BI481,$BX478,BS470:BS481),SUMIF(BI470:BI481,$BX478,BN470:BN481))=0,0,IF(CB478=CB482,SUMIF(BI470:BI481,$BX478,BS470:BS481),SUMIF(BI470:BI481,$BX478,BN470:BN481)))</f>
        <v>1.7595307917888561E-2</v>
      </c>
      <c r="CB478" s="645">
        <f t="shared" si="145"/>
        <v>23</v>
      </c>
      <c r="CC478" s="645">
        <f t="shared" si="142"/>
        <v>6</v>
      </c>
    </row>
    <row r="479" spans="61:81" ht="15" customHeight="1">
      <c r="BI479" s="638" t="s">
        <v>337</v>
      </c>
      <c r="BJ479" s="638">
        <v>10</v>
      </c>
      <c r="BK479" s="638" t="s">
        <v>338</v>
      </c>
      <c r="BL479" s="859">
        <v>5.0000000000000001E-3</v>
      </c>
      <c r="BM479" s="859">
        <v>0.30599999999999999</v>
      </c>
      <c r="BN479" s="653">
        <f t="shared" si="143"/>
        <v>1.6339869281045753E-2</v>
      </c>
      <c r="BO479" s="289">
        <f>IF(SUM(BM479:BM481=0),0,SUM(BL479:BL481)/SUM(BM479:BM481))</f>
        <v>0.02</v>
      </c>
      <c r="BP479" s="821">
        <v>0.05</v>
      </c>
      <c r="BQ479" s="690"/>
      <c r="BR479" s="690"/>
      <c r="BS479" s="842" t="str">
        <f t="shared" si="144"/>
        <v/>
      </c>
      <c r="BT479" s="289">
        <f>IF(SUM(BR479:BR481=0),0,SUM(BQ479:BQ481)/SUM(BR479:BR481))</f>
        <v>0</v>
      </c>
      <c r="BU479" s="821">
        <v>0.05</v>
      </c>
      <c r="BX479" s="666" t="str">
        <f t="shared" si="141"/>
        <v>Jul</v>
      </c>
      <c r="BY479" s="643">
        <f>IF(CB479=$CB482,SUMIF($BI470:$BI481,$BX479,$BR470:$BR481),SUMIF($BI470:$BI481,$BX479,$BM470:$BM481))</f>
        <v>0.30599999999999999</v>
      </c>
      <c r="BZ479" s="821">
        <f>IF(IF(CB479=CB482,SUMIF(BI470:BI481,$BX479,BU470:BU481),SUMIF(BI470:BI481,$BX479,BP470:BP481))=0,NA(),IF(CB479=CB482,SUMIF(BI470:BI481,$BX479,BU470:BU481),SUMIF(BI470:BI481,$BX479,BP470:BP481)))</f>
        <v>0.05</v>
      </c>
      <c r="CA479" s="644">
        <f>IF(IF(CB479=CB482,SUMIF(BI470:BI481,$BX479,BS470:BS481),SUMIF(BI470:BI481,$BX479,BN470:BN481))=0,0,IF(CB479=CB482,SUMIF(BI470:BI481,$BX479,BS470:BS481),SUMIF(BI470:BI481,$BX479,BN470:BN481)))</f>
        <v>1.6339869281045753E-2</v>
      </c>
      <c r="CB479" s="645">
        <f t="shared" si="145"/>
        <v>23</v>
      </c>
      <c r="CC479" s="645">
        <f t="shared" si="142"/>
        <v>7</v>
      </c>
    </row>
    <row r="480" spans="61:81" ht="15" customHeight="1">
      <c r="BI480" s="638" t="s">
        <v>343</v>
      </c>
      <c r="BJ480" s="638">
        <v>11</v>
      </c>
      <c r="BK480" s="638" t="s">
        <v>338</v>
      </c>
      <c r="BL480" s="859">
        <v>3.0000000000000001E-3</v>
      </c>
      <c r="BM480" s="859">
        <v>0.19500000000000001</v>
      </c>
      <c r="BN480" s="653">
        <f t="shared" si="143"/>
        <v>1.5384615384615384E-2</v>
      </c>
      <c r="BO480" s="855"/>
      <c r="BP480" s="821">
        <v>0.05</v>
      </c>
      <c r="BQ480" s="690"/>
      <c r="BR480" s="690"/>
      <c r="BS480" s="842" t="str">
        <f t="shared" si="144"/>
        <v/>
      </c>
      <c r="BT480" s="855"/>
      <c r="BU480" s="821">
        <v>0.05</v>
      </c>
      <c r="BX480" s="666" t="str">
        <f t="shared" si="141"/>
        <v>Aug</v>
      </c>
      <c r="BY480" s="643">
        <f>IF(CB480=$CB482,SUMIF($BI470:$BI481,$BX480,$BR470:$BR481),SUMIF($BI470:$BI481,$BX480,$BM470:$BM481))</f>
        <v>0.19500000000000001</v>
      </c>
      <c r="BZ480" s="821">
        <f>IF(IF(CB480=CB482,SUMIF(BI470:BI481,$BX480,BU470:BU481),SUMIF(BI470:BI481,$BX480,BP470:BP481))=0,NA(),IF(CB480=CB482,SUMIF(BI470:BI481,$BX480,BU470:BU481),SUMIF(BI470:BI481,$BX480,BP470:BP481)))</f>
        <v>0.05</v>
      </c>
      <c r="CA480" s="644">
        <f>IF(IF(CB480=CB482,SUMIF(BI470:BI481,$BX480,BS470:BS481),SUMIF(BI470:BI481,$BX480,BN470:BN481))=0,0,IF(CB480=CB482,SUMIF(BI470:BI481,$BX480,BS470:BS481),SUMIF(BI470:BI481,$BX480,BN470:BN481)))</f>
        <v>1.5384615384615384E-2</v>
      </c>
      <c r="CB480" s="645">
        <f t="shared" si="145"/>
        <v>23</v>
      </c>
      <c r="CC480" s="645">
        <f t="shared" si="142"/>
        <v>8</v>
      </c>
    </row>
    <row r="481" spans="61:81" ht="15" customHeight="1">
      <c r="BI481" s="638" t="s">
        <v>344</v>
      </c>
      <c r="BJ481" s="638">
        <v>12</v>
      </c>
      <c r="BK481" s="638" t="s">
        <v>338</v>
      </c>
      <c r="BL481" s="859">
        <v>6.0000000000000001E-3</v>
      </c>
      <c r="BM481" s="859">
        <v>0.19900000000000001</v>
      </c>
      <c r="BN481" s="653">
        <f t="shared" si="143"/>
        <v>3.015075376884422E-2</v>
      </c>
      <c r="BO481" s="855"/>
      <c r="BP481" s="821">
        <v>0.05</v>
      </c>
      <c r="BQ481" s="690"/>
      <c r="BR481" s="690"/>
      <c r="BS481" s="842" t="str">
        <f>IF(BR481="","",BQ481/BR481)</f>
        <v/>
      </c>
      <c r="BT481" s="855"/>
      <c r="BU481" s="821">
        <v>0.05</v>
      </c>
      <c r="BX481" s="666" t="str">
        <f t="shared" si="141"/>
        <v>Sep</v>
      </c>
      <c r="BY481" s="643">
        <f>IF(CB481=$CB482,SUMIF($BI470:$BI481,$BX481,$BR470:$BR481),SUMIF($BI470:$BI481,$BX481,$BM470:$BM481))</f>
        <v>0.19900000000000001</v>
      </c>
      <c r="BZ481" s="821">
        <f>IF(IF(CB481=CB482,SUMIF(BI470:BI481,$BX481,BU470:BU481),SUMIF(BI470:BI481,$BX481,BP470:BP481))=0,NA(),IF(CB481=CB482,SUMIF(BI470:BI481,$BX481,BU470:BU481),SUMIF(BI470:BI481,$BX481,BP470:BP481)))</f>
        <v>0.05</v>
      </c>
      <c r="CA481" s="644">
        <f>IF(IF(CB481=CB482,SUMIF(BI470:BI481,$BX481,BS470:BS481),SUMIF(BI470:BI481,$BX481,BN470:BN481))=0,0,IF(CB481=CB482,SUMIF(BI470:BI481,$BX481,BS470:BS481),SUMIF(BI470:BI481,$BX481,BN470:BN481)))</f>
        <v>3.015075376884422E-2</v>
      </c>
      <c r="CB481" s="645">
        <f t="shared" si="145"/>
        <v>23</v>
      </c>
      <c r="CC481" s="645">
        <f>IF(CC482-1&lt;1,CC482+11,CC482-1)</f>
        <v>9</v>
      </c>
    </row>
    <row r="482" spans="61:81" ht="15" customHeight="1">
      <c r="BI482" s="6"/>
      <c r="BJ482" s="6"/>
      <c r="BK482" s="6"/>
      <c r="BL482" s="6"/>
      <c r="BM482" s="6"/>
      <c r="BN482" s="6"/>
      <c r="BO482" s="6"/>
      <c r="BP482" s="6"/>
      <c r="BQ482" s="6"/>
      <c r="BR482" s="6"/>
      <c r="BS482" s="6"/>
      <c r="BT482" s="6"/>
      <c r="BU482" s="6"/>
      <c r="BW482" s="667" t="str">
        <f>Cover!$M$34</f>
        <v>OCT FY-24</v>
      </c>
      <c r="BX482" s="666" t="str">
        <f>TEXT(CONCATENATE(CC482,"/01/20",CB482),"MMM")</f>
        <v>Oct</v>
      </c>
      <c r="BY482" s="643">
        <f>SUMIF($BI470:$BI481,$BX482,$BR470:$BR481)</f>
        <v>0.249</v>
      </c>
      <c r="BZ482" s="821">
        <f>IF(IF(CB482=CB482,SUMIF(BI470:BI481,$BX482,BU470:BU481),SUMIF(BI470:BI481,$BX482,BP470:BP481))=0,NA(),IF(CB482=CB482,SUMIF(BI470:BI481,$BX482,BU470:BU481),SUMIF(BI470:BI481,$BX482,BP470:BP481)))</f>
        <v>0.05</v>
      </c>
      <c r="CA482" s="644">
        <f>IF(SUMIF($BI470:$BI481,$BX482,$BS470:$BS481)=0,NA(),SUMIF($BI470:$BI481,$BX482,$BS470:$BS481))</f>
        <v>4.4176706827309231E-2</v>
      </c>
      <c r="CB482" s="645">
        <f>CB463</f>
        <v>24</v>
      </c>
      <c r="CC482" s="645">
        <f>MONTH(DATEVALUE(LEFT(BW482,3)&amp;" 1"))</f>
        <v>10</v>
      </c>
    </row>
    <row r="483" spans="61:81" ht="15" customHeight="1">
      <c r="BJ483" s="6"/>
      <c r="BK483" s="6"/>
      <c r="BL483" s="6"/>
      <c r="BM483" s="6"/>
      <c r="BN483" s="6"/>
      <c r="BO483" s="6"/>
      <c r="BP483" s="6"/>
      <c r="BQ483" s="6"/>
      <c r="BR483" s="6"/>
      <c r="BS483" s="6"/>
      <c r="BT483" s="6"/>
      <c r="BU483" s="6"/>
    </row>
    <row r="484" spans="61:81" ht="15" customHeight="1">
      <c r="BI484" s="54" t="s">
        <v>292</v>
      </c>
      <c r="BJ484" s="287" t="s">
        <v>157</v>
      </c>
      <c r="BK484" s="287"/>
      <c r="BL484" s="287"/>
      <c r="BM484" s="287"/>
      <c r="BN484" s="287"/>
      <c r="BO484" s="287"/>
      <c r="BP484" s="287"/>
      <c r="BQ484" s="287"/>
      <c r="BR484" s="287"/>
      <c r="BS484" s="287"/>
      <c r="BT484" s="287"/>
      <c r="BU484" s="287"/>
    </row>
    <row r="485" spans="61:81" ht="15" customHeight="1">
      <c r="BI485" s="54" t="s">
        <v>296</v>
      </c>
      <c r="BJ485" s="283" t="s">
        <v>156</v>
      </c>
      <c r="BK485" s="283"/>
      <c r="BL485" s="283"/>
      <c r="BM485" s="283"/>
      <c r="BN485" s="283"/>
      <c r="BO485" s="283"/>
      <c r="BP485" s="283"/>
      <c r="BQ485" s="283"/>
      <c r="BR485" s="283"/>
      <c r="BS485" s="283"/>
      <c r="BT485" s="283"/>
      <c r="BU485" s="283"/>
    </row>
    <row r="486" spans="61:81" ht="15" customHeight="1" thickBot="1">
      <c r="BI486" s="54" t="s">
        <v>300</v>
      </c>
      <c r="BJ486" s="283" t="s">
        <v>472</v>
      </c>
      <c r="BK486" s="283"/>
      <c r="BL486" s="283"/>
      <c r="BM486" s="283"/>
      <c r="BN486" s="283"/>
      <c r="BO486" s="283"/>
      <c r="BP486" s="283"/>
      <c r="BQ486" s="283"/>
      <c r="BR486" s="283"/>
      <c r="BS486" s="283"/>
      <c r="BT486" s="283"/>
      <c r="BU486" s="283"/>
    </row>
    <row r="487" spans="61:81" ht="15" customHeight="1" thickBot="1">
      <c r="BI487" s="1405" t="s">
        <v>454</v>
      </c>
      <c r="BJ487" s="1406"/>
      <c r="BK487" s="1407"/>
      <c r="BL487" s="1405" t="s">
        <v>302</v>
      </c>
      <c r="BM487" s="1406"/>
      <c r="BN487" s="1406"/>
      <c r="BO487" s="1406"/>
      <c r="BP487" s="1407"/>
      <c r="BQ487" s="1405" t="s">
        <v>719</v>
      </c>
      <c r="BR487" s="1406"/>
      <c r="BS487" s="1406"/>
      <c r="BT487" s="1406"/>
      <c r="BU487" s="1407"/>
      <c r="BW487" s="1405" t="s">
        <v>303</v>
      </c>
      <c r="BX487" s="1406"/>
      <c r="BY487" s="1406"/>
      <c r="BZ487" s="1406"/>
      <c r="CA487" s="1406"/>
      <c r="CB487" s="1406"/>
      <c r="CC487" s="1407"/>
    </row>
    <row r="488" spans="61:81" ht="15" customHeight="1">
      <c r="BI488" s="636" t="s">
        <v>23</v>
      </c>
      <c r="BJ488" s="636" t="s">
        <v>37</v>
      </c>
      <c r="BK488" s="636" t="s">
        <v>304</v>
      </c>
      <c r="BL488" s="637" t="s">
        <v>305</v>
      </c>
      <c r="BM488" s="637" t="s">
        <v>310</v>
      </c>
      <c r="BN488" s="637" t="s">
        <v>311</v>
      </c>
      <c r="BO488" s="278" t="s">
        <v>312</v>
      </c>
      <c r="BP488" s="637" t="s">
        <v>313</v>
      </c>
      <c r="BQ488" s="637" t="s">
        <v>305</v>
      </c>
      <c r="BR488" s="637" t="s">
        <v>715</v>
      </c>
      <c r="BS488" s="637" t="s">
        <v>716</v>
      </c>
      <c r="BT488" s="278" t="s">
        <v>717</v>
      </c>
      <c r="BU488" s="637" t="s">
        <v>718</v>
      </c>
      <c r="BW488" s="279" t="s">
        <v>314</v>
      </c>
      <c r="BX488" s="279" t="s">
        <v>23</v>
      </c>
      <c r="BY488" s="280" t="s">
        <v>315</v>
      </c>
      <c r="BZ488" s="279" t="s">
        <v>122</v>
      </c>
      <c r="CA488" s="279" t="s">
        <v>316</v>
      </c>
      <c r="CB488" s="279" t="s">
        <v>317</v>
      </c>
      <c r="CC488" s="279" t="s">
        <v>318</v>
      </c>
    </row>
    <row r="489" spans="61:81" ht="15" customHeight="1">
      <c r="BI489" s="638" t="s">
        <v>319</v>
      </c>
      <c r="BJ489" s="638">
        <v>1</v>
      </c>
      <c r="BK489" s="638" t="s">
        <v>320</v>
      </c>
      <c r="BL489" s="859">
        <v>0.108</v>
      </c>
      <c r="BM489" s="869">
        <f>IF(BM451="","",BM451)</f>
        <v>0.12</v>
      </c>
      <c r="BN489" s="653">
        <f>IF(BM489="","",BL489/BM489)</f>
        <v>0.9</v>
      </c>
      <c r="BO489" s="289">
        <f>IF(SUM(BM489:BM491=0),0,SUM(BL489:BL491)/SUM(BM489:BM491))</f>
        <v>0.86908077994428967</v>
      </c>
      <c r="BP489" s="819">
        <v>0.8</v>
      </c>
      <c r="BQ489" s="690">
        <v>0.183</v>
      </c>
      <c r="BR489" s="869">
        <f>IF(BR451="","",BR451)</f>
        <v>0.223</v>
      </c>
      <c r="BS489" s="842">
        <f>IF(BR489="","",BQ489/BR489)</f>
        <v>0.82062780269058289</v>
      </c>
      <c r="BT489" s="289">
        <f>IF(SUM(BR489:BR491=""),0,SUM(BQ489:BQ491)/SUM(BR489:BR491))</f>
        <v>0.82062780269058289</v>
      </c>
      <c r="BU489" s="821">
        <v>0.8</v>
      </c>
      <c r="BX489" s="666" t="str">
        <f t="shared" ref="BX489:BX500" si="146">TEXT(CONCATENATE(CC489,"/01/20",CB489),"MMM")</f>
        <v>Oct</v>
      </c>
      <c r="BY489" s="643">
        <f>IF(CB489=$CB501,SUMIF($BI489:$BI500,$BX489,$BR489:$BR500),SUMIF($BI489:$BI500,$BX489,$BM489:$BM500))</f>
        <v>0.12</v>
      </c>
      <c r="BZ489" s="821">
        <f>IF(IF(CB489=CB501,SUMIF(BI489:BI500,$BX489,BU489:BU500),SUMIF(BI489:BI500,$BX489,BP489:BP500))=0,NA(),IF(CB489=CB501,SUMIF(BI489:BI500,$BX489,BU489:BU500),SUMIF(BI489:BI500,$BX489,BP489:BP500)))</f>
        <v>0.8</v>
      </c>
      <c r="CA489" s="644">
        <f>IF(IF(CB489=CB501,SUMIF(BI489:BI500,$BX489,BS489:BS500),SUMIF(BI489:BI500,$BX489,BN489:BN500))=0,NA(),IF(CB489=CB501,SUMIF(BI489:BI500,$BX489,BS489:BS500),SUMIF(BI489:BI500,$BX489,BN489:BN500)))</f>
        <v>0.9</v>
      </c>
      <c r="CB489" s="645">
        <f>CB470</f>
        <v>23</v>
      </c>
      <c r="CC489" s="645">
        <f t="shared" ref="CC489:CC499" si="147">IF(CC490-1&lt;1,CC490+11,CC490-1)</f>
        <v>10</v>
      </c>
    </row>
    <row r="490" spans="61:81" ht="15" customHeight="1">
      <c r="BI490" s="638" t="s">
        <v>321</v>
      </c>
      <c r="BJ490" s="638">
        <v>2</v>
      </c>
      <c r="BK490" s="638" t="s">
        <v>320</v>
      </c>
      <c r="BL490" s="859">
        <v>0.22700000000000001</v>
      </c>
      <c r="BM490" s="869">
        <f t="shared" ref="BM490:BM500" si="148">IF(BM452="","",BM452)</f>
        <v>0.252</v>
      </c>
      <c r="BN490" s="653">
        <f t="shared" ref="BN490:BN500" si="149">IF(BM490="","",BL490/BM490)</f>
        <v>0.90079365079365081</v>
      </c>
      <c r="BO490" s="855"/>
      <c r="BP490" s="819">
        <v>0.8</v>
      </c>
      <c r="BQ490" s="690"/>
      <c r="BR490" s="869" t="str">
        <f t="shared" ref="BR490:BR499" si="150">IF(BR452="","",BR452)</f>
        <v/>
      </c>
      <c r="BS490" s="842" t="str">
        <f t="shared" ref="BS490:BS499" si="151">IF(BR490="","",BQ490/BR490)</f>
        <v/>
      </c>
      <c r="BT490" s="855"/>
      <c r="BU490" s="821">
        <v>0.8</v>
      </c>
      <c r="BX490" s="666" t="str">
        <f t="shared" si="146"/>
        <v>Nov</v>
      </c>
      <c r="BY490" s="643">
        <f>IF(CB490=$CB501,SUMIF($BI489:$BI500,$BX490,$BR489:$BR500),SUMIF($BI489:$BI500,$BX490,$BM489:$BM500))</f>
        <v>0.252</v>
      </c>
      <c r="BZ490" s="821">
        <f>IF(IF(CB490=CB501,SUMIF(BI489:BI500,$BX490,BU489:BU500),SUMIF(BI489:BI500,$BX490,BP489:BP500))=0,NA(),IF(CB490=CB501,SUMIF(BI489:BI500,$BX490,BU489:BU500),SUMIF(BI489:BI500,$BX490,BP489:BP500)))</f>
        <v>0.8</v>
      </c>
      <c r="CA490" s="644">
        <f>IF(IF(CB490=CB501,SUMIF(BI489:BI500,$BX490,BS489:BS500),SUMIF(BI489:BI500,$BX490,BN489:BN500))=0,NA(),IF(CB490=CB501,SUMIF(BI489:BI500,$BX490,BS489:BS500),SUMIF(BI489:BI500,$BX490,BN489:BN500)))</f>
        <v>0.90079365079365081</v>
      </c>
      <c r="CB490" s="645">
        <f t="shared" ref="CB490:CB500" si="152">CB471</f>
        <v>23</v>
      </c>
      <c r="CC490" s="645">
        <f t="shared" si="147"/>
        <v>11</v>
      </c>
    </row>
    <row r="491" spans="61:81" ht="15" customHeight="1">
      <c r="BI491" s="638" t="s">
        <v>322</v>
      </c>
      <c r="BJ491" s="638">
        <v>3</v>
      </c>
      <c r="BK491" s="638" t="s">
        <v>320</v>
      </c>
      <c r="BL491" s="859">
        <v>0.60099999999999998</v>
      </c>
      <c r="BM491" s="869">
        <f t="shared" si="148"/>
        <v>0.70499999999999996</v>
      </c>
      <c r="BN491" s="653">
        <f t="shared" si="149"/>
        <v>0.85248226950354611</v>
      </c>
      <c r="BO491" s="855"/>
      <c r="BP491" s="819">
        <v>0.8</v>
      </c>
      <c r="BQ491" s="690"/>
      <c r="BR491" s="869" t="str">
        <f>IF(BR453="","",BR453)</f>
        <v/>
      </c>
      <c r="BS491" s="842" t="str">
        <f t="shared" si="151"/>
        <v/>
      </c>
      <c r="BT491" s="855"/>
      <c r="BU491" s="821">
        <v>0.8</v>
      </c>
      <c r="BX491" s="666" t="str">
        <f t="shared" si="146"/>
        <v>Dec</v>
      </c>
      <c r="BY491" s="643">
        <f>IF(CB491=$CB501,SUMIF($BI489:$BI500,$BX491,$BR489:$BR500),SUMIF($BI489:$BI500,$BX491,$BM489:$BM500))</f>
        <v>0.70499999999999996</v>
      </c>
      <c r="BZ491" s="821">
        <f>IF(IF(CB491=CB501,SUMIF(BI489:BI500,$BX491,BU489:BU500),SUMIF(BI489:BI500,$BX491,BP489:BP500))=0,NA(),IF(CB491=CB501,SUMIF(BI489:BI500,$BX491,BU489:BU500),SUMIF(BI489:BI500,$BX491,BP489:BP500)))</f>
        <v>0.8</v>
      </c>
      <c r="CA491" s="644">
        <f>IF(IF(CB491=CB501,SUMIF(BI489:BI500,$BX491,BS489:BS500),SUMIF(BI489:BI500,$BX491,BN489:BN500))=0,NA(),IF(CB491=CB501,SUMIF(BI489:BI500,$BX491,BS489:BS500),SUMIF(BI489:BI500,$BX491,BN489:BN500)))</f>
        <v>0.85248226950354611</v>
      </c>
      <c r="CB491" s="645">
        <f t="shared" si="152"/>
        <v>23</v>
      </c>
      <c r="CC491" s="645">
        <f t="shared" si="147"/>
        <v>12</v>
      </c>
    </row>
    <row r="492" spans="61:81" ht="15" customHeight="1">
      <c r="BI492" s="638" t="s">
        <v>323</v>
      </c>
      <c r="BJ492" s="638">
        <v>4</v>
      </c>
      <c r="BK492" s="638" t="s">
        <v>324</v>
      </c>
      <c r="BL492" s="859">
        <v>0.21299999999999999</v>
      </c>
      <c r="BM492" s="869">
        <f t="shared" si="148"/>
        <v>0.23499999999999999</v>
      </c>
      <c r="BN492" s="653">
        <f t="shared" si="149"/>
        <v>0.90638297872340423</v>
      </c>
      <c r="BO492" s="289">
        <f>IF(SUM(BM492:BM494=0),0,SUM(BL492:BL494)/SUM(BM492:BM494))</f>
        <v>0.93040293040293032</v>
      </c>
      <c r="BP492" s="819">
        <v>0.8</v>
      </c>
      <c r="BQ492" s="690"/>
      <c r="BR492" s="869" t="str">
        <f t="shared" si="150"/>
        <v/>
      </c>
      <c r="BS492" s="842" t="str">
        <f t="shared" si="151"/>
        <v/>
      </c>
      <c r="BT492" s="289">
        <f>IF(SUM(BR492:BR494=""),0,SUM(BQ492:BQ494)/SUM(BR492:BR494))</f>
        <v>0</v>
      </c>
      <c r="BU492" s="821">
        <v>0.8</v>
      </c>
      <c r="BX492" s="666" t="str">
        <f t="shared" si="146"/>
        <v>Jan</v>
      </c>
      <c r="BY492" s="643">
        <f>IF(CB492=$CB501,SUMIF($BI489:$BI500,$BX492,$BR489:$BR500),SUMIF($BI489:$BI500,$BX492,$BM489:$BM500))</f>
        <v>0.23499999999999999</v>
      </c>
      <c r="BZ492" s="821">
        <f>IF(IF(CB492=CB501,SUMIF(BI489:BI500,$BX492,BU489:BU500),SUMIF(BI489:BI500,$BX492,BP489:BP500))=0,NA(),IF(CB492=CB501,SUMIF(BI489:BI500,$BX492,BU489:BU500),SUMIF(BI489:BI500,$BX492,BP489:BP500)))</f>
        <v>0.8</v>
      </c>
      <c r="CA492" s="644">
        <f>IF(IF(CB492=CB501,SUMIF(BI489:BI500,$BX492,BS489:BS500),SUMIF(BI489:BI500,$BX492,BN489:BN500))=0,NA(),IF(CB492=CB501,SUMIF(BI489:BI500,$BX492,BS489:BS500),SUMIF(BI489:BI500,$BX492,BN489:BN500)))</f>
        <v>0.90638297872340423</v>
      </c>
      <c r="CB492" s="645">
        <f t="shared" si="152"/>
        <v>23</v>
      </c>
      <c r="CC492" s="645">
        <f t="shared" si="147"/>
        <v>1</v>
      </c>
    </row>
    <row r="493" spans="61:81" ht="15" customHeight="1">
      <c r="BI493" s="638" t="s">
        <v>325</v>
      </c>
      <c r="BJ493" s="638">
        <v>5</v>
      </c>
      <c r="BK493" s="638" t="s">
        <v>324</v>
      </c>
      <c r="BL493" s="859">
        <v>0.129</v>
      </c>
      <c r="BM493" s="869">
        <f t="shared" si="148"/>
        <v>0.13600000000000001</v>
      </c>
      <c r="BN493" s="653">
        <f t="shared" si="149"/>
        <v>0.94852941176470584</v>
      </c>
      <c r="BO493" s="855"/>
      <c r="BP493" s="819">
        <v>0.8</v>
      </c>
      <c r="BQ493" s="690"/>
      <c r="BR493" s="869" t="str">
        <f t="shared" si="150"/>
        <v/>
      </c>
      <c r="BS493" s="842" t="str">
        <f t="shared" si="151"/>
        <v/>
      </c>
      <c r="BT493" s="855"/>
      <c r="BU493" s="821">
        <v>0.8</v>
      </c>
      <c r="BX493" s="666" t="str">
        <f t="shared" si="146"/>
        <v>Feb</v>
      </c>
      <c r="BY493" s="643">
        <f>IF(CB493=$CB501,SUMIF($BI489:$BI500,$BX493,$BR489:$BR500),SUMIF($BI489:$BI500,$BX493,$BM489:$BM500))</f>
        <v>0.13600000000000001</v>
      </c>
      <c r="BZ493" s="821">
        <f>IF(IF(CB493=CB501,SUMIF(BI489:BI500,$BX493,BU489:BU500),SUMIF(BI489:BI500,$BX493,BP489:BP500))=0,NA(),IF(CB493=CB501,SUMIF(BI489:BI500,$BX493,BU489:BU500),SUMIF(BI489:BI500,$BX493,BP489:BP500)))</f>
        <v>0.8</v>
      </c>
      <c r="CA493" s="644">
        <f>IF(IF(CB493=CB501,SUMIF(BI489:BI500,$BX493,BS489:BS500),SUMIF(BI489:BI500,$BX493,BN489:BN500))=0,NA(),IF(CB493=CB501,SUMIF(BI489:BI500,$BX493,BS489:BS500),SUMIF(BI489:BI500,$BX493,BN489:BN500)))</f>
        <v>0.94852941176470584</v>
      </c>
      <c r="CB493" s="645">
        <f t="shared" si="152"/>
        <v>23</v>
      </c>
      <c r="CC493" s="645">
        <f t="shared" si="147"/>
        <v>2</v>
      </c>
    </row>
    <row r="494" spans="61:81" ht="15" customHeight="1">
      <c r="BI494" s="638" t="s">
        <v>326</v>
      </c>
      <c r="BJ494" s="638">
        <v>6</v>
      </c>
      <c r="BK494" s="638" t="s">
        <v>324</v>
      </c>
      <c r="BL494" s="859">
        <v>0.16600000000000001</v>
      </c>
      <c r="BM494" s="869">
        <f t="shared" si="148"/>
        <v>0.17499999999999999</v>
      </c>
      <c r="BN494" s="653">
        <f t="shared" si="149"/>
        <v>0.94857142857142873</v>
      </c>
      <c r="BO494" s="855"/>
      <c r="BP494" s="819">
        <v>0.8</v>
      </c>
      <c r="BQ494" s="690"/>
      <c r="BR494" s="869" t="str">
        <f t="shared" si="150"/>
        <v/>
      </c>
      <c r="BS494" s="842" t="str">
        <f t="shared" si="151"/>
        <v/>
      </c>
      <c r="BT494" s="855"/>
      <c r="BU494" s="821">
        <v>0.8</v>
      </c>
      <c r="BX494" s="666" t="str">
        <f t="shared" si="146"/>
        <v>Mar</v>
      </c>
      <c r="BY494" s="643">
        <f>IF(CB494=$CB501,SUMIF($BI489:$BI500,$BX494,$BR489:$BR500),SUMIF($BI489:$BI500,$BX494,$BM489:$BM500))</f>
        <v>0.17499999999999999</v>
      </c>
      <c r="BZ494" s="821">
        <f>IF(IF(CB494=CB501,SUMIF(BI489:BI500,$BX494,BU489:BU500),SUMIF(BI489:BI500,$BX494,BP489:BP500))=0,NA(),IF(CB494=CB501,SUMIF(BI489:BI500,$BX494,BU489:BU500),SUMIF(BI489:BI500,$BX494,BP489:BP500)))</f>
        <v>0.8</v>
      </c>
      <c r="CA494" s="644">
        <f>IF(IF(CB494=CB501,SUMIF(BI489:BI500,$BX494,BS489:BS500),SUMIF(BI489:BI500,$BX494,BN489:BN500))=0,NA(),IF(CB494=CB501,SUMIF(BI489:BI500,$BX494,BS489:BS500),SUMIF(BI489:BI500,$BX494,BN489:BN500)))</f>
        <v>0.94857142857142873</v>
      </c>
      <c r="CB494" s="645">
        <f t="shared" si="152"/>
        <v>23</v>
      </c>
      <c r="CC494" s="645">
        <f t="shared" si="147"/>
        <v>3</v>
      </c>
    </row>
    <row r="495" spans="61:81" ht="15" customHeight="1">
      <c r="BI495" s="638" t="s">
        <v>327</v>
      </c>
      <c r="BJ495" s="638">
        <v>7</v>
      </c>
      <c r="BK495" s="638" t="s">
        <v>328</v>
      </c>
      <c r="BL495" s="859">
        <v>0.17899999999999999</v>
      </c>
      <c r="BM495" s="869">
        <f t="shared" si="148"/>
        <v>0.193</v>
      </c>
      <c r="BN495" s="653">
        <f t="shared" si="149"/>
        <v>0.92746113989637302</v>
      </c>
      <c r="BO495" s="289">
        <f>IF(SUM(BM495:BM497=0),0,SUM(BL495:BL497)/SUM(BM495:BM497))</f>
        <v>0.92901234567901247</v>
      </c>
      <c r="BP495" s="819">
        <v>0.8</v>
      </c>
      <c r="BQ495" s="690"/>
      <c r="BR495" s="869" t="str">
        <f>IF(BR457="","",BR457)</f>
        <v/>
      </c>
      <c r="BS495" s="842" t="str">
        <f>IF(BR495="","",BQ495/BR495)</f>
        <v/>
      </c>
      <c r="BT495" s="289">
        <f>IF(SUM(BR495:BR497=""),0,SUM(BQ495:BQ497)/SUM(BR495:BR497))</f>
        <v>0</v>
      </c>
      <c r="BU495" s="821">
        <v>0.8</v>
      </c>
      <c r="BX495" s="666" t="str">
        <f t="shared" si="146"/>
        <v>Apr</v>
      </c>
      <c r="BY495" s="643">
        <f>IF(CB495=$CB501,SUMIF($BI489:$BI500,$BX495,$BR489:$BR500),SUMIF($BI489:$BI500,$BX495,$BM489:$BM500))</f>
        <v>0.193</v>
      </c>
      <c r="BZ495" s="821">
        <f>IF(IF(CB495=CB501,SUMIF(BI489:BI500,$BX495,BU489:BU500),SUMIF(BI489:BI500,$BX495,BP489:BP500))=0,NA(),IF(CB495=CB501,SUMIF(BI489:BI500,$BX495,BU489:BU500),SUMIF(BI489:BI500,$BX495,BP489:BP500)))</f>
        <v>0.8</v>
      </c>
      <c r="CA495" s="644">
        <f>IF(IF(CB495=CB501,SUMIF(BI489:BI500,$BX495,BS489:BS500),SUMIF(BI489:BI500,$BX495,BN489:BN500))=0,NA(),IF(CB495=CB501,SUMIF(BI489:BI500,$BX495,BS489:BS500),SUMIF(BI489:BI500,$BX495,BN489:BN500)))</f>
        <v>0.92746113989637302</v>
      </c>
      <c r="CB495" s="645">
        <f t="shared" si="152"/>
        <v>23</v>
      </c>
      <c r="CC495" s="645">
        <f t="shared" si="147"/>
        <v>4</v>
      </c>
    </row>
    <row r="496" spans="61:81" ht="15" customHeight="1">
      <c r="BI496" s="638" t="s">
        <v>329</v>
      </c>
      <c r="BJ496" s="638">
        <v>8</v>
      </c>
      <c r="BK496" s="638" t="s">
        <v>328</v>
      </c>
      <c r="BL496" s="859">
        <v>0.13700000000000001</v>
      </c>
      <c r="BM496" s="869">
        <f t="shared" si="148"/>
        <v>0.14199999999999999</v>
      </c>
      <c r="BN496" s="653">
        <f t="shared" si="149"/>
        <v>0.96478873239436636</v>
      </c>
      <c r="BO496" s="855"/>
      <c r="BP496" s="819">
        <v>0.8</v>
      </c>
      <c r="BQ496" s="690"/>
      <c r="BR496" s="869" t="str">
        <f t="shared" si="150"/>
        <v/>
      </c>
      <c r="BS496" s="842" t="str">
        <f t="shared" si="151"/>
        <v/>
      </c>
      <c r="BT496" s="855"/>
      <c r="BU496" s="821">
        <v>0.8</v>
      </c>
      <c r="BX496" s="666" t="str">
        <f t="shared" si="146"/>
        <v>May</v>
      </c>
      <c r="BY496" s="643">
        <f>IF(CB496=$CB501,SUMIF($BI489:$BI500,$BX496,$BR489:$BR500),SUMIF($BI489:$BI500,$BX496,$BM489:$BM500))</f>
        <v>0.14199999999999999</v>
      </c>
      <c r="BZ496" s="821">
        <f>IF(IF(CB496=CB501,SUMIF(BI489:BI500,$BX496,BU489:BU500),SUMIF(BI489:BI500,$BX496,BP489:BP500))=0,NA(),IF(CB496=CB501,SUMIF(BI489:BI500,$BX496,BU489:BU500),SUMIF(BI489:BI500,$BX496,BP489:BP500)))</f>
        <v>0.8</v>
      </c>
      <c r="CA496" s="644">
        <f>IF(IF(CB496=CB501,SUMIF(BI489:BI500,$BX496,BS489:BS500),SUMIF(BI489:BI500,$BX496,BN489:BN500))=0,NA(),IF(CB496=CB501,SUMIF(BI489:BI500,$BX496,BS489:BS500),SUMIF(BI489:BI500,$BX496,BN489:BN500)))</f>
        <v>0.96478873239436636</v>
      </c>
      <c r="CB496" s="645">
        <f t="shared" si="152"/>
        <v>23</v>
      </c>
      <c r="CC496" s="645">
        <f t="shared" si="147"/>
        <v>5</v>
      </c>
    </row>
    <row r="497" spans="61:81" ht="15" customHeight="1">
      <c r="BI497" s="638" t="s">
        <v>331</v>
      </c>
      <c r="BJ497" s="638">
        <v>9</v>
      </c>
      <c r="BK497" s="638" t="s">
        <v>328</v>
      </c>
      <c r="BL497" s="859">
        <v>0.28599999999999998</v>
      </c>
      <c r="BM497" s="869">
        <f t="shared" si="148"/>
        <v>0.313</v>
      </c>
      <c r="BN497" s="653">
        <f t="shared" si="149"/>
        <v>0.91373801916932895</v>
      </c>
      <c r="BO497" s="855"/>
      <c r="BP497" s="819">
        <v>0.8</v>
      </c>
      <c r="BQ497" s="690"/>
      <c r="BR497" s="869" t="str">
        <f t="shared" si="150"/>
        <v/>
      </c>
      <c r="BS497" s="842" t="str">
        <f t="shared" si="151"/>
        <v/>
      </c>
      <c r="BT497" s="855"/>
      <c r="BU497" s="821">
        <v>0.8</v>
      </c>
      <c r="BX497" s="666" t="str">
        <f t="shared" si="146"/>
        <v>Jun</v>
      </c>
      <c r="BY497" s="643">
        <f>IF(CB497=$CB501,SUMIF($BI489:$BI500,$BX497,$BR489:$BR500),SUMIF($BI489:$BI500,$BX497,$BM489:$BM500))</f>
        <v>0.313</v>
      </c>
      <c r="BZ497" s="821">
        <f>IF(IF(CB497=CB501,SUMIF(BI489:BI500,$BX497,BU489:BU500),SUMIF(BI489:BI500,$BX497,BP489:BP500))=0,NA(),IF(CB497=CB501,SUMIF(BI489:BI500,$BX497,BU489:BU500),SUMIF(BI489:BI500,$BX497,BP489:BP500)))</f>
        <v>0.8</v>
      </c>
      <c r="CA497" s="644">
        <f>IF(IF(CB497=CB501,SUMIF(BI489:BI500,$BX497,BS489:BS500),SUMIF(BI489:BI500,$BX497,BN489:BN500))=0,NA(),IF(CB497=CB501,SUMIF(BI489:BI500,$BX497,BS489:BS500),SUMIF(BI489:BI500,$BX497,BN489:BN500)))</f>
        <v>0.91373801916932895</v>
      </c>
      <c r="CB497" s="645">
        <f t="shared" si="152"/>
        <v>23</v>
      </c>
      <c r="CC497" s="645">
        <f t="shared" si="147"/>
        <v>6</v>
      </c>
    </row>
    <row r="498" spans="61:81" ht="15" customHeight="1">
      <c r="BI498" s="638" t="s">
        <v>337</v>
      </c>
      <c r="BJ498" s="638">
        <v>10</v>
      </c>
      <c r="BK498" s="638" t="s">
        <v>338</v>
      </c>
      <c r="BL498" s="859">
        <v>0.26900000000000002</v>
      </c>
      <c r="BM498" s="869">
        <f t="shared" si="148"/>
        <v>0.29399999999999998</v>
      </c>
      <c r="BN498" s="653">
        <f t="shared" si="149"/>
        <v>0.91496598639455795</v>
      </c>
      <c r="BO498" s="289">
        <f>IF(SUM(BM498:BM500=0),0,SUM(BL498:BL500)/SUM(BM498:BM500))</f>
        <v>0.92319277108433739</v>
      </c>
      <c r="BP498" s="819">
        <v>0.8</v>
      </c>
      <c r="BQ498" s="690"/>
      <c r="BR498" s="869" t="str">
        <f t="shared" si="150"/>
        <v/>
      </c>
      <c r="BS498" s="842" t="str">
        <f>IF(BR498="","",BQ498/BR498)</f>
        <v/>
      </c>
      <c r="BT498" s="289">
        <f>IF(SUM(BR498:BR500=""),0,SUM(BQ498:BQ500)/SUM(BR498:BR500))</f>
        <v>0</v>
      </c>
      <c r="BU498" s="821">
        <v>0.8</v>
      </c>
      <c r="BX498" s="666" t="str">
        <f t="shared" si="146"/>
        <v>Jul</v>
      </c>
      <c r="BY498" s="643">
        <f>IF(CB498=$CB501,SUMIF($BI489:$BI500,$BX498,$BR489:$BR500),SUMIF($BI489:$BI500,$BX498,$BM489:$BM500))</f>
        <v>0.29399999999999998</v>
      </c>
      <c r="BZ498" s="821">
        <f>IF(IF(CB498=CB501,SUMIF(BI489:BI500,$BX498,BU489:BU500),SUMIF(BI489:BI500,$BX498,BP489:BP500))=0,NA(),IF(CB498=CB501,SUMIF(BI489:BI500,$BX498,BU489:BU500),SUMIF(BI489:BI500,$BX498,BP489:BP500)))</f>
        <v>0.8</v>
      </c>
      <c r="CA498" s="644">
        <f>IF(IF(CB498=CB501,SUMIF(BI489:BI500,$BX498,BS489:BS500),SUMIF(BI489:BI500,$BX498,BN489:BN500))=0,NA(),IF(CB498=CB501,SUMIF(BI489:BI500,$BX498,BS489:BS500),SUMIF(BI489:BI500,$BX498,BN489:BN500)))</f>
        <v>0.91496598639455795</v>
      </c>
      <c r="CB498" s="645">
        <f t="shared" si="152"/>
        <v>23</v>
      </c>
      <c r="CC498" s="645">
        <f t="shared" si="147"/>
        <v>7</v>
      </c>
    </row>
    <row r="499" spans="61:81" ht="15" customHeight="1">
      <c r="BI499" s="638" t="s">
        <v>343</v>
      </c>
      <c r="BJ499" s="638">
        <v>11</v>
      </c>
      <c r="BK499" s="638" t="s">
        <v>338</v>
      </c>
      <c r="BL499" s="859">
        <v>0.17899999999999999</v>
      </c>
      <c r="BM499" s="869">
        <f t="shared" si="148"/>
        <v>0.188</v>
      </c>
      <c r="BN499" s="653">
        <f t="shared" si="149"/>
        <v>0.95212765957446799</v>
      </c>
      <c r="BO499" s="855"/>
      <c r="BP499" s="819">
        <v>0.8</v>
      </c>
      <c r="BQ499" s="690"/>
      <c r="BR499" s="869" t="str">
        <f t="shared" si="150"/>
        <v/>
      </c>
      <c r="BS499" s="842" t="str">
        <f t="shared" si="151"/>
        <v/>
      </c>
      <c r="BT499" s="855"/>
      <c r="BU499" s="821">
        <v>0.8</v>
      </c>
      <c r="BX499" s="666" t="str">
        <f t="shared" si="146"/>
        <v>Aug</v>
      </c>
      <c r="BY499" s="643">
        <f>IF(CB499=$CB501,SUMIF($BI489:$BI500,$BX499,$BR489:$BR500),SUMIF($BI489:$BI500,$BX499,$BM489:$BM500))</f>
        <v>0.188</v>
      </c>
      <c r="BZ499" s="821">
        <f>IF(IF(CB499=CB501,SUMIF(BI489:BI500,$BX499,BU489:BU500),SUMIF(BI489:BI500,$BX499,BP489:BP500))=0,NA(),IF(CB499=CB501,SUMIF(BI489:BI500,$BX499,BU489:BU500),SUMIF(BI489:BI500,$BX499,BP489:BP500)))</f>
        <v>0.8</v>
      </c>
      <c r="CA499" s="644">
        <f>IF(IF(CB499=CB501,SUMIF(BI489:BI500,$BX499,BS489:BS500),SUMIF(BI489:BI500,$BX499,BN489:BN500))=0,NA(),IF(CB499=CB501,SUMIF(BI489:BI500,$BX499,BS489:BS500),SUMIF(BI489:BI500,$BX499,BN489:BN500)))</f>
        <v>0.95212765957446799</v>
      </c>
      <c r="CB499" s="645">
        <f t="shared" si="152"/>
        <v>23</v>
      </c>
      <c r="CC499" s="645">
        <f t="shared" si="147"/>
        <v>8</v>
      </c>
    </row>
    <row r="500" spans="61:81" ht="15" customHeight="1">
      <c r="BI500" s="638" t="s">
        <v>344</v>
      </c>
      <c r="BJ500" s="638">
        <v>12</v>
      </c>
      <c r="BK500" s="638" t="s">
        <v>338</v>
      </c>
      <c r="BL500" s="859">
        <v>0.16500000000000001</v>
      </c>
      <c r="BM500" s="869">
        <f t="shared" si="148"/>
        <v>0.182</v>
      </c>
      <c r="BN500" s="653">
        <f t="shared" si="149"/>
        <v>0.9065934065934067</v>
      </c>
      <c r="BO500" s="855"/>
      <c r="BP500" s="819">
        <v>0.8</v>
      </c>
      <c r="BQ500" s="690"/>
      <c r="BR500" s="869" t="str">
        <f>IF(BR462="","",BR462)</f>
        <v/>
      </c>
      <c r="BS500" s="842" t="str">
        <f>IF(BR500="","",BQ500/BR500)</f>
        <v/>
      </c>
      <c r="BT500" s="855"/>
      <c r="BU500" s="821">
        <v>0.8</v>
      </c>
      <c r="BX500" s="666" t="str">
        <f t="shared" si="146"/>
        <v>Sep</v>
      </c>
      <c r="BY500" s="643">
        <f>IF(CB500=$CB501,SUMIF($BI489:$BI500,$BX500,$BR489:$BR500),SUMIF($BI489:$BI500,$BX500,$BM489:$BM500))</f>
        <v>0.182</v>
      </c>
      <c r="BZ500" s="821">
        <f>IF(IF(CB500=CB501,SUMIF(BI489:BI500,$BX500,BU489:BU500),SUMIF(BI489:BI500,$BX500,BP489:BP500))=0,NA(),IF(CB500=CB501,SUMIF(BI489:BI500,$BX500,BU489:BU500),SUMIF(BI489:BI500,$BX500,BP489:BP500)))</f>
        <v>0.8</v>
      </c>
      <c r="CA500" s="644">
        <f>IF(IF(CB500=CB501,SUMIF(BI489:BI500,$BX500,BS489:BS500),SUMIF(BI489:BI500,$BX500,BN489:BN500))=0,NA(),IF(CB500=CB501,SUMIF(BI489:BI500,$BX500,BS489:BS500),SUMIF(BI489:BI500,$BX500,BN489:BN500)))</f>
        <v>0.9065934065934067</v>
      </c>
      <c r="CB500" s="645">
        <f t="shared" si="152"/>
        <v>23</v>
      </c>
      <c r="CC500" s="645">
        <f>IF(CC501-1&lt;1,CC501+11,CC501-1)</f>
        <v>9</v>
      </c>
    </row>
    <row r="501" spans="61:81" ht="15" customHeight="1">
      <c r="BW501" s="667" t="str">
        <f>Cover!$M$34</f>
        <v>OCT FY-24</v>
      </c>
      <c r="BX501" s="666" t="str">
        <f>TEXT(CONCATENATE(CC501,"/01/20",CB501),"MMM")</f>
        <v>Oct</v>
      </c>
      <c r="BY501" s="643">
        <f>SUMIF($BI489:$BI500,$BX501,$BR489:$BR500)</f>
        <v>0.223</v>
      </c>
      <c r="BZ501" s="821">
        <f>IF(IF(CB501=CB501,SUMIF(BI489:BI500,$BX501,BU489:BU500),SUMIF(BI489:BI500,$BX501,BP489:BP500))=0,NA(),IF(CB501=CB501,SUMIF(BI489:BI500,$BX501,BU489:BU500),SUMIF(BI489:BI500,$BX501,BP489:BP500)))</f>
        <v>0.8</v>
      </c>
      <c r="CA501" s="644">
        <f>IF(SUMIF($BI489:$BI500,$BX501,$BS489:$BS500)=0,NA(),SUMIF($BI489:$BI500,$BX501,$BS489:$BS500))</f>
        <v>0.82062780269058289</v>
      </c>
      <c r="CB501" s="645">
        <f>CB482</f>
        <v>24</v>
      </c>
      <c r="CC501" s="645">
        <f>MONTH(DATEVALUE(LEFT(BW501,3)&amp;" 1"))</f>
        <v>10</v>
      </c>
    </row>
    <row r="502" spans="61:81" ht="15" customHeight="1">
      <c r="BJ502" s="6"/>
      <c r="BK502" s="6"/>
      <c r="BL502" s="6"/>
      <c r="BM502" s="6"/>
      <c r="BN502" s="6"/>
      <c r="BO502" s="6"/>
      <c r="BP502" s="6"/>
      <c r="BQ502" s="6"/>
      <c r="BR502" s="6"/>
      <c r="BS502" s="6"/>
      <c r="BT502" s="6"/>
      <c r="BU502" s="6"/>
      <c r="BV502" s="6"/>
    </row>
    <row r="503" spans="61:81" ht="15" customHeight="1">
      <c r="BI503" s="272" t="s">
        <v>245</v>
      </c>
      <c r="BJ503" s="276"/>
      <c r="BK503" s="276"/>
      <c r="BL503" s="276"/>
      <c r="BM503" s="276"/>
      <c r="BN503" s="276"/>
      <c r="BO503" s="276"/>
      <c r="BP503" s="276"/>
      <c r="BQ503" s="276"/>
      <c r="BR503" s="276"/>
      <c r="BS503" s="276"/>
      <c r="BT503" s="276"/>
      <c r="BU503" s="276"/>
    </row>
    <row r="504" spans="61:81" ht="15" customHeight="1">
      <c r="BI504" s="54" t="s">
        <v>292</v>
      </c>
      <c r="BJ504" s="1116" t="s">
        <v>463</v>
      </c>
      <c r="BK504" s="1116"/>
      <c r="BL504" s="1116"/>
      <c r="BM504" s="1116"/>
      <c r="BN504" s="1116"/>
      <c r="BO504" s="1116"/>
      <c r="BP504" s="1116"/>
      <c r="BQ504" s="1116"/>
      <c r="BR504" s="1116"/>
      <c r="BS504" s="1116"/>
      <c r="BT504" s="1116"/>
      <c r="BU504" s="1116"/>
    </row>
    <row r="505" spans="61:81" ht="15" customHeight="1">
      <c r="BI505" s="54" t="s">
        <v>296</v>
      </c>
      <c r="BJ505" s="1233" t="s">
        <v>461</v>
      </c>
      <c r="BK505" s="1233"/>
      <c r="BL505" s="1233"/>
      <c r="BM505" s="1233"/>
      <c r="BN505" s="1233"/>
      <c r="BO505" s="1233"/>
      <c r="BP505" s="1233"/>
      <c r="BQ505" s="1233"/>
      <c r="BR505" s="1233"/>
      <c r="BS505" s="1233"/>
      <c r="BT505" s="1233"/>
      <c r="BU505" s="1233"/>
    </row>
    <row r="506" spans="61:81" ht="15" customHeight="1" thickBot="1">
      <c r="BI506" s="54" t="s">
        <v>300</v>
      </c>
      <c r="BJ506" s="1222" t="s">
        <v>462</v>
      </c>
      <c r="BK506" s="1222"/>
      <c r="BL506" s="1222"/>
      <c r="BM506" s="1222"/>
      <c r="BN506" s="1222"/>
      <c r="BO506" s="1222"/>
      <c r="BP506" s="1222"/>
      <c r="BQ506" s="1222"/>
      <c r="BR506" s="1222"/>
      <c r="BS506" s="1222"/>
      <c r="BT506" s="1222"/>
      <c r="BU506" s="1222"/>
    </row>
    <row r="507" spans="61:81" ht="15" customHeight="1" thickBot="1">
      <c r="BI507" s="1402" t="s">
        <v>455</v>
      </c>
      <c r="BJ507" s="1403"/>
      <c r="BK507" s="1404"/>
      <c r="BL507" s="1402" t="s">
        <v>302</v>
      </c>
      <c r="BM507" s="1403"/>
      <c r="BN507" s="1403"/>
      <c r="BO507" s="1403"/>
      <c r="BP507" s="1404"/>
      <c r="BQ507" s="1402" t="s">
        <v>719</v>
      </c>
      <c r="BR507" s="1403"/>
      <c r="BS507" s="1403"/>
      <c r="BT507" s="1403"/>
      <c r="BU507" s="1404"/>
      <c r="BW507" s="1402" t="s">
        <v>303</v>
      </c>
      <c r="BX507" s="1403"/>
      <c r="BY507" s="1403"/>
      <c r="BZ507" s="1403"/>
      <c r="CA507" s="1403"/>
      <c r="CB507" s="1403"/>
      <c r="CC507" s="1404"/>
    </row>
    <row r="508" spans="61:81" ht="15" customHeight="1">
      <c r="BI508" s="636" t="s">
        <v>23</v>
      </c>
      <c r="BJ508" s="636" t="s">
        <v>37</v>
      </c>
      <c r="BK508" s="636" t="s">
        <v>304</v>
      </c>
      <c r="BL508" s="637" t="s">
        <v>305</v>
      </c>
      <c r="BM508" s="637" t="s">
        <v>310</v>
      </c>
      <c r="BN508" s="637" t="s">
        <v>311</v>
      </c>
      <c r="BO508" s="278" t="s">
        <v>312</v>
      </c>
      <c r="BP508" s="637" t="s">
        <v>313</v>
      </c>
      <c r="BQ508" s="637" t="s">
        <v>305</v>
      </c>
      <c r="BR508" s="637" t="s">
        <v>715</v>
      </c>
      <c r="BS508" s="637" t="s">
        <v>716</v>
      </c>
      <c r="BT508" s="278" t="s">
        <v>717</v>
      </c>
      <c r="BU508" s="637" t="s">
        <v>718</v>
      </c>
      <c r="BW508" s="279" t="s">
        <v>314</v>
      </c>
      <c r="BX508" s="279" t="s">
        <v>23</v>
      </c>
      <c r="BY508" s="280" t="s">
        <v>315</v>
      </c>
      <c r="BZ508" s="279" t="s">
        <v>122</v>
      </c>
      <c r="CA508" s="279" t="s">
        <v>316</v>
      </c>
      <c r="CB508" s="279" t="s">
        <v>317</v>
      </c>
      <c r="CC508" s="279" t="s">
        <v>318</v>
      </c>
    </row>
    <row r="509" spans="61:81" ht="15" customHeight="1">
      <c r="BI509" s="638" t="s">
        <v>319</v>
      </c>
      <c r="BJ509" s="638">
        <v>1</v>
      </c>
      <c r="BK509" s="638" t="s">
        <v>320</v>
      </c>
      <c r="BL509" s="858">
        <v>1.54E-2</v>
      </c>
      <c r="BM509" s="858">
        <v>1.6E-2</v>
      </c>
      <c r="BN509" s="653">
        <f>IF(BM509="","",BL509/BM509)</f>
        <v>0.96250000000000002</v>
      </c>
      <c r="BO509" s="289">
        <f>IF(SUM(BM509:BM511=0),0,SUM(BL509:BL511)/SUM(BM509:BM511))</f>
        <v>0.90642201834862368</v>
      </c>
      <c r="BP509" s="821">
        <v>0.9</v>
      </c>
      <c r="BQ509" s="858">
        <v>3.5999999999999997E-2</v>
      </c>
      <c r="BR509" s="689">
        <v>0.04</v>
      </c>
      <c r="BS509" s="842">
        <f>IF(BR509="","",BQ509/BR509)</f>
        <v>0.89999999999999991</v>
      </c>
      <c r="BT509" s="289">
        <f>IF(SUM(BR509:BR511=0),0,SUM(BQ509:BQ511)/SUM(BR509:BR511))</f>
        <v>0.89999999999999991</v>
      </c>
      <c r="BU509" s="821">
        <v>0.9</v>
      </c>
      <c r="BX509" s="666" t="str">
        <f t="shared" ref="BX509:BX520" si="153">TEXT(CONCATENATE(CC509,"/01/20",CB509),"MMM")</f>
        <v>Oct</v>
      </c>
      <c r="BY509" s="643">
        <f>IF(CB509=$CB521,SUMIF($BI509:$BI520,$BX509,$BR509:$BR520),SUMIF($BI509:$BI520,$BX509,$BM509:$BM520))</f>
        <v>1.6E-2</v>
      </c>
      <c r="BZ509" s="821">
        <f>IF(IF(CB509=CB521,SUMIF(BI509:BI520,$BX509,BU509:BU520),SUMIF(BI509:BI520,$BX509,BP509:BP520))=0,NA(),IF(CB509=CB521,SUMIF(BI509:BI520,$BX509,BU509:BU520),SUMIF(BI509:BI520,$BX509,BP509:BP520)))</f>
        <v>0.9</v>
      </c>
      <c r="CA509" s="644">
        <f>IF(IF(CB509=CB521,SUMIF(BI509:BI520,$BX509,BS509:BS520),SUMIF(BI509:BI520,$BX509,BN509:BN520))=0,NA(),IF(CB509=CB521,SUMIF(BI509:BI520,$BX509,BS509:BS520),SUMIF(BI509:BI520,$BX509,BN509:BN520)))</f>
        <v>0.96250000000000002</v>
      </c>
      <c r="CB509" s="645">
        <f>CB489</f>
        <v>23</v>
      </c>
      <c r="CC509" s="645">
        <f t="shared" ref="CC509:CC519" si="154">IF(CC510-1&lt;1,CC510+11,CC510-1)</f>
        <v>10</v>
      </c>
    </row>
    <row r="510" spans="61:81" ht="15" customHeight="1">
      <c r="BI510" s="638" t="s">
        <v>321</v>
      </c>
      <c r="BJ510" s="638">
        <v>2</v>
      </c>
      <c r="BK510" s="638" t="s">
        <v>320</v>
      </c>
      <c r="BL510" s="858">
        <v>3.2599999999999997E-2</v>
      </c>
      <c r="BM510" s="858">
        <v>3.5000000000000003E-2</v>
      </c>
      <c r="BN510" s="653">
        <f t="shared" ref="BN510:BN520" si="155">IF(BM510="","",BL510/BM510)</f>
        <v>0.93142857142857127</v>
      </c>
      <c r="BO510" s="854"/>
      <c r="BP510" s="821">
        <v>0.9</v>
      </c>
      <c r="BQ510" s="858"/>
      <c r="BR510" s="689"/>
      <c r="BS510" s="842" t="str">
        <f t="shared" ref="BS510:BS520" si="156">IF(BR510="","",BQ510/BR510)</f>
        <v/>
      </c>
      <c r="BT510" s="854"/>
      <c r="BU510" s="821">
        <v>0.9</v>
      </c>
      <c r="BX510" s="666" t="str">
        <f t="shared" si="153"/>
        <v>Nov</v>
      </c>
      <c r="BY510" s="643">
        <f>IF(CB510=$CB521,SUMIF($BI509:$BI520,$BX510,$BR509:$BR520),SUMIF($BI509:$BI520,$BX510,$BM509:$BM520))</f>
        <v>3.5000000000000003E-2</v>
      </c>
      <c r="BZ510" s="821">
        <f>IF(IF(CB510=CB521,SUMIF(BI509:BI520,$BX510,BU509:BU520),SUMIF(BI509:BI520,$BX510,BP509:BP520))=0,NA(),IF(CB510=CB521,SUMIF(BI509:BI520,$BX510,BU509:BU520),SUMIF(BI509:BI520,$BX510,BP509:BP520)))</f>
        <v>0.9</v>
      </c>
      <c r="CA510" s="644">
        <f>IF(IF(CB510=CB521,SUMIF(BI509:BI520,$BX510,BS509:BS520),SUMIF(BI509:BI520,$BX510,BN509:BN520))=0,NA(),IF(CB510=CB521,SUMIF(BI509:BI520,$BX510,BS509:BS520),SUMIF(BI509:BI520,$BX510,BN509:BN520)))</f>
        <v>0.93142857142857127</v>
      </c>
      <c r="CB510" s="645">
        <f t="shared" ref="CB510:CB520" si="157">CB490</f>
        <v>23</v>
      </c>
      <c r="CC510" s="645">
        <f t="shared" si="154"/>
        <v>11</v>
      </c>
    </row>
    <row r="511" spans="61:81" ht="15" customHeight="1">
      <c r="BI511" s="638" t="s">
        <v>322</v>
      </c>
      <c r="BJ511" s="638">
        <v>3</v>
      </c>
      <c r="BK511" s="638" t="s">
        <v>320</v>
      </c>
      <c r="BL511" s="858">
        <v>5.0799999999999998E-2</v>
      </c>
      <c r="BM511" s="858">
        <v>5.8000000000000003E-2</v>
      </c>
      <c r="BN511" s="653">
        <f t="shared" si="155"/>
        <v>0.87586206896551722</v>
      </c>
      <c r="BO511" s="854"/>
      <c r="BP511" s="821">
        <v>0.9</v>
      </c>
      <c r="BQ511" s="858"/>
      <c r="BR511" s="689"/>
      <c r="BS511" s="842" t="str">
        <f t="shared" si="156"/>
        <v/>
      </c>
      <c r="BT511" s="854"/>
      <c r="BU511" s="821">
        <v>0.9</v>
      </c>
      <c r="BX511" s="666" t="str">
        <f t="shared" si="153"/>
        <v>Dec</v>
      </c>
      <c r="BY511" s="643">
        <f>IF(CB511=$CB521,SUMIF($BI509:$BI520,$BX511,$BR509:$BR520),SUMIF($BI509:$BI520,$BX511,$BM509:$BM520))</f>
        <v>5.8000000000000003E-2</v>
      </c>
      <c r="BZ511" s="821">
        <f>IF(IF(CB511=CB521,SUMIF(BI509:BI520,$BX511,BU509:BU520),SUMIF(BI509:BI520,$BX511,BP509:BP520))=0,NA(),IF(CB511=CB521,SUMIF(BI509:BI520,$BX511,BU509:BU520),SUMIF(BI509:BI520,$BX511,BP509:BP520)))</f>
        <v>0.9</v>
      </c>
      <c r="CA511" s="644">
        <f>IF(IF(CB511=CB521,SUMIF(BI509:BI520,$BX511,BS509:BS520),SUMIF(BI509:BI520,$BX511,BN509:BN520))=0,NA(),IF(CB511=CB521,SUMIF(BI509:BI520,$BX511,BS509:BS520),SUMIF(BI509:BI520,$BX511,BN509:BN520)))</f>
        <v>0.87586206896551722</v>
      </c>
      <c r="CB511" s="645">
        <f t="shared" si="157"/>
        <v>23</v>
      </c>
      <c r="CC511" s="645">
        <f t="shared" si="154"/>
        <v>12</v>
      </c>
    </row>
    <row r="512" spans="61:81" ht="15" customHeight="1">
      <c r="BI512" s="638" t="s">
        <v>323</v>
      </c>
      <c r="BJ512" s="638">
        <v>4</v>
      </c>
      <c r="BK512" s="638" t="s">
        <v>324</v>
      </c>
      <c r="BL512" s="858">
        <v>1.6199999999999999E-2</v>
      </c>
      <c r="BM512" s="858">
        <v>1.7000000000000001E-2</v>
      </c>
      <c r="BN512" s="653">
        <f t="shared" si="155"/>
        <v>0.95294117647058807</v>
      </c>
      <c r="BO512" s="289">
        <f>IF(SUM(BM512:BM514=0),0,SUM(BL512:BL514)/SUM(BM512:BM514))</f>
        <v>0.88992628992628975</v>
      </c>
      <c r="BP512" s="821">
        <v>0.9</v>
      </c>
      <c r="BQ512" s="858"/>
      <c r="BR512" s="689"/>
      <c r="BS512" s="842" t="str">
        <f t="shared" si="156"/>
        <v/>
      </c>
      <c r="BT512" s="289">
        <f>IF(SUM(BR512:BR514=0),0,SUM(BQ512:BQ514)/SUM(BR512:BR514))</f>
        <v>0</v>
      </c>
      <c r="BU512" s="821">
        <v>0.9</v>
      </c>
      <c r="BX512" s="666" t="str">
        <f t="shared" si="153"/>
        <v>Jan</v>
      </c>
      <c r="BY512" s="643">
        <f>IF(CB512=$CB521,SUMIF($BI509:$BI520,$BX512,$BR509:$BR520),SUMIF($BI509:$BI520,$BX512,$BM509:$BM520))</f>
        <v>1.7000000000000001E-2</v>
      </c>
      <c r="BZ512" s="821">
        <f>IF(IF(CB512=CB521,SUMIF(BI509:BI520,$BX512,BU509:BU520),SUMIF(BI509:BI520,$BX512,BP509:BP520))=0,NA(),IF(CB512=CB521,SUMIF(BI509:BI520,$BX512,BU509:BU520),SUMIF(BI509:BI520,$BX512,BP509:BP520)))</f>
        <v>0.9</v>
      </c>
      <c r="CA512" s="644">
        <f>IF(IF(CB512=CB521,SUMIF(BI509:BI520,$BX512,BS509:BS520),SUMIF(BI509:BI520,$BX512,BN509:BN520))=0,NA(),IF(CB512=CB521,SUMIF(BI509:BI520,$BX512,BS509:BS520),SUMIF(BI509:BI520,$BX512,BN509:BN520)))</f>
        <v>0.95294117647058807</v>
      </c>
      <c r="CB512" s="645">
        <f t="shared" si="157"/>
        <v>23</v>
      </c>
      <c r="CC512" s="645">
        <f t="shared" si="154"/>
        <v>1</v>
      </c>
    </row>
    <row r="513" spans="61:81" ht="15" customHeight="1">
      <c r="BI513" s="638" t="s">
        <v>325</v>
      </c>
      <c r="BJ513" s="638">
        <v>5</v>
      </c>
      <c r="BK513" s="638" t="s">
        <v>324</v>
      </c>
      <c r="BL513" s="859">
        <v>0.154</v>
      </c>
      <c r="BM513" s="859">
        <v>0.17</v>
      </c>
      <c r="BN513" s="653">
        <f t="shared" si="155"/>
        <v>0.90588235294117636</v>
      </c>
      <c r="BO513" s="854"/>
      <c r="BP513" s="821">
        <v>0.9</v>
      </c>
      <c r="BQ513" s="690"/>
      <c r="BR513" s="690"/>
      <c r="BS513" s="842" t="str">
        <f t="shared" si="156"/>
        <v/>
      </c>
      <c r="BT513" s="854"/>
      <c r="BU513" s="821">
        <v>0.9</v>
      </c>
      <c r="BX513" s="666" t="str">
        <f t="shared" si="153"/>
        <v>Feb</v>
      </c>
      <c r="BY513" s="643">
        <f>IF(CB513=$CB521,SUMIF($BI509:$BI520,$BX513,$BR509:$BR520),SUMIF($BI509:$BI520,$BX513,$BM509:$BM520))</f>
        <v>0.17</v>
      </c>
      <c r="BZ513" s="821">
        <f>IF(IF(CB513=CB521,SUMIF(BI509:BI520,$BX513,BU509:BU520),SUMIF(BI509:BI520,$BX513,BP509:BP520))=0,NA(),IF(CB513=CB521,SUMIF(BI509:BI520,$BX513,BU509:BU520),SUMIF(BI509:BI520,$BX513,BP509:BP520)))</f>
        <v>0.9</v>
      </c>
      <c r="CA513" s="644">
        <f>IF(IF(CB513=CB521,SUMIF(BI509:BI520,$BX513,BS509:BS520),SUMIF(BI509:BI520,$BX513,BN509:BN520))=0,NA(),IF(CB513=CB521,SUMIF(BI509:BI520,$BX513,BS509:BS520),SUMIF(BI509:BI520,$BX513,BN509:BN520)))</f>
        <v>0.90588235294117636</v>
      </c>
      <c r="CB513" s="645">
        <f t="shared" si="157"/>
        <v>23</v>
      </c>
      <c r="CC513" s="645">
        <f t="shared" si="154"/>
        <v>2</v>
      </c>
    </row>
    <row r="514" spans="61:81" ht="15" customHeight="1">
      <c r="BI514" s="638" t="s">
        <v>326</v>
      </c>
      <c r="BJ514" s="638">
        <v>6</v>
      </c>
      <c r="BK514" s="638" t="s">
        <v>324</v>
      </c>
      <c r="BL514" s="859">
        <v>0.192</v>
      </c>
      <c r="BM514" s="859">
        <v>0.22</v>
      </c>
      <c r="BN514" s="653">
        <f t="shared" si="155"/>
        <v>0.8727272727272728</v>
      </c>
      <c r="BO514" s="854"/>
      <c r="BP514" s="821">
        <v>0.9</v>
      </c>
      <c r="BQ514" s="690"/>
      <c r="BR514" s="690"/>
      <c r="BS514" s="842" t="str">
        <f t="shared" si="156"/>
        <v/>
      </c>
      <c r="BT514" s="854"/>
      <c r="BU514" s="821">
        <v>0.9</v>
      </c>
      <c r="BX514" s="666" t="str">
        <f t="shared" si="153"/>
        <v>Mar</v>
      </c>
      <c r="BY514" s="643">
        <f>IF(CB514=$CB521,SUMIF($BI509:$BI520,$BX514,$BR509:$BR520),SUMIF($BI509:$BI520,$BX514,$BM509:$BM520))</f>
        <v>0.22</v>
      </c>
      <c r="BZ514" s="821">
        <f>IF(IF(CB514=CB521,SUMIF(BI509:BI520,$BX514,BU509:BU520),SUMIF(BI509:BI520,$BX514,BP509:BP520))=0,NA(),IF(CB514=CB521,SUMIF(BI509:BI520,$BX514,BU509:BU520),SUMIF(BI509:BI520,$BX514,BP509:BP520)))</f>
        <v>0.9</v>
      </c>
      <c r="CA514" s="644">
        <f>IF(IF(CB514=CB521,SUMIF(BI509:BI520,$BX514,BS509:BS520),SUMIF(BI509:BI520,$BX514,BN509:BN520))=0,NA(),IF(CB514=CB521,SUMIF(BI509:BI520,$BX514,BS509:BS520),SUMIF(BI509:BI520,$BX514,BN509:BN520)))</f>
        <v>0.8727272727272728</v>
      </c>
      <c r="CB514" s="645">
        <f t="shared" si="157"/>
        <v>23</v>
      </c>
      <c r="CC514" s="645">
        <f t="shared" si="154"/>
        <v>3</v>
      </c>
    </row>
    <row r="515" spans="61:81" ht="15" customHeight="1">
      <c r="BI515" s="638" t="s">
        <v>327</v>
      </c>
      <c r="BJ515" s="638">
        <v>7</v>
      </c>
      <c r="BK515" s="638" t="s">
        <v>328</v>
      </c>
      <c r="BL515" s="859">
        <v>0.16400000000000001</v>
      </c>
      <c r="BM515" s="859">
        <v>0.2</v>
      </c>
      <c r="BN515" s="653">
        <f t="shared" si="155"/>
        <v>0.82</v>
      </c>
      <c r="BO515" s="289">
        <f>IF(SUM(BM515:BM517=0),0,SUM(BL515:BL517)/SUM(BM515:BM517))</f>
        <v>0.876470588235294</v>
      </c>
      <c r="BP515" s="821">
        <v>0.9</v>
      </c>
      <c r="BQ515" s="690"/>
      <c r="BR515" s="690"/>
      <c r="BS515" s="842" t="str">
        <f t="shared" si="156"/>
        <v/>
      </c>
      <c r="BT515" s="289">
        <f>IF(SUM(BR515:BR517=0),0,SUM(BQ515:BQ517)/SUM(BR515:BR517))</f>
        <v>0</v>
      </c>
      <c r="BU515" s="821">
        <v>0.9</v>
      </c>
      <c r="BX515" s="666" t="str">
        <f t="shared" si="153"/>
        <v>Apr</v>
      </c>
      <c r="BY515" s="643">
        <f>IF(CB515=$CB521,SUMIF($BI509:$BI520,$BX515,$BR509:$BR520),SUMIF($BI509:$BI520,$BX515,$BM509:$BM520))</f>
        <v>0.2</v>
      </c>
      <c r="BZ515" s="821">
        <f>IF(IF(CB515=CB521,SUMIF(BI509:BI520,$BX515,BU509:BU520),SUMIF(BI509:BI520,$BX515,BP509:BP520))=0,NA(),IF(CB515=CB521,SUMIF(BI509:BI520,$BX515,BU509:BU520),SUMIF(BI509:BI520,$BX515,BP509:BP520)))</f>
        <v>0.9</v>
      </c>
      <c r="CA515" s="644">
        <f>IF(IF(CB515=CB521,SUMIF(BI509:BI520,$BX515,BS509:BS520),SUMIF(BI509:BI520,$BX515,BN509:BN520))=0,NA(),IF(CB515=CB521,SUMIF(BI509:BI520,$BX515,BS509:BS520),SUMIF(BI509:BI520,$BX515,BN509:BN520)))</f>
        <v>0.82</v>
      </c>
      <c r="CB515" s="645">
        <f t="shared" si="157"/>
        <v>23</v>
      </c>
      <c r="CC515" s="645">
        <f t="shared" si="154"/>
        <v>4</v>
      </c>
    </row>
    <row r="516" spans="61:81" ht="15" customHeight="1">
      <c r="BI516" s="638" t="s">
        <v>329</v>
      </c>
      <c r="BJ516" s="638">
        <v>8</v>
      </c>
      <c r="BK516" s="638" t="s">
        <v>328</v>
      </c>
      <c r="BL516" s="859">
        <v>8.4000000000000005E-2</v>
      </c>
      <c r="BM516" s="859">
        <v>0.09</v>
      </c>
      <c r="BN516" s="653">
        <f t="shared" si="155"/>
        <v>0.93333333333333346</v>
      </c>
      <c r="BO516" s="854"/>
      <c r="BP516" s="821">
        <v>0.9</v>
      </c>
      <c r="BQ516" s="690"/>
      <c r="BR516" s="690"/>
      <c r="BS516" s="842" t="str">
        <f t="shared" si="156"/>
        <v/>
      </c>
      <c r="BT516" s="854"/>
      <c r="BU516" s="821">
        <v>0.9</v>
      </c>
      <c r="BX516" s="666" t="str">
        <f t="shared" si="153"/>
        <v>May</v>
      </c>
      <c r="BY516" s="643">
        <f>IF(CB516=$CB521,SUMIF($BI509:$BI520,$BX516,$BR509:$BR520),SUMIF($BI509:$BI520,$BX516,$BM509:$BM520))</f>
        <v>0.09</v>
      </c>
      <c r="BZ516" s="821">
        <f>IF(IF(CB516=CB521,SUMIF(BI509:BI520,$BX516,BU509:BU520),SUMIF(BI509:BI520,$BX516,BP509:BP520))=0,NA(),IF(CB516=CB521,SUMIF(BI509:BI520,$BX516,BU509:BU520),SUMIF(BI509:BI520,$BX516,BP509:BP520)))</f>
        <v>0.9</v>
      </c>
      <c r="CA516" s="644">
        <f>IF(IF(CB516=CB521,SUMIF(BI509:BI520,$BX516,BS509:BS520),SUMIF(BI509:BI520,$BX516,BN509:BN520))=0,NA(),IF(CB516=CB521,SUMIF(BI509:BI520,$BX516,BS509:BS520),SUMIF(BI509:BI520,$BX516,BN509:BN520)))</f>
        <v>0.93333333333333346</v>
      </c>
      <c r="CB516" s="645">
        <f t="shared" si="157"/>
        <v>23</v>
      </c>
      <c r="CC516" s="645">
        <f t="shared" si="154"/>
        <v>5</v>
      </c>
    </row>
    <row r="517" spans="61:81" ht="15" customHeight="1">
      <c r="BI517" s="638" t="s">
        <v>331</v>
      </c>
      <c r="BJ517" s="638">
        <v>9</v>
      </c>
      <c r="BK517" s="638" t="s">
        <v>328</v>
      </c>
      <c r="BL517" s="859">
        <v>0.05</v>
      </c>
      <c r="BM517" s="859">
        <v>0.05</v>
      </c>
      <c r="BN517" s="653">
        <f t="shared" si="155"/>
        <v>1</v>
      </c>
      <c r="BO517" s="854"/>
      <c r="BP517" s="821">
        <v>0.9</v>
      </c>
      <c r="BQ517" s="690"/>
      <c r="BR517" s="690"/>
      <c r="BS517" s="842" t="str">
        <f t="shared" si="156"/>
        <v/>
      </c>
      <c r="BT517" s="854"/>
      <c r="BU517" s="821">
        <v>0.9</v>
      </c>
      <c r="BX517" s="666" t="str">
        <f t="shared" si="153"/>
        <v>Jun</v>
      </c>
      <c r="BY517" s="643">
        <f>IF(CB517=$CB521,SUMIF($BI509:$BI520,$BX517,$BR509:$BR520),SUMIF($BI509:$BI520,$BX517,$BM509:$BM520))</f>
        <v>0.05</v>
      </c>
      <c r="BZ517" s="821">
        <f>IF(IF(CB517=CB521,SUMIF(BI509:BI520,$BX517,BU509:BU520),SUMIF(BI509:BI520,$BX517,BP509:BP520))=0,NA(),IF(CB517=CB521,SUMIF(BI509:BI520,$BX517,BU509:BU520),SUMIF(BI509:BI520,$BX517,BP509:BP520)))</f>
        <v>0.9</v>
      </c>
      <c r="CA517" s="644">
        <f>IF(IF(CB517=CB521,SUMIF(BI509:BI520,$BX517,BS509:BS520),SUMIF(BI509:BI520,$BX517,BN509:BN520))=0,NA(),IF(CB517=CB521,SUMIF(BI509:BI520,$BX517,BS509:BS520),SUMIF(BI509:BI520,$BX517,BN509:BN520)))</f>
        <v>1</v>
      </c>
      <c r="CB517" s="645">
        <f t="shared" si="157"/>
        <v>23</v>
      </c>
      <c r="CC517" s="645">
        <f t="shared" si="154"/>
        <v>6</v>
      </c>
    </row>
    <row r="518" spans="61:81" ht="15" customHeight="1">
      <c r="BI518" s="638" t="s">
        <v>337</v>
      </c>
      <c r="BJ518" s="638">
        <v>10</v>
      </c>
      <c r="BK518" s="638" t="s">
        <v>338</v>
      </c>
      <c r="BL518" s="859">
        <v>0.04</v>
      </c>
      <c r="BM518" s="859">
        <v>0.04</v>
      </c>
      <c r="BN518" s="653">
        <f t="shared" si="155"/>
        <v>1</v>
      </c>
      <c r="BO518" s="289">
        <f>IF(SUM(BM518:BM520=0),0,SUM(BL518:BL520)/SUM(BM518:BM520))</f>
        <v>0.92307692307692313</v>
      </c>
      <c r="BP518" s="821">
        <v>0.9</v>
      </c>
      <c r="BQ518" s="690"/>
      <c r="BR518" s="690"/>
      <c r="BS518" s="842" t="str">
        <f t="shared" si="156"/>
        <v/>
      </c>
      <c r="BT518" s="289">
        <f>IF(SUM(BR518:BR520=0),0,SUM(BQ518:BQ520)/SUM(BR518:BR520))</f>
        <v>0</v>
      </c>
      <c r="BU518" s="821">
        <v>0.9</v>
      </c>
      <c r="BX518" s="666" t="str">
        <f t="shared" si="153"/>
        <v>Jul</v>
      </c>
      <c r="BY518" s="643">
        <f>IF(CB518=$CB521,SUMIF($BI509:$BI520,$BX518,$BR509:$BR520),SUMIF($BI509:$BI520,$BX518,$BM509:$BM520))</f>
        <v>0.04</v>
      </c>
      <c r="BZ518" s="821">
        <f>IF(IF(CB518=CB521,SUMIF(BI509:BI520,$BX518,BU509:BU520),SUMIF(BI509:BI520,$BX518,BP509:BP520))=0,NA(),IF(CB518=CB521,SUMIF(BI509:BI520,$BX518,BU509:BU520),SUMIF(BI509:BI520,$BX518,BP509:BP520)))</f>
        <v>0.9</v>
      </c>
      <c r="CA518" s="644">
        <f>IF(IF(CB518=CB521,SUMIF(BI509:BI520,$BX518,BS509:BS520),SUMIF(BI509:BI520,$BX518,BN509:BN520))=0,NA(),IF(CB518=CB521,SUMIF(BI509:BI520,$BX518,BS509:BS520),SUMIF(BI509:BI520,$BX518,BN509:BN520)))</f>
        <v>1</v>
      </c>
      <c r="CB518" s="645">
        <f t="shared" si="157"/>
        <v>23</v>
      </c>
      <c r="CC518" s="645">
        <f t="shared" si="154"/>
        <v>7</v>
      </c>
    </row>
    <row r="519" spans="61:81" ht="15" customHeight="1">
      <c r="BI519" s="638" t="s">
        <v>343</v>
      </c>
      <c r="BJ519" s="638">
        <v>11</v>
      </c>
      <c r="BK519" s="638" t="s">
        <v>338</v>
      </c>
      <c r="BL519" s="859">
        <v>0.03</v>
      </c>
      <c r="BM519" s="859">
        <v>0.03</v>
      </c>
      <c r="BN519" s="653">
        <f t="shared" si="155"/>
        <v>1</v>
      </c>
      <c r="BO519" s="854"/>
      <c r="BP519" s="821">
        <v>0.9</v>
      </c>
      <c r="BQ519" s="690"/>
      <c r="BR519" s="690"/>
      <c r="BS519" s="842" t="str">
        <f t="shared" si="156"/>
        <v/>
      </c>
      <c r="BT519" s="854"/>
      <c r="BU519" s="821">
        <v>0.9</v>
      </c>
      <c r="BX519" s="666" t="str">
        <f t="shared" si="153"/>
        <v>Aug</v>
      </c>
      <c r="BY519" s="643">
        <f>IF(CB519=$CB521,SUMIF($BI509:$BI520,$BX519,$BR509:$BR520),SUMIF($BI509:$BI520,$BX519,$BM509:$BM520))</f>
        <v>0.03</v>
      </c>
      <c r="BZ519" s="821">
        <f>IF(IF(CB519=CB521,SUMIF(BI509:BI520,$BX519,BU509:BU520),SUMIF(BI509:BI520,$BX519,BP509:BP520))=0,NA(),IF(CB519=CB521,SUMIF(BI509:BI520,$BX519,BU509:BU520),SUMIF(BI509:BI520,$BX519,BP509:BP520)))</f>
        <v>0.9</v>
      </c>
      <c r="CA519" s="644">
        <f>IF(IF(CB519=CB521,SUMIF(BI509:BI520,$BX519,BS509:BS520),SUMIF(BI509:BI520,$BX519,BN509:BN520))=0,NA(),IF(CB519=CB521,SUMIF(BI509:BI520,$BX519,BS509:BS520),SUMIF(BI509:BI520,$BX519,BN509:BN520)))</f>
        <v>1</v>
      </c>
      <c r="CB519" s="645">
        <f t="shared" si="157"/>
        <v>23</v>
      </c>
      <c r="CC519" s="645">
        <f t="shared" si="154"/>
        <v>8</v>
      </c>
    </row>
    <row r="520" spans="61:81" ht="15" customHeight="1">
      <c r="BI520" s="638" t="s">
        <v>344</v>
      </c>
      <c r="BJ520" s="638">
        <v>12</v>
      </c>
      <c r="BK520" s="638" t="s">
        <v>338</v>
      </c>
      <c r="BL520" s="859">
        <v>0.05</v>
      </c>
      <c r="BM520" s="859">
        <v>0.06</v>
      </c>
      <c r="BN520" s="653">
        <f t="shared" si="155"/>
        <v>0.83333333333333337</v>
      </c>
      <c r="BO520" s="854"/>
      <c r="BP520" s="821">
        <v>0.9</v>
      </c>
      <c r="BQ520" s="690"/>
      <c r="BR520" s="690"/>
      <c r="BS520" s="842" t="str">
        <f t="shared" si="156"/>
        <v/>
      </c>
      <c r="BT520" s="854"/>
      <c r="BU520" s="821">
        <v>0.9</v>
      </c>
      <c r="BX520" s="666" t="str">
        <f t="shared" si="153"/>
        <v>Sep</v>
      </c>
      <c r="BY520" s="643">
        <f>IF(CB520=$CB521,SUMIF($BI509:$BI520,$BX520,$BR509:$BR520),SUMIF($BI509:$BI520,$BX520,$BM509:$BM520))</f>
        <v>0.06</v>
      </c>
      <c r="BZ520" s="821">
        <f>IF(IF(CB520=CB521,SUMIF(BI509:BI520,$BX520,BU509:BU520),SUMIF(BI509:BI520,$BX520,BP509:BP520))=0,NA(),IF(CB520=CB521,SUMIF(BI509:BI520,$BX520,BU509:BU520),SUMIF(BI509:BI520,$BX520,BP509:BP520)))</f>
        <v>0.9</v>
      </c>
      <c r="CA520" s="644">
        <f>IF(IF(CB520=CB521,SUMIF(BI509:BI520,$BX520,BS509:BS520),SUMIF(BI509:BI520,$BX520,BN509:BN520))=0,NA(),IF(CB520=CB521,SUMIF(BI509:BI520,$BX520,BS509:BS520),SUMIF(BI509:BI520,$BX520,BN509:BN520)))</f>
        <v>0.83333333333333337</v>
      </c>
      <c r="CB520" s="645">
        <f t="shared" si="157"/>
        <v>23</v>
      </c>
      <c r="CC520" s="645">
        <f>IF(CC521-1&lt;1,CC521+11,CC521-1)</f>
        <v>9</v>
      </c>
    </row>
    <row r="521" spans="61:81" ht="15" customHeight="1">
      <c r="BJ521" s="277"/>
      <c r="BK521" s="277"/>
      <c r="BL521" s="277"/>
      <c r="BM521" s="277"/>
      <c r="BN521" s="277"/>
      <c r="BO521" s="277"/>
      <c r="BP521" s="277"/>
      <c r="BQ521" s="277"/>
      <c r="BR521" s="277"/>
      <c r="BS521" s="277"/>
      <c r="BT521" s="277"/>
      <c r="BW521" s="667" t="str">
        <f>Cover!$M$34</f>
        <v>OCT FY-24</v>
      </c>
      <c r="BX521" s="666" t="str">
        <f>TEXT(CONCATENATE(CC521,"/01/20",CB521),"MMM")</f>
        <v>Oct</v>
      </c>
      <c r="BY521" s="643">
        <f>SUMIF($BI509:$BI520,$BX521,$BR509:$BR520)</f>
        <v>0.04</v>
      </c>
      <c r="BZ521" s="821">
        <f>IF(IF(CB521=CB521,SUMIF(BI509:BI520,$BX521,BU509:BU520),SUMIF(BI509:BI520,$BX521,BP509:BP520))=0,NA(),IF(CB521=CB521,SUMIF(BI509:BI520,$BX521,BU509:BU520),SUMIF(BI509:BI520,$BX521,BP509:BP520)))</f>
        <v>0.9</v>
      </c>
      <c r="CA521" s="644">
        <f>IF(SUMIF($BI509:$BI520,$BX521,$BS509:$BS520)=0,NA(),SUMIF($BI509:$BI520,$BX521,$BS509:$BS520))</f>
        <v>0.89999999999999991</v>
      </c>
      <c r="CB521" s="645">
        <f>CB501</f>
        <v>24</v>
      </c>
      <c r="CC521" s="645">
        <f>MONTH(DATEVALUE(LEFT(BW521,3)&amp;" 1"))</f>
        <v>10</v>
      </c>
    </row>
    <row r="522" spans="61:81" ht="15" customHeight="1">
      <c r="BI522" s="6"/>
      <c r="BJ522" s="6"/>
      <c r="BK522" s="6"/>
      <c r="BL522" s="6"/>
      <c r="BM522" s="6"/>
      <c r="BN522" s="6"/>
      <c r="BO522" s="6"/>
      <c r="BP522" s="6"/>
      <c r="BQ522" s="6"/>
      <c r="BR522" s="6"/>
      <c r="BS522" s="6"/>
      <c r="BT522" s="6"/>
      <c r="BU522" s="6"/>
      <c r="BV522" s="6"/>
    </row>
    <row r="523" spans="61:81" ht="15" customHeight="1">
      <c r="BI523" s="54" t="s">
        <v>292</v>
      </c>
      <c r="BJ523" s="287" t="s">
        <v>464</v>
      </c>
      <c r="BK523" s="287"/>
      <c r="BL523" s="287"/>
      <c r="BM523" s="287"/>
      <c r="BN523" s="287"/>
      <c r="BO523" s="287"/>
      <c r="BP523" s="287"/>
      <c r="BQ523" s="287"/>
      <c r="BR523" s="287"/>
      <c r="BS523" s="287"/>
      <c r="BT523" s="287"/>
      <c r="BU523" s="287"/>
    </row>
    <row r="524" spans="61:81" ht="15" customHeight="1">
      <c r="BI524" s="54" t="s">
        <v>296</v>
      </c>
      <c r="BJ524" s="283" t="s">
        <v>468</v>
      </c>
      <c r="BK524" s="283"/>
      <c r="BL524" s="283"/>
      <c r="BM524" s="283"/>
      <c r="BN524" s="283"/>
      <c r="BO524" s="283"/>
      <c r="BP524" s="283"/>
      <c r="BQ524" s="283"/>
      <c r="BR524" s="283"/>
      <c r="BS524" s="283"/>
      <c r="BT524" s="283"/>
      <c r="BU524" s="283"/>
    </row>
    <row r="525" spans="61:81" ht="15" customHeight="1" thickBot="1">
      <c r="BI525" s="54" t="s">
        <v>300</v>
      </c>
      <c r="BJ525" s="288" t="s">
        <v>470</v>
      </c>
      <c r="BK525" s="288"/>
      <c r="BL525" s="288"/>
      <c r="BM525" s="288"/>
      <c r="BN525" s="288"/>
      <c r="BO525" s="288"/>
      <c r="BP525" s="288"/>
      <c r="BQ525" s="288"/>
      <c r="BR525" s="288"/>
      <c r="BS525" s="288"/>
      <c r="BT525" s="288"/>
      <c r="BU525" s="288"/>
    </row>
    <row r="526" spans="61:81" ht="15" customHeight="1" thickBot="1">
      <c r="BI526" s="1402" t="s">
        <v>455</v>
      </c>
      <c r="BJ526" s="1403"/>
      <c r="BK526" s="1404"/>
      <c r="BL526" s="1402" t="s">
        <v>302</v>
      </c>
      <c r="BM526" s="1403"/>
      <c r="BN526" s="1403"/>
      <c r="BO526" s="1403"/>
      <c r="BP526" s="1404"/>
      <c r="BQ526" s="1402" t="s">
        <v>719</v>
      </c>
      <c r="BR526" s="1403"/>
      <c r="BS526" s="1403"/>
      <c r="BT526" s="1403"/>
      <c r="BU526" s="1404"/>
      <c r="BW526" s="1402" t="s">
        <v>303</v>
      </c>
      <c r="BX526" s="1403"/>
      <c r="BY526" s="1403"/>
      <c r="BZ526" s="1403"/>
      <c r="CA526" s="1403"/>
      <c r="CB526" s="1403"/>
      <c r="CC526" s="1404"/>
    </row>
    <row r="527" spans="61:81" ht="15" customHeight="1">
      <c r="BI527" s="636" t="s">
        <v>23</v>
      </c>
      <c r="BJ527" s="636" t="s">
        <v>37</v>
      </c>
      <c r="BK527" s="636" t="s">
        <v>304</v>
      </c>
      <c r="BL527" s="637" t="s">
        <v>305</v>
      </c>
      <c r="BM527" s="637" t="s">
        <v>310</v>
      </c>
      <c r="BN527" s="637" t="s">
        <v>311</v>
      </c>
      <c r="BO527" s="278" t="s">
        <v>312</v>
      </c>
      <c r="BP527" s="637" t="s">
        <v>313</v>
      </c>
      <c r="BQ527" s="637" t="s">
        <v>305</v>
      </c>
      <c r="BR527" s="637" t="s">
        <v>715</v>
      </c>
      <c r="BS527" s="637" t="s">
        <v>716</v>
      </c>
      <c r="BT527" s="278" t="s">
        <v>717</v>
      </c>
      <c r="BU527" s="637" t="s">
        <v>718</v>
      </c>
      <c r="BW527" s="279" t="s">
        <v>314</v>
      </c>
      <c r="BX527" s="279" t="s">
        <v>23</v>
      </c>
      <c r="BY527" s="280" t="s">
        <v>315</v>
      </c>
      <c r="BZ527" s="279" t="s">
        <v>122</v>
      </c>
      <c r="CA527" s="279" t="s">
        <v>316</v>
      </c>
      <c r="CB527" s="279" t="s">
        <v>317</v>
      </c>
      <c r="CC527" s="279" t="s">
        <v>318</v>
      </c>
    </row>
    <row r="528" spans="61:81" ht="15" customHeight="1">
      <c r="BI528" s="638" t="s">
        <v>319</v>
      </c>
      <c r="BJ528" s="638">
        <v>1</v>
      </c>
      <c r="BK528" s="638" t="s">
        <v>320</v>
      </c>
      <c r="BL528" s="825">
        <f>IF(BM509="","",BM509)</f>
        <v>1.6E-2</v>
      </c>
      <c r="BM528" s="858">
        <v>6.2E-2</v>
      </c>
      <c r="BN528" s="653">
        <f>IF(BM528="","",BL528/BM528)</f>
        <v>0.25806451612903225</v>
      </c>
      <c r="BO528" s="289">
        <f>IF(SUM(BM528:BM530=0),0,SUM(BL528:BL530)/SUM(BM528:BM530))</f>
        <v>0.26201923076923078</v>
      </c>
      <c r="BP528" s="821">
        <v>0.3</v>
      </c>
      <c r="BQ528" s="846">
        <f>IF(BR509="","",BR509)</f>
        <v>0.04</v>
      </c>
      <c r="BR528" s="689">
        <v>0.18</v>
      </c>
      <c r="BS528" s="653">
        <f>IF(BR528="","",BQ528/BR528)</f>
        <v>0.22222222222222224</v>
      </c>
      <c r="BT528" s="289">
        <f>IF(SUM(BR528:BR530=0),0,SUM(BQ528:BQ530)/SUM(BR528:BR530))</f>
        <v>0.22222222222222224</v>
      </c>
      <c r="BU528" s="821">
        <v>0.3</v>
      </c>
      <c r="BV528" s="6"/>
      <c r="BX528" s="666" t="str">
        <f t="shared" ref="BX528:BX539" si="158">TEXT(CONCATENATE(CC528,"/01/20",CB528),"MMM")</f>
        <v>Oct</v>
      </c>
      <c r="BY528" s="643">
        <f>IF(CB528=$CB540,SUMIF($BI528:$BI539,$BX528,$BR528:$BR539),SUMIF($BI528:$BI539,$BX528,$BM528:$BM539))</f>
        <v>6.2E-2</v>
      </c>
      <c r="BZ528" s="821">
        <f>IF(IF(CB528=CB540,SUMIF(BI528:BI539,$BX528,BU528:BU539),SUMIF(BI528:BI539,$BX528,BP528:BP539))=0,NA(),IF(CB528=CB540,SUMIF(BI528:BI539,$BX528,BU528:BU539),SUMIF(BI528:BI539,$BX528,BP528:BP539)))</f>
        <v>0.3</v>
      </c>
      <c r="CA528" s="640">
        <f>IF(IF(CB528=CB540,SUMIF(BI528:BI539,$BX528,BS528:BS539),SUMIF(BI528:BI539,$BX528,BN528:BN539))=0,NA(),IF(CB528=CB540,SUMIF(BI528:BI539,$BX528,BS528:BS539),SUMIF(BI528:BI539,$BX528,BN528:BN539)))</f>
        <v>0.25806451612903225</v>
      </c>
      <c r="CB528" s="645">
        <f>CB509</f>
        <v>23</v>
      </c>
      <c r="CC528" s="645">
        <f t="shared" ref="CC528:CC538" si="159">IF(CC529-1&lt;1,CC529+11,CC529-1)</f>
        <v>10</v>
      </c>
    </row>
    <row r="529" spans="61:81" ht="15" customHeight="1">
      <c r="BI529" s="638" t="s">
        <v>321</v>
      </c>
      <c r="BJ529" s="638">
        <v>2</v>
      </c>
      <c r="BK529" s="638" t="s">
        <v>320</v>
      </c>
      <c r="BL529" s="825">
        <f t="shared" ref="BL529:BL539" si="160">IF(BM510="","",BM510)</f>
        <v>3.5000000000000003E-2</v>
      </c>
      <c r="BM529" s="860">
        <v>9.6000000000000002E-2</v>
      </c>
      <c r="BN529" s="653">
        <f t="shared" ref="BN529:BN539" si="161">IF(BM529="","",BL529/BM529)</f>
        <v>0.36458333333333337</v>
      </c>
      <c r="BO529" s="855"/>
      <c r="BP529" s="821">
        <v>0.3</v>
      </c>
      <c r="BQ529" s="846" t="str">
        <f t="shared" ref="BQ529:BQ538" si="162">IF(BR510="","",BR510)</f>
        <v/>
      </c>
      <c r="BR529" s="822"/>
      <c r="BS529" s="653" t="str">
        <f t="shared" ref="BS529:BS539" si="163">IF(BR529="","",BQ529/BR529)</f>
        <v/>
      </c>
      <c r="BT529" s="854"/>
      <c r="BU529" s="821">
        <v>0.3</v>
      </c>
      <c r="BX529" s="666" t="str">
        <f t="shared" si="158"/>
        <v>Nov</v>
      </c>
      <c r="BY529" s="643">
        <f>IF(CB529=$CB540,SUMIF($BI528:$BI539,$BX529,$BR528:$BR539),SUMIF($BI528:$BI539,$BX529,$BM528:$BM539))</f>
        <v>9.6000000000000002E-2</v>
      </c>
      <c r="BZ529" s="821">
        <f>IF(IF(CB529=CB540,SUMIF(BI528:BI539,$BX529,BU528:BU539),SUMIF(BI528:BI539,$BX529,BP528:BP539))=0,NA(),IF(CB529=CB540,SUMIF(BI528:BI539,$BX529,BU528:BU539),SUMIF(BI528:BI539,$BX529,BP528:BP539)))</f>
        <v>0.3</v>
      </c>
      <c r="CA529" s="640">
        <f>IF(IF(CB529=CB540,SUMIF(BI528:BI539,$BX529,BS528:BS539),SUMIF(BI528:BI539,$BX529,BN528:BN539))=0,NA(),IF(CB529=CB540,SUMIF(BI528:BI539,$BX529,BS528:BS539),SUMIF(BI528:BI539,$BX529,BN528:BN539)))</f>
        <v>0.36458333333333337</v>
      </c>
      <c r="CB529" s="645">
        <f t="shared" ref="CB529:CB540" si="164">CB510</f>
        <v>23</v>
      </c>
      <c r="CC529" s="645">
        <f t="shared" si="159"/>
        <v>11</v>
      </c>
    </row>
    <row r="530" spans="61:81" ht="15" customHeight="1">
      <c r="BI530" s="638" t="s">
        <v>322</v>
      </c>
      <c r="BJ530" s="638">
        <v>3</v>
      </c>
      <c r="BK530" s="638" t="s">
        <v>320</v>
      </c>
      <c r="BL530" s="825">
        <f t="shared" si="160"/>
        <v>5.8000000000000003E-2</v>
      </c>
      <c r="BM530" s="860">
        <v>0.25800000000000001</v>
      </c>
      <c r="BN530" s="653">
        <f t="shared" si="161"/>
        <v>0.22480620155038761</v>
      </c>
      <c r="BO530" s="855"/>
      <c r="BP530" s="821">
        <v>0.3</v>
      </c>
      <c r="BQ530" s="846" t="str">
        <f t="shared" si="162"/>
        <v/>
      </c>
      <c r="BR530" s="822"/>
      <c r="BS530" s="653" t="str">
        <f t="shared" si="163"/>
        <v/>
      </c>
      <c r="BT530" s="854"/>
      <c r="BU530" s="821">
        <v>0.3</v>
      </c>
      <c r="BX530" s="666" t="str">
        <f t="shared" si="158"/>
        <v>Dec</v>
      </c>
      <c r="BY530" s="643">
        <f>IF(CB530=$CB540,SUMIF($BI528:$BI539,$BX530,$BR528:$BR539),SUMIF($BI528:$BI539,$BX530,$BM528:$BM539))</f>
        <v>0.25800000000000001</v>
      </c>
      <c r="BZ530" s="821">
        <f>IF(IF(CB530=CB540,SUMIF(BI528:BI539,$BX530,BU528:BU539),SUMIF(BI528:BI539,$BX530,BP528:BP539))=0,NA(),IF(CB530=CB540,SUMIF(BI528:BI539,$BX530,BU528:BU539),SUMIF(BI528:BI539,$BX530,BP528:BP539)))</f>
        <v>0.3</v>
      </c>
      <c r="CA530" s="640">
        <f>IF(IF(CB530=CB540,SUMIF(BI528:BI539,$BX530,BS528:BS539),SUMIF(BI528:BI539,$BX530,BN528:BN539))=0,NA(),IF(CB530=CB540,SUMIF(BI528:BI539,$BX530,BS528:BS539),SUMIF(BI528:BI539,$BX530,BN528:BN539)))</f>
        <v>0.22480620155038761</v>
      </c>
      <c r="CB530" s="645">
        <f t="shared" si="164"/>
        <v>23</v>
      </c>
      <c r="CC530" s="645">
        <f t="shared" si="159"/>
        <v>12</v>
      </c>
    </row>
    <row r="531" spans="61:81" ht="15" customHeight="1">
      <c r="BI531" s="638" t="s">
        <v>323</v>
      </c>
      <c r="BJ531" s="638">
        <v>4</v>
      </c>
      <c r="BK531" s="638" t="s">
        <v>324</v>
      </c>
      <c r="BL531" s="825">
        <f t="shared" si="160"/>
        <v>1.7000000000000001E-2</v>
      </c>
      <c r="BM531" s="860">
        <v>7.1999999999999995E-2</v>
      </c>
      <c r="BN531" s="653">
        <f t="shared" si="161"/>
        <v>0.23611111111111113</v>
      </c>
      <c r="BO531" s="289">
        <f>IF(SUM(BM531:BM533=0),0,SUM(BL531:BL533)/SUM(BM531:BM533))</f>
        <v>0.28224687933425802</v>
      </c>
      <c r="BP531" s="821">
        <v>0.3</v>
      </c>
      <c r="BQ531" s="846" t="str">
        <f t="shared" si="162"/>
        <v/>
      </c>
      <c r="BR531" s="822"/>
      <c r="BS531" s="653" t="str">
        <f t="shared" si="163"/>
        <v/>
      </c>
      <c r="BT531" s="289">
        <f>IF(SUM(BR531:BR533=0),0,SUM(BQ531:BQ533)/SUM(BR531:BR533))</f>
        <v>0</v>
      </c>
      <c r="BU531" s="821">
        <v>0.3</v>
      </c>
      <c r="BX531" s="666" t="str">
        <f t="shared" si="158"/>
        <v>Jan</v>
      </c>
      <c r="BY531" s="643">
        <f>IF(CB531=$CB540,SUMIF($BI528:$BI539,$BX531,$BR528:$BR539),SUMIF($BI528:$BI539,$BX531,$BM528:$BM539))</f>
        <v>7.1999999999999995E-2</v>
      </c>
      <c r="BZ531" s="821">
        <f>IF(IF(CB531=CB540,SUMIF(BI528:BI539,$BX531,BU528:BU539),SUMIF(BI528:BI539,$BX531,BP528:BP539))=0,NA(),IF(CB531=CB540,SUMIF(BI528:BI539,$BX531,BU528:BU539),SUMIF(BI528:BI539,$BX531,BP528:BP539)))</f>
        <v>0.3</v>
      </c>
      <c r="CA531" s="640">
        <f>IF(IF(CB531=CB540,SUMIF(BI528:BI539,$BX531,BS528:BS539),SUMIF(BI528:BI539,$BX531,BN528:BN539))=0,NA(),IF(CB531=CB540,SUMIF(BI528:BI539,$BX531,BS528:BS539),SUMIF(BI528:BI539,$BX531,BN528:BN539)))</f>
        <v>0.23611111111111113</v>
      </c>
      <c r="CB531" s="645">
        <f t="shared" si="164"/>
        <v>23</v>
      </c>
      <c r="CC531" s="645">
        <f t="shared" si="159"/>
        <v>1</v>
      </c>
    </row>
    <row r="532" spans="61:81" ht="15" customHeight="1">
      <c r="BI532" s="638" t="s">
        <v>325</v>
      </c>
      <c r="BJ532" s="638">
        <v>5</v>
      </c>
      <c r="BK532" s="638" t="s">
        <v>324</v>
      </c>
      <c r="BL532" s="825">
        <f t="shared" si="160"/>
        <v>0.17</v>
      </c>
      <c r="BM532" s="859">
        <v>0.53</v>
      </c>
      <c r="BN532" s="653">
        <f t="shared" si="161"/>
        <v>0.32075471698113206</v>
      </c>
      <c r="BO532" s="855"/>
      <c r="BP532" s="821">
        <v>0.3</v>
      </c>
      <c r="BQ532" s="846" t="str">
        <f t="shared" si="162"/>
        <v/>
      </c>
      <c r="BR532" s="690"/>
      <c r="BS532" s="653" t="str">
        <f t="shared" si="163"/>
        <v/>
      </c>
      <c r="BT532" s="854"/>
      <c r="BU532" s="821">
        <v>0.3</v>
      </c>
      <c r="BX532" s="666" t="str">
        <f t="shared" si="158"/>
        <v>Feb</v>
      </c>
      <c r="BY532" s="643">
        <f>IF(CB532=$CB540,SUMIF($BI528:$BI539,$BX532,$BR528:$BR539),SUMIF($BI528:$BI539,$BX532,$BM528:$BM539))</f>
        <v>0.53</v>
      </c>
      <c r="BZ532" s="821">
        <f>IF(IF(CB532=CB540,SUMIF(BI528:BI539,$BX532,BU528:BU539),SUMIF(BI528:BI539,$BX532,BP528:BP539))=0,NA(),IF(CB532=CB540,SUMIF(BI528:BI539,$BX532,BU528:BU539),SUMIF(BI528:BI539,$BX532,BP528:BP539)))</f>
        <v>0.3</v>
      </c>
      <c r="CA532" s="640">
        <f>IF(IF(CB532=CB540,SUMIF(BI528:BI539,$BX532,BS528:BS539),SUMIF(BI528:BI539,$BX532,BN528:BN539))=0,NA(),IF(CB532=CB540,SUMIF(BI528:BI539,$BX532,BS528:BS539),SUMIF(BI528:BI539,$BX532,BN528:BN539)))</f>
        <v>0.32075471698113206</v>
      </c>
      <c r="CB532" s="645">
        <f t="shared" si="164"/>
        <v>23</v>
      </c>
      <c r="CC532" s="645">
        <f t="shared" si="159"/>
        <v>2</v>
      </c>
    </row>
    <row r="533" spans="61:81" ht="15" customHeight="1">
      <c r="BI533" s="638" t="s">
        <v>326</v>
      </c>
      <c r="BJ533" s="638">
        <v>6</v>
      </c>
      <c r="BK533" s="638" t="s">
        <v>324</v>
      </c>
      <c r="BL533" s="825">
        <f t="shared" si="160"/>
        <v>0.22</v>
      </c>
      <c r="BM533" s="859">
        <v>0.84</v>
      </c>
      <c r="BN533" s="653">
        <f t="shared" si="161"/>
        <v>0.26190476190476192</v>
      </c>
      <c r="BO533" s="855"/>
      <c r="BP533" s="821">
        <v>0.3</v>
      </c>
      <c r="BQ533" s="846" t="str">
        <f t="shared" si="162"/>
        <v/>
      </c>
      <c r="BR533" s="690"/>
      <c r="BS533" s="653" t="str">
        <f t="shared" si="163"/>
        <v/>
      </c>
      <c r="BT533" s="854"/>
      <c r="BU533" s="821">
        <v>0.3</v>
      </c>
      <c r="BX533" s="666" t="str">
        <f t="shared" si="158"/>
        <v>Mar</v>
      </c>
      <c r="BY533" s="643">
        <f>IF(CB533=$CB540,SUMIF($BI528:$BI539,$BX533,$BR528:$BR539),SUMIF($BI528:$BI539,$BX533,$BM528:$BM539))</f>
        <v>0.84</v>
      </c>
      <c r="BZ533" s="821">
        <f>IF(IF(CB533=CB540,SUMIF(BI528:BI539,$BX533,BU528:BU539),SUMIF(BI528:BI539,$BX533,BP528:BP539))=0,NA(),IF(CB533=CB540,SUMIF(BI528:BI539,$BX533,BU528:BU539),SUMIF(BI528:BI539,$BX533,BP528:BP539)))</f>
        <v>0.3</v>
      </c>
      <c r="CA533" s="640">
        <f>IF(IF(CB533=CB540,SUMIF(BI528:BI539,$BX533,BS528:BS539),SUMIF(BI528:BI539,$BX533,BN528:BN539))=0,NA(),IF(CB533=CB540,SUMIF(BI528:BI539,$BX533,BS528:BS539),SUMIF(BI528:BI539,$BX533,BN528:BN539)))</f>
        <v>0.26190476190476192</v>
      </c>
      <c r="CB533" s="645">
        <f t="shared" si="164"/>
        <v>23</v>
      </c>
      <c r="CC533" s="645">
        <f t="shared" si="159"/>
        <v>3</v>
      </c>
    </row>
    <row r="534" spans="61:81" ht="15" customHeight="1">
      <c r="BI534" s="638" t="s">
        <v>327</v>
      </c>
      <c r="BJ534" s="638">
        <v>7</v>
      </c>
      <c r="BK534" s="638" t="s">
        <v>328</v>
      </c>
      <c r="BL534" s="825">
        <f t="shared" si="160"/>
        <v>0.2</v>
      </c>
      <c r="BM534" s="859">
        <v>0.56000000000000005</v>
      </c>
      <c r="BN534" s="653">
        <f t="shared" si="161"/>
        <v>0.35714285714285715</v>
      </c>
      <c r="BO534" s="289">
        <f>IF(SUM(BM534:BM536=0),0,SUM(BL534:BL536)/SUM(BM534:BM536))</f>
        <v>0.26153846153846155</v>
      </c>
      <c r="BP534" s="821">
        <v>0.3</v>
      </c>
      <c r="BQ534" s="846" t="str">
        <f t="shared" si="162"/>
        <v/>
      </c>
      <c r="BR534" s="690"/>
      <c r="BS534" s="653" t="str">
        <f t="shared" si="163"/>
        <v/>
      </c>
      <c r="BT534" s="289">
        <f>IF(SUM(BR534:BR536=0),0,SUM(BQ534:BQ536)/SUM(BR534:BR536))</f>
        <v>0</v>
      </c>
      <c r="BU534" s="821">
        <v>0.3</v>
      </c>
      <c r="BX534" s="666" t="str">
        <f t="shared" si="158"/>
        <v>Apr</v>
      </c>
      <c r="BY534" s="643">
        <f>IF(CB534=$CB540,SUMIF($BI528:$BI539,$BX534,$BR528:$BR539),SUMIF($BI528:$BI539,$BX534,$BM528:$BM539))</f>
        <v>0.56000000000000005</v>
      </c>
      <c r="BZ534" s="821">
        <f>IF(IF(CB534=CB540,SUMIF(BI528:BI539,$BX534,BU528:BU539),SUMIF(BI528:BI539,$BX534,BP528:BP539))=0,NA(),IF(CB534=CB540,SUMIF(BI528:BI539,$BX534,BU528:BU539),SUMIF(BI528:BI539,$BX534,BP528:BP539)))</f>
        <v>0.3</v>
      </c>
      <c r="CA534" s="640">
        <f>IF(IF(CB534=CB540,SUMIF(BI528:BI539,$BX534,BS528:BS539),SUMIF(BI528:BI539,$BX534,BN528:BN539))=0,NA(),IF(CB534=CB540,SUMIF(BI528:BI539,$BX534,BS528:BS539),SUMIF(BI528:BI539,$BX534,BN528:BN539)))</f>
        <v>0.35714285714285715</v>
      </c>
      <c r="CB534" s="645">
        <f t="shared" si="164"/>
        <v>23</v>
      </c>
      <c r="CC534" s="645">
        <f t="shared" si="159"/>
        <v>4</v>
      </c>
    </row>
    <row r="535" spans="61:81" ht="15" customHeight="1">
      <c r="BI535" s="638" t="s">
        <v>329</v>
      </c>
      <c r="BJ535" s="638">
        <v>8</v>
      </c>
      <c r="BK535" s="638" t="s">
        <v>328</v>
      </c>
      <c r="BL535" s="825">
        <f t="shared" si="160"/>
        <v>0.09</v>
      </c>
      <c r="BM535" s="859">
        <v>0.36</v>
      </c>
      <c r="BN535" s="653">
        <f t="shared" si="161"/>
        <v>0.25</v>
      </c>
      <c r="BO535" s="855"/>
      <c r="BP535" s="821">
        <v>0.3</v>
      </c>
      <c r="BQ535" s="846" t="str">
        <f t="shared" si="162"/>
        <v/>
      </c>
      <c r="BR535" s="690"/>
      <c r="BS535" s="653" t="str">
        <f t="shared" si="163"/>
        <v/>
      </c>
      <c r="BT535" s="854"/>
      <c r="BU535" s="821">
        <v>0.3</v>
      </c>
      <c r="BX535" s="666" t="str">
        <f t="shared" si="158"/>
        <v>May</v>
      </c>
      <c r="BY535" s="643">
        <f>IF(CB535=$CB540,SUMIF($BI528:$BI539,$BX535,$BR528:$BR539),SUMIF($BI528:$BI539,$BX535,$BM528:$BM539))</f>
        <v>0.36</v>
      </c>
      <c r="BZ535" s="821">
        <f>IF(IF(CB535=CB540,SUMIF(BI528:BI539,$BX535,BU528:BU539),SUMIF(BI528:BI539,$BX535,BP528:BP539))=0,NA(),IF(CB535=CB540,SUMIF(BI528:BI539,$BX535,BU528:BU539),SUMIF(BI528:BI539,$BX535,BP528:BP539)))</f>
        <v>0.3</v>
      </c>
      <c r="CA535" s="640">
        <f>IF(IF(CB535=CB540,SUMIF(BI528:BI539,$BX535,BS528:BS539),SUMIF(BI528:BI539,$BX535,BN528:BN539))=0,NA(),IF(CB535=CB540,SUMIF(BI528:BI539,$BX535,BS528:BS539),SUMIF(BI528:BI539,$BX535,BN528:BN539)))</f>
        <v>0.25</v>
      </c>
      <c r="CB535" s="645">
        <f t="shared" si="164"/>
        <v>23</v>
      </c>
      <c r="CC535" s="645">
        <f t="shared" si="159"/>
        <v>5</v>
      </c>
    </row>
    <row r="536" spans="61:81" ht="15" customHeight="1">
      <c r="BI536" s="638" t="s">
        <v>331</v>
      </c>
      <c r="BJ536" s="638">
        <v>9</v>
      </c>
      <c r="BK536" s="638" t="s">
        <v>328</v>
      </c>
      <c r="BL536" s="825">
        <f t="shared" si="160"/>
        <v>0.05</v>
      </c>
      <c r="BM536" s="859">
        <v>0.38</v>
      </c>
      <c r="BN536" s="653">
        <f t="shared" si="161"/>
        <v>0.13157894736842105</v>
      </c>
      <c r="BO536" s="855"/>
      <c r="BP536" s="821">
        <v>0.3</v>
      </c>
      <c r="BQ536" s="846" t="str">
        <f t="shared" si="162"/>
        <v/>
      </c>
      <c r="BR536" s="690"/>
      <c r="BS536" s="653" t="str">
        <f t="shared" si="163"/>
        <v/>
      </c>
      <c r="BT536" s="854"/>
      <c r="BU536" s="821">
        <v>0.3</v>
      </c>
      <c r="BX536" s="666" t="str">
        <f t="shared" si="158"/>
        <v>Jun</v>
      </c>
      <c r="BY536" s="643">
        <f>IF(CB536=$CB540,SUMIF($BI528:$BI539,$BX536,$BR528:$BR539),SUMIF($BI528:$BI539,$BX536,$BM528:$BM539))</f>
        <v>0.38</v>
      </c>
      <c r="BZ536" s="821">
        <f>IF(IF(CB536=CB540,SUMIF(BI528:BI539,$BX536,BU528:BU539),SUMIF(BI528:BI539,$BX536,BP528:BP539))=0,NA(),IF(CB536=CB540,SUMIF(BI528:BI539,$BX536,BU528:BU539),SUMIF(BI528:BI539,$BX536,BP528:BP539)))</f>
        <v>0.3</v>
      </c>
      <c r="CA536" s="640">
        <f>IF(IF(CB536=CB540,SUMIF(BI528:BI539,$BX536,BS528:BS539),SUMIF(BI528:BI539,$BX536,BN528:BN539))=0,NA(),IF(CB536=CB540,SUMIF(BI528:BI539,$BX536,BS528:BS539),SUMIF(BI528:BI539,$BX536,BN528:BN539)))</f>
        <v>0.13157894736842105</v>
      </c>
      <c r="CB536" s="645">
        <f t="shared" si="164"/>
        <v>23</v>
      </c>
      <c r="CC536" s="645">
        <f t="shared" si="159"/>
        <v>6</v>
      </c>
    </row>
    <row r="537" spans="61:81" ht="15" customHeight="1">
      <c r="BI537" s="638" t="s">
        <v>337</v>
      </c>
      <c r="BJ537" s="638">
        <v>10</v>
      </c>
      <c r="BK537" s="638" t="s">
        <v>338</v>
      </c>
      <c r="BL537" s="825">
        <f t="shared" si="160"/>
        <v>0.04</v>
      </c>
      <c r="BM537" s="859">
        <v>0.13</v>
      </c>
      <c r="BN537" s="653">
        <f t="shared" si="161"/>
        <v>0.30769230769230771</v>
      </c>
      <c r="BO537" s="289">
        <f>IF(SUM(BM537:BM539=0),0,SUM(BL537:BL539)/SUM(BM537:BM539))</f>
        <v>0.26</v>
      </c>
      <c r="BP537" s="821">
        <v>0.3</v>
      </c>
      <c r="BQ537" s="846" t="str">
        <f t="shared" si="162"/>
        <v/>
      </c>
      <c r="BR537" s="690"/>
      <c r="BS537" s="653" t="str">
        <f t="shared" si="163"/>
        <v/>
      </c>
      <c r="BT537" s="289">
        <f>IF(SUM(BR537:BR539=0),0,SUM(BQ537:BQ539)/SUM(BR537:BR539))</f>
        <v>0</v>
      </c>
      <c r="BU537" s="821">
        <v>0.3</v>
      </c>
      <c r="BX537" s="666" t="str">
        <f t="shared" si="158"/>
        <v>Jul</v>
      </c>
      <c r="BY537" s="643">
        <f>IF(CB537=$CB540,SUMIF($BI528:$BI539,$BX537,$BR528:$BR539),SUMIF($BI528:$BI539,$BX537,$BM528:$BM539))</f>
        <v>0.13</v>
      </c>
      <c r="BZ537" s="821">
        <f>IF(IF(CB537=CB540,SUMIF(BI528:BI539,$BX537,BU528:BU539),SUMIF(BI528:BI539,$BX537,BP528:BP539))=0,NA(),IF(CB537=CB540,SUMIF(BI528:BI539,$BX537,BU528:BU539),SUMIF(BI528:BI539,$BX537,BP528:BP539)))</f>
        <v>0.3</v>
      </c>
      <c r="CA537" s="640">
        <f>IF(IF(CB537=CB540,SUMIF(BI528:BI539,$BX537,BS528:BS539),SUMIF(BI528:BI539,$BX537,BN528:BN539))=0,NA(),IF(CB537=CB540,SUMIF(BI528:BI539,$BX537,BS528:BS539),SUMIF(BI528:BI539,$BX537,BN528:BN539)))</f>
        <v>0.30769230769230771</v>
      </c>
      <c r="CB537" s="645">
        <f t="shared" si="164"/>
        <v>23</v>
      </c>
      <c r="CC537" s="645">
        <f t="shared" si="159"/>
        <v>7</v>
      </c>
    </row>
    <row r="538" spans="61:81" ht="15" customHeight="1">
      <c r="BI538" s="638" t="s">
        <v>343</v>
      </c>
      <c r="BJ538" s="638">
        <v>11</v>
      </c>
      <c r="BK538" s="638" t="s">
        <v>338</v>
      </c>
      <c r="BL538" s="825">
        <f t="shared" si="160"/>
        <v>0.03</v>
      </c>
      <c r="BM538" s="859">
        <v>0.1</v>
      </c>
      <c r="BN538" s="653">
        <f t="shared" si="161"/>
        <v>0.3</v>
      </c>
      <c r="BO538" s="855"/>
      <c r="BP538" s="821">
        <v>0.3</v>
      </c>
      <c r="BQ538" s="846" t="str">
        <f t="shared" si="162"/>
        <v/>
      </c>
      <c r="BR538" s="690"/>
      <c r="BS538" s="653" t="str">
        <f t="shared" si="163"/>
        <v/>
      </c>
      <c r="BT538" s="854"/>
      <c r="BU538" s="821">
        <v>0.3</v>
      </c>
      <c r="BX538" s="666" t="str">
        <f t="shared" si="158"/>
        <v>Aug</v>
      </c>
      <c r="BY538" s="643">
        <f>IF(CB538=$CB540,SUMIF($BI528:$BI539,$BX538,$BR528:$BR539),SUMIF($BI528:$BI539,$BX538,$BM528:$BM539))</f>
        <v>0.1</v>
      </c>
      <c r="BZ538" s="821">
        <f>IF(IF(CB538=CB540,SUMIF(BI528:BI539,$BX538,BU528:BU539),SUMIF(BI528:BI539,$BX538,BP528:BP539))=0,NA(),IF(CB538=CB540,SUMIF(BI528:BI539,$BX538,BU528:BU539),SUMIF(BI528:BI539,$BX538,BP528:BP539)))</f>
        <v>0.3</v>
      </c>
      <c r="CA538" s="640">
        <f>IF(IF(CB538=CB540,SUMIF(BI528:BI539,$BX538,BS528:BS539),SUMIF(BI528:BI539,$BX538,BN528:BN539))=0,NA(),IF(CB538=CB540,SUMIF(BI528:BI539,$BX538,BS528:BS539),SUMIF(BI528:BI539,$BX538,BN528:BN539)))</f>
        <v>0.3</v>
      </c>
      <c r="CB538" s="645">
        <f t="shared" si="164"/>
        <v>23</v>
      </c>
      <c r="CC538" s="645">
        <f t="shared" si="159"/>
        <v>8</v>
      </c>
    </row>
    <row r="539" spans="61:81" ht="15" customHeight="1">
      <c r="BI539" s="638" t="s">
        <v>344</v>
      </c>
      <c r="BJ539" s="638">
        <v>12</v>
      </c>
      <c r="BK539" s="638" t="s">
        <v>338</v>
      </c>
      <c r="BL539" s="825">
        <f t="shared" si="160"/>
        <v>0.06</v>
      </c>
      <c r="BM539" s="859">
        <v>0.27</v>
      </c>
      <c r="BN539" s="653">
        <f t="shared" si="161"/>
        <v>0.22222222222222221</v>
      </c>
      <c r="BO539" s="855"/>
      <c r="BP539" s="821">
        <v>0.3</v>
      </c>
      <c r="BQ539" s="846" t="str">
        <f>IF(BR520="","",BR520)</f>
        <v/>
      </c>
      <c r="BR539" s="690"/>
      <c r="BS539" s="653" t="str">
        <f t="shared" si="163"/>
        <v/>
      </c>
      <c r="BT539" s="854"/>
      <c r="BU539" s="821">
        <v>0.3</v>
      </c>
      <c r="BX539" s="666" t="str">
        <f t="shared" si="158"/>
        <v>Sep</v>
      </c>
      <c r="BY539" s="643">
        <f>IF(CB539=$CB540,SUMIF($BI528:$BI539,$BX539,$BR528:$BR539),SUMIF($BI528:$BI539,$BX539,$BM528:$BM539))</f>
        <v>0.27</v>
      </c>
      <c r="BZ539" s="821">
        <f>IF(IF(CB539=CB540,SUMIF(BI528:BI539,$BX539,BU528:BU539),SUMIF(BI528:BI539,$BX539,BP528:BP539))=0,NA(),IF(CB539=CB540,SUMIF(BI528:BI539,$BX539,BU528:BU539),SUMIF(BI528:BI539,$BX539,BP528:BP539)))</f>
        <v>0.3</v>
      </c>
      <c r="CA539" s="640">
        <f>IF(IF(CB539=CB540,SUMIF(BI528:BI539,$BX539,BS528:BS539),SUMIF(BI528:BI539,$BX539,BN528:BN539))=0,NA(),IF(CB539=CB540,SUMIF(BI528:BI539,$BX539,BS528:BS539),SUMIF(BI528:BI539,$BX539,BN528:BN539)))</f>
        <v>0.22222222222222221</v>
      </c>
      <c r="CB539" s="645">
        <f t="shared" si="164"/>
        <v>23</v>
      </c>
      <c r="CC539" s="645">
        <f>IF(CC540-1&lt;1,CC540+11,CC540-1)</f>
        <v>9</v>
      </c>
    </row>
    <row r="540" spans="61:81" ht="15" customHeight="1">
      <c r="BJ540" s="277"/>
      <c r="BK540" s="277"/>
      <c r="BL540" s="277"/>
      <c r="BM540" s="277"/>
      <c r="BN540" s="698" t="str">
        <f t="shared" ref="BN540" si="165">IFERROR(BL540/BM540,"")</f>
        <v/>
      </c>
      <c r="BO540" s="277"/>
      <c r="BP540" s="277"/>
      <c r="BQ540" s="277"/>
      <c r="BR540" s="277"/>
      <c r="BS540" s="277"/>
      <c r="BT540" s="277"/>
      <c r="BW540" s="667" t="str">
        <f>Cover!$M$34</f>
        <v>OCT FY-24</v>
      </c>
      <c r="BX540" s="666" t="str">
        <f>TEXT(CONCATENATE(CC540,"/01/20",CB540),"MMM")</f>
        <v>Oct</v>
      </c>
      <c r="BY540" s="643">
        <f>SUMIF($BI528:$BI539,$BX540,$BR528:$BR539)</f>
        <v>0.18</v>
      </c>
      <c r="BZ540" s="821">
        <f>IF(IF(CB540=CB540,SUMIF(BI528:BI539,$BX540,BU528:BU539),SUMIF(BI528:BI539,$BX540,BP528:BP539))=0,NA(),IF(CB540=CB540,SUMIF(BI528:BI539,$BX540,BU528:BU539),SUMIF(BI528:BI539,$BX540,BP528:BP539)))</f>
        <v>0.3</v>
      </c>
      <c r="CA540" s="676">
        <f>IF(SUMIF($BI528:$BI539,$BX540,$BS528:$BS539)=0,NA(),SUMIF($BI528:$BI539,$BX540,$BS528:$BS539))</f>
        <v>0.22222222222222224</v>
      </c>
      <c r="CB540" s="645">
        <f t="shared" si="164"/>
        <v>24</v>
      </c>
      <c r="CC540" s="645">
        <f>MONTH(DATEVALUE(LEFT(BW540,3)&amp;" 1"))</f>
        <v>10</v>
      </c>
    </row>
    <row r="542" spans="61:81" ht="15" customHeight="1">
      <c r="BI542" s="54" t="s">
        <v>292</v>
      </c>
      <c r="BJ542" s="1116" t="s">
        <v>465</v>
      </c>
      <c r="BK542" s="1116"/>
      <c r="BL542" s="1116"/>
      <c r="BM542" s="1116"/>
      <c r="BN542" s="1116"/>
      <c r="BO542" s="1116"/>
      <c r="BP542" s="1116"/>
      <c r="BQ542" s="1116"/>
      <c r="BR542" s="1116"/>
      <c r="BS542" s="1116"/>
      <c r="BT542" s="1116"/>
      <c r="BU542" s="1116"/>
      <c r="BY542" s="270"/>
      <c r="BZ542" s="270"/>
      <c r="CA542" s="270"/>
      <c r="CB542" s="270"/>
      <c r="CC542" s="270"/>
    </row>
    <row r="543" spans="61:81" ht="15" customHeight="1">
      <c r="BI543" s="54" t="s">
        <v>296</v>
      </c>
      <c r="BJ543" s="283" t="s">
        <v>472</v>
      </c>
      <c r="BK543" s="283"/>
      <c r="BL543" s="283"/>
      <c r="BM543" s="283"/>
      <c r="BN543" s="283"/>
      <c r="BO543" s="283"/>
      <c r="BP543" s="283"/>
      <c r="BQ543" s="283"/>
      <c r="BR543" s="283"/>
      <c r="BS543" s="283"/>
      <c r="BT543" s="283"/>
      <c r="BU543" s="283"/>
      <c r="BW543" s="270"/>
      <c r="BX543" s="270"/>
    </row>
    <row r="544" spans="61:81" ht="15" customHeight="1">
      <c r="BI544" s="54" t="s">
        <v>300</v>
      </c>
      <c r="BJ544" s="283" t="s">
        <v>473</v>
      </c>
      <c r="BK544" s="283"/>
      <c r="BL544" s="283"/>
      <c r="BM544" s="283"/>
      <c r="BN544" s="283"/>
      <c r="BO544" s="283"/>
      <c r="BP544" s="283"/>
      <c r="BQ544" s="283"/>
      <c r="BR544" s="283"/>
      <c r="BS544" s="283"/>
      <c r="BT544" s="283"/>
      <c r="BU544" s="283"/>
      <c r="BY544" s="270"/>
      <c r="BZ544" s="270"/>
      <c r="CA544" s="270"/>
      <c r="CB544" s="270"/>
      <c r="CC544" s="270"/>
    </row>
    <row r="545" spans="61:81" ht="15" customHeight="1" thickBot="1">
      <c r="BI545" s="54"/>
      <c r="BJ545" s="292"/>
      <c r="BK545" s="292"/>
      <c r="BL545" s="292"/>
      <c r="BM545" s="292"/>
      <c r="BN545" s="292"/>
      <c r="BO545" s="292"/>
      <c r="BP545" s="292"/>
      <c r="BQ545" s="292"/>
      <c r="BR545" s="292"/>
      <c r="BS545" s="292"/>
      <c r="BT545" s="292"/>
      <c r="BU545" s="292"/>
      <c r="BY545" s="270"/>
      <c r="BZ545" s="270"/>
      <c r="CA545" s="270"/>
      <c r="CB545" s="270"/>
      <c r="CC545" s="270"/>
    </row>
    <row r="546" spans="61:81" ht="15" customHeight="1" thickBot="1">
      <c r="BI546" s="1402" t="s">
        <v>455</v>
      </c>
      <c r="BJ546" s="1403"/>
      <c r="BK546" s="1404"/>
      <c r="BL546" s="1402" t="s">
        <v>302</v>
      </c>
      <c r="BM546" s="1403"/>
      <c r="BN546" s="1403"/>
      <c r="BO546" s="1403"/>
      <c r="BP546" s="1404"/>
      <c r="BQ546" s="1402" t="s">
        <v>719</v>
      </c>
      <c r="BR546" s="1403"/>
      <c r="BS546" s="1403"/>
      <c r="BT546" s="1403"/>
      <c r="BU546" s="1404"/>
      <c r="BW546" s="1402" t="s">
        <v>303</v>
      </c>
      <c r="BX546" s="1403"/>
      <c r="BY546" s="1403"/>
      <c r="BZ546" s="1403"/>
      <c r="CA546" s="1403"/>
      <c r="CB546" s="1403"/>
      <c r="CC546" s="1404"/>
    </row>
    <row r="547" spans="61:81" ht="15" customHeight="1">
      <c r="BI547" s="636" t="s">
        <v>23</v>
      </c>
      <c r="BJ547" s="636" t="s">
        <v>37</v>
      </c>
      <c r="BK547" s="636" t="s">
        <v>304</v>
      </c>
      <c r="BL547" s="637" t="s">
        <v>305</v>
      </c>
      <c r="BM547" s="637" t="s">
        <v>310</v>
      </c>
      <c r="BN547" s="637" t="s">
        <v>311</v>
      </c>
      <c r="BO547" s="278" t="s">
        <v>312</v>
      </c>
      <c r="BP547" s="637" t="s">
        <v>313</v>
      </c>
      <c r="BQ547" s="637" t="s">
        <v>305</v>
      </c>
      <c r="BR547" s="637" t="s">
        <v>715</v>
      </c>
      <c r="BS547" s="637" t="s">
        <v>716</v>
      </c>
      <c r="BT547" s="278" t="s">
        <v>717</v>
      </c>
      <c r="BU547" s="637" t="s">
        <v>718</v>
      </c>
      <c r="BW547" s="279" t="s">
        <v>314</v>
      </c>
      <c r="BX547" s="279" t="s">
        <v>23</v>
      </c>
      <c r="BY547" s="280" t="s">
        <v>315</v>
      </c>
      <c r="BZ547" s="279" t="s">
        <v>122</v>
      </c>
      <c r="CA547" s="279" t="s">
        <v>316</v>
      </c>
      <c r="CB547" s="279" t="s">
        <v>317</v>
      </c>
      <c r="CC547" s="279" t="s">
        <v>318</v>
      </c>
    </row>
    <row r="548" spans="61:81" ht="15" customHeight="1">
      <c r="BI548" s="638" t="s">
        <v>319</v>
      </c>
      <c r="BJ548" s="638">
        <v>1</v>
      </c>
      <c r="BK548" s="638" t="s">
        <v>320</v>
      </c>
      <c r="BL548" s="857">
        <f>IF(BN548="","",BM548*BN548)</f>
        <v>1.9687500000000001E-5</v>
      </c>
      <c r="BM548" s="858">
        <v>6.3E-2</v>
      </c>
      <c r="BN548" s="847">
        <v>3.1250000000000001E-4</v>
      </c>
      <c r="BO548" s="849">
        <f>IF(SUM(BM548:BM550=0),0,SUM(BL548:BL550)/SUM(BM548:BM550))</f>
        <v>3.4647282174260589E-4</v>
      </c>
      <c r="BP548" s="851">
        <v>6.9444444444444447E-4</v>
      </c>
      <c r="BQ548" s="857">
        <f>IF(BR548="","",BS548*BR548)</f>
        <v>1.5347222222222224E-4</v>
      </c>
      <c r="BR548" s="689">
        <v>0.26</v>
      </c>
      <c r="BS548" s="847">
        <v>5.9027777777777778E-4</v>
      </c>
      <c r="BT548" s="849">
        <f>IF(SUM(BR548:BR550=0),0,SUM(BQ548:BQ550)/SUM(BR548:BR550))</f>
        <v>5.9027777777777778E-4</v>
      </c>
      <c r="BU548" s="851">
        <v>6.9444444444444447E-4</v>
      </c>
      <c r="BX548" s="666" t="str">
        <f t="shared" ref="BX548:BX559" si="166">TEXT(CONCATENATE(CC548,"/01/20",CB548),"MMM")</f>
        <v>Oct</v>
      </c>
      <c r="BY548" s="643">
        <f>IF(CB548=$CB560,SUMIF($BI548:$BI559,$BX548,$BR548:$BR559),SUMIF($BI548:$BI559,$BX548,$BM548:$BM559))</f>
        <v>6.3E-2</v>
      </c>
      <c r="BZ548" s="877">
        <f>IF(IF(CB548=CB560,SUMIF(BI548:BI559,$BX548,BU548:BU559),SUMIF(BI548:BI559,$BX548,BP548:BP559))=0,NA(),IF(CB548=CB560,SUMIF(BI548:BI559,$BX548,BU548:BU559),SUMIF(BI548:BI559,$BX548,BP548:BP559)))</f>
        <v>6.9444444444444447E-4</v>
      </c>
      <c r="CA548" s="876">
        <f>IF(IF(CB548=CB560,SUMIF(BI548:BI559,$BX548,BS548:BS559),SUMIF(BI548:BI559,$BX548,BN548:BN559))=0,NA(),IF(CB548=CB560,SUMIF(BI548:BI559,$BX548,BS548:BS559),SUMIF(BI548:BI559,$BX548,BN548:BN559)))</f>
        <v>3.1250000000000001E-4</v>
      </c>
      <c r="CB548" s="645">
        <f>CB528</f>
        <v>23</v>
      </c>
      <c r="CC548" s="645">
        <f t="shared" ref="CC548:CC558" si="167">IF(CC549-1&lt;1,CC549+11,CC549-1)</f>
        <v>10</v>
      </c>
    </row>
    <row r="549" spans="61:81" ht="15" customHeight="1">
      <c r="BI549" s="638" t="s">
        <v>321</v>
      </c>
      <c r="BJ549" s="638">
        <v>2</v>
      </c>
      <c r="BK549" s="638" t="s">
        <v>320</v>
      </c>
      <c r="BL549" s="857">
        <f t="shared" ref="BL549:BL559" si="168">IF(BN549="","",BM549*BN549)</f>
        <v>3.2222222222222222E-5</v>
      </c>
      <c r="BM549" s="858">
        <v>9.6000000000000002E-2</v>
      </c>
      <c r="BN549" s="847">
        <v>3.3564814814814812E-4</v>
      </c>
      <c r="BO549" s="852"/>
      <c r="BP549" s="851">
        <v>6.9444444444444447E-4</v>
      </c>
      <c r="BQ549" s="857" t="str">
        <f t="shared" ref="BQ549:BQ559" si="169">IF(BR549="","",BS549*BR549)</f>
        <v/>
      </c>
      <c r="BR549" s="689"/>
      <c r="BS549" s="847"/>
      <c r="BT549" s="852"/>
      <c r="BU549" s="851">
        <v>6.9444444444444447E-4</v>
      </c>
      <c r="BX549" s="666" t="str">
        <f t="shared" si="166"/>
        <v>Nov</v>
      </c>
      <c r="BY549" s="643">
        <f>IF(CB549=$CB560,SUMIF($BI548:$BI559,$BX549,$BR548:$BR559),SUMIF($BI548:$BI559,$BX549,$BM548:$BM559))</f>
        <v>9.6000000000000002E-2</v>
      </c>
      <c r="BZ549" s="877">
        <f>IF(IF(CB549=CB560,SUMIF(BI548:BI559,$BX549,BU548:BU559),SUMIF(BI548:BI559,$BX549,BP548:BP559))=0,NA(),IF(CB549=CB560,SUMIF(BI548:BI559,$BX549,BU548:BU559),SUMIF(BI548:BI559,$BX549,BP548:BP559)))</f>
        <v>6.9444444444444447E-4</v>
      </c>
      <c r="CA549" s="876">
        <f>IF(IF(CB549=CB560,SUMIF(BI548:BI559,$BX549,BS548:BS559),SUMIF(BI548:BI559,$BX549,BN548:BN559))=0,NA(),IF(CB549=CB560,SUMIF(BI548:BI559,$BX549,BS548:BS559),SUMIF(BI548:BI559,$BX549,BN548:BN559)))</f>
        <v>3.3564814814814812E-4</v>
      </c>
      <c r="CB549" s="645">
        <f t="shared" ref="CB549:CB560" si="170">CB529</f>
        <v>23</v>
      </c>
      <c r="CC549" s="645">
        <f t="shared" si="167"/>
        <v>11</v>
      </c>
    </row>
    <row r="550" spans="61:81" ht="15" customHeight="1">
      <c r="BI550" s="638" t="s">
        <v>322</v>
      </c>
      <c r="BJ550" s="638">
        <v>3</v>
      </c>
      <c r="BK550" s="638" t="s">
        <v>320</v>
      </c>
      <c r="BL550" s="857">
        <f t="shared" si="168"/>
        <v>9.2569444444444464E-5</v>
      </c>
      <c r="BM550" s="858">
        <v>0.25800000000000001</v>
      </c>
      <c r="BN550" s="847">
        <v>3.5879629629629635E-4</v>
      </c>
      <c r="BO550" s="852"/>
      <c r="BP550" s="851">
        <v>6.9444444444444447E-4</v>
      </c>
      <c r="BQ550" s="857" t="str">
        <f t="shared" si="169"/>
        <v/>
      </c>
      <c r="BR550" s="689"/>
      <c r="BS550" s="847"/>
      <c r="BT550" s="852"/>
      <c r="BU550" s="851">
        <v>6.9444444444444447E-4</v>
      </c>
      <c r="BX550" s="666" t="str">
        <f t="shared" si="166"/>
        <v>Dec</v>
      </c>
      <c r="BY550" s="643">
        <f>IF(CB550=$CB560,SUMIF($BI548:$BI559,$BX550,$BR548:$BR559),SUMIF($BI548:$BI559,$BX550,$BM548:$BM559))</f>
        <v>0.25800000000000001</v>
      </c>
      <c r="BZ550" s="877">
        <f>IF(IF(CB550=CB560,SUMIF(BI548:BI559,$BX550,BU548:BU559),SUMIF(BI548:BI559,$BX550,BP548:BP559))=0,NA(),IF(CB550=CB560,SUMIF(BI548:BI559,$BX550,BU548:BU559),SUMIF(BI548:BI559,$BX550,BP548:BP559)))</f>
        <v>6.9444444444444447E-4</v>
      </c>
      <c r="CA550" s="876">
        <f>IF(IF(CB550=CB560,SUMIF(BI548:BI559,$BX550,BS548:BS559),SUMIF(BI548:BI559,$BX550,BN548:BN559))=0,NA(),IF(CB550=CB560,SUMIF(BI548:BI559,$BX550,BS548:BS559),SUMIF(BI548:BI559,$BX550,BN548:BN559)))</f>
        <v>3.5879629629629635E-4</v>
      </c>
      <c r="CB550" s="645">
        <f t="shared" si="170"/>
        <v>23</v>
      </c>
      <c r="CC550" s="645">
        <f t="shared" si="167"/>
        <v>12</v>
      </c>
    </row>
    <row r="551" spans="61:81" ht="15" customHeight="1">
      <c r="BI551" s="638" t="s">
        <v>323</v>
      </c>
      <c r="BJ551" s="638">
        <v>4</v>
      </c>
      <c r="BK551" s="638" t="s">
        <v>324</v>
      </c>
      <c r="BL551" s="857">
        <f t="shared" si="168"/>
        <v>1.3333333333333331E-4</v>
      </c>
      <c r="BM551" s="858">
        <v>0.72</v>
      </c>
      <c r="BN551" s="847">
        <v>1.8518518518518518E-4</v>
      </c>
      <c r="BO551" s="849">
        <f>IF(SUM(BM551:BM553=0),0,SUM(BL551:BL553)/SUM(BM551:BM553))</f>
        <v>1.6385888203017832E-4</v>
      </c>
      <c r="BP551" s="851">
        <v>6.9444444444444447E-4</v>
      </c>
      <c r="BQ551" s="857" t="str">
        <f t="shared" si="169"/>
        <v/>
      </c>
      <c r="BR551" s="689"/>
      <c r="BS551" s="847"/>
      <c r="BT551" s="849">
        <f>IF(SUM(BR551:BR553=0),0,SUM(BQ551:BQ553)/SUM(BR551:BR553))</f>
        <v>0</v>
      </c>
      <c r="BU551" s="851">
        <v>6.9444444444444447E-4</v>
      </c>
      <c r="BX551" s="666" t="str">
        <f t="shared" si="166"/>
        <v>Jan</v>
      </c>
      <c r="BY551" s="643">
        <f>IF(CB551=$CB560,SUMIF($BI548:$BI559,$BX551,$BR548:$BR559),SUMIF($BI548:$BI559,$BX551,$BM548:$BM559))</f>
        <v>0.72</v>
      </c>
      <c r="BZ551" s="877">
        <f>IF(IF(CB551=CB560,SUMIF(BI548:BI559,$BX551,BU548:BU559),SUMIF(BI548:BI559,$BX551,BP548:BP559))=0,NA(),IF(CB551=CB560,SUMIF(BI548:BI559,$BX551,BU548:BU559),SUMIF(BI548:BI559,$BX551,BP548:BP559)))</f>
        <v>6.9444444444444447E-4</v>
      </c>
      <c r="CA551" s="876">
        <f>IF(IF(CB551=CB560,SUMIF(BI548:BI559,$BX551,BS548:BS559),SUMIF(BI548:BI559,$BX551,BN548:BN559))=0,NA(),IF(CB551=CB560,SUMIF(BI548:BI559,$BX551,BS548:BS559),SUMIF(BI548:BI559,$BX551,BN548:BN559)))</f>
        <v>1.8518518518518518E-4</v>
      </c>
      <c r="CB551" s="645">
        <f t="shared" si="170"/>
        <v>23</v>
      </c>
      <c r="CC551" s="645">
        <f t="shared" si="167"/>
        <v>1</v>
      </c>
    </row>
    <row r="552" spans="61:81" ht="15" customHeight="1">
      <c r="BI552" s="638" t="s">
        <v>325</v>
      </c>
      <c r="BJ552" s="638">
        <v>5</v>
      </c>
      <c r="BK552" s="638" t="s">
        <v>324</v>
      </c>
      <c r="BL552" s="857">
        <f t="shared" si="168"/>
        <v>1.3414351851851852E-4</v>
      </c>
      <c r="BM552" s="859">
        <v>0.61</v>
      </c>
      <c r="BN552" s="848">
        <v>2.199074074074074E-4</v>
      </c>
      <c r="BO552" s="852"/>
      <c r="BP552" s="851">
        <v>6.9444444444444447E-4</v>
      </c>
      <c r="BQ552" s="857" t="str">
        <f t="shared" si="169"/>
        <v/>
      </c>
      <c r="BR552" s="690"/>
      <c r="BS552" s="848"/>
      <c r="BT552" s="852"/>
      <c r="BU552" s="851">
        <v>6.9444444444444447E-4</v>
      </c>
      <c r="BX552" s="666" t="str">
        <f t="shared" si="166"/>
        <v>Feb</v>
      </c>
      <c r="BY552" s="643">
        <f>IF(CB552=$CB560,SUMIF($BI548:$BI559,$BX552,$BR548:$BR559),SUMIF($BI548:$BI559,$BX552,$BM548:$BM559))</f>
        <v>0.61</v>
      </c>
      <c r="BZ552" s="877">
        <f>IF(IF(CB552=CB560,SUMIF(BI548:BI559,$BX552,BU548:BU559),SUMIF(BI548:BI559,$BX552,BP548:BP559))=0,NA(),IF(CB552=CB560,SUMIF(BI548:BI559,$BX552,BU548:BU559),SUMIF(BI548:BI559,$BX552,BP548:BP559)))</f>
        <v>6.9444444444444447E-4</v>
      </c>
      <c r="CA552" s="876">
        <f>IF(IF(CB552=CB560,SUMIF(BI548:BI559,$BX552,BS548:BS559),SUMIF(BI548:BI559,$BX552,BN548:BN559))=0,NA(),IF(CB552=CB560,SUMIF(BI548:BI559,$BX552,BS548:BS559),SUMIF(BI548:BI559,$BX552,BN548:BN559)))</f>
        <v>2.199074074074074E-4</v>
      </c>
      <c r="CB552" s="645">
        <f t="shared" si="170"/>
        <v>23</v>
      </c>
      <c r="CC552" s="645">
        <f t="shared" si="167"/>
        <v>2</v>
      </c>
    </row>
    <row r="553" spans="61:81" ht="15" customHeight="1">
      <c r="BI553" s="638" t="s">
        <v>326</v>
      </c>
      <c r="BJ553" s="638">
        <v>6</v>
      </c>
      <c r="BK553" s="638" t="s">
        <v>324</v>
      </c>
      <c r="BL553" s="857">
        <f t="shared" si="168"/>
        <v>8.6458333333333339E-5</v>
      </c>
      <c r="BM553" s="859">
        <v>0.83</v>
      </c>
      <c r="BN553" s="848">
        <v>1.0416666666666667E-4</v>
      </c>
      <c r="BO553" s="852"/>
      <c r="BP553" s="851">
        <v>6.9444444444444447E-4</v>
      </c>
      <c r="BQ553" s="857" t="str">
        <f t="shared" si="169"/>
        <v/>
      </c>
      <c r="BR553" s="690"/>
      <c r="BS553" s="848"/>
      <c r="BT553" s="852"/>
      <c r="BU553" s="851">
        <v>6.9444444444444447E-4</v>
      </c>
      <c r="BX553" s="666" t="str">
        <f t="shared" si="166"/>
        <v>Mar</v>
      </c>
      <c r="BY553" s="643">
        <f>IF(CB553=$CB560,SUMIF($BI548:$BI559,$BX553,$BR548:$BR559),SUMIF($BI548:$BI559,$BX553,$BM548:$BM559))</f>
        <v>0.83</v>
      </c>
      <c r="BZ553" s="877">
        <f>IF(IF(CB553=CB560,SUMIF(BI548:BI559,$BX553,BU548:BU559),SUMIF(BI548:BI559,$BX553,BP548:BP559))=0,NA(),IF(CB553=CB560,SUMIF(BI548:BI559,$BX553,BU548:BU559),SUMIF(BI548:BI559,$BX553,BP548:BP559)))</f>
        <v>6.9444444444444447E-4</v>
      </c>
      <c r="CA553" s="876">
        <f>IF(IF(CB553=CB560,SUMIF(BI548:BI559,$BX553,BS548:BS559),SUMIF(BI548:BI559,$BX553,BN548:BN559))=0,NA(),IF(CB553=CB560,SUMIF(BI548:BI559,$BX553,BS548:BS559),SUMIF(BI548:BI559,$BX553,BN548:BN559)))</f>
        <v>1.0416666666666667E-4</v>
      </c>
      <c r="CB553" s="645">
        <f t="shared" si="170"/>
        <v>23</v>
      </c>
      <c r="CC553" s="645">
        <f t="shared" si="167"/>
        <v>3</v>
      </c>
    </row>
    <row r="554" spans="61:81" ht="15" customHeight="1">
      <c r="BI554" s="638" t="s">
        <v>327</v>
      </c>
      <c r="BJ554" s="638">
        <v>7</v>
      </c>
      <c r="BK554" s="638" t="s">
        <v>328</v>
      </c>
      <c r="BL554" s="857">
        <f t="shared" si="168"/>
        <v>5.6481481481481479E-5</v>
      </c>
      <c r="BM554" s="859">
        <v>0.61</v>
      </c>
      <c r="BN554" s="848">
        <v>9.2592592592592588E-5</v>
      </c>
      <c r="BO554" s="849">
        <f>IF(SUM(BM554:BM556=0),0,SUM(BL554:BL556)/SUM(BM554:BM556))</f>
        <v>1.4060356652949245E-4</v>
      </c>
      <c r="BP554" s="851">
        <v>6.9444444444444447E-4</v>
      </c>
      <c r="BQ554" s="857" t="str">
        <f t="shared" si="169"/>
        <v/>
      </c>
      <c r="BR554" s="690"/>
      <c r="BS554" s="848"/>
      <c r="BT554" s="849">
        <f>IF(SUM(BR554:BR556=0),0,SUM(BQ554:BQ556)/SUM(BR554:BR556))</f>
        <v>0</v>
      </c>
      <c r="BU554" s="851">
        <v>6.9444444444444447E-4</v>
      </c>
      <c r="BX554" s="666" t="str">
        <f t="shared" si="166"/>
        <v>Apr</v>
      </c>
      <c r="BY554" s="643">
        <f>IF(CB554=$CB560,SUMIF($BI548:$BI559,$BX554,$BR548:$BR559),SUMIF($BI548:$BI559,$BX554,$BM548:$BM559))</f>
        <v>0.61</v>
      </c>
      <c r="BZ554" s="877">
        <f>IF(IF(CB554=CB560,SUMIF(BI548:BI559,$BX554,BU548:BU559),SUMIF(BI548:BI559,$BX554,BP548:BP559))=0,NA(),IF(CB554=CB560,SUMIF(BI548:BI559,$BX554,BU548:BU559),SUMIF(BI548:BI559,$BX554,BP548:BP559)))</f>
        <v>6.9444444444444447E-4</v>
      </c>
      <c r="CA554" s="876">
        <f>IF(IF(CB554=CB560,SUMIF(BI548:BI559,$BX554,BS548:BS559),SUMIF(BI548:BI559,$BX554,BN548:BN559))=0,NA(),IF(CB554=CB560,SUMIF(BI548:BI559,$BX554,BS548:BS559),SUMIF(BI548:BI559,$BX554,BN548:BN559)))</f>
        <v>9.2592592592592588E-5</v>
      </c>
      <c r="CB554" s="645">
        <f t="shared" si="170"/>
        <v>23</v>
      </c>
      <c r="CC554" s="645">
        <f t="shared" si="167"/>
        <v>4</v>
      </c>
    </row>
    <row r="555" spans="61:81" ht="15" customHeight="1">
      <c r="BI555" s="638" t="s">
        <v>329</v>
      </c>
      <c r="BJ555" s="638">
        <v>8</v>
      </c>
      <c r="BK555" s="638" t="s">
        <v>328</v>
      </c>
      <c r="BL555" s="857">
        <f t="shared" si="168"/>
        <v>5.4166666666666671E-5</v>
      </c>
      <c r="BM555" s="859">
        <v>0.36</v>
      </c>
      <c r="BN555" s="848">
        <v>1.5046296296296297E-4</v>
      </c>
      <c r="BO555" s="852"/>
      <c r="BP555" s="851">
        <v>6.9444444444444447E-4</v>
      </c>
      <c r="BQ555" s="857" t="str">
        <f t="shared" si="169"/>
        <v/>
      </c>
      <c r="BR555" s="690"/>
      <c r="BS555" s="848"/>
      <c r="BT555" s="852"/>
      <c r="BU555" s="851">
        <v>6.9444444444444447E-4</v>
      </c>
      <c r="BX555" s="666" t="str">
        <f t="shared" si="166"/>
        <v>May</v>
      </c>
      <c r="BY555" s="643">
        <f>IF(CB555=$CB560,SUMIF($BI548:$BI559,$BX555,$BR548:$BR559),SUMIF($BI548:$BI559,$BX555,$BM548:$BM559))</f>
        <v>0.36</v>
      </c>
      <c r="BZ555" s="877">
        <f>IF(IF(CB555=CB560,SUMIF(BI548:BI559,$BX555,BU548:BU559),SUMIF(BI548:BI559,$BX555,BP548:BP559))=0,NA(),IF(CB555=CB560,SUMIF(BI548:BI559,$BX555,BU548:BU559),SUMIF(BI548:BI559,$BX555,BP548:BP559)))</f>
        <v>6.9444444444444447E-4</v>
      </c>
      <c r="CA555" s="876">
        <f>IF(IF(CB555=CB560,SUMIF(BI548:BI559,$BX555,BS548:BS559),SUMIF(BI548:BI559,$BX555,BN548:BN559))=0,NA(),IF(CB555=CB560,SUMIF(BI548:BI559,$BX555,BS548:BS559),SUMIF(BI548:BI559,$BX555,BN548:BN559)))</f>
        <v>1.5046296296296297E-4</v>
      </c>
      <c r="CB555" s="645">
        <f t="shared" si="170"/>
        <v>23</v>
      </c>
      <c r="CC555" s="645">
        <f t="shared" si="167"/>
        <v>5</v>
      </c>
    </row>
    <row r="556" spans="61:81" ht="15" customHeight="1">
      <c r="BI556" s="638" t="s">
        <v>331</v>
      </c>
      <c r="BJ556" s="638">
        <v>9</v>
      </c>
      <c r="BK556" s="638" t="s">
        <v>328</v>
      </c>
      <c r="BL556" s="857">
        <f t="shared" si="168"/>
        <v>7.9166666666666676E-5</v>
      </c>
      <c r="BM556" s="859">
        <v>0.38</v>
      </c>
      <c r="BN556" s="848">
        <v>2.0833333333333335E-4</v>
      </c>
      <c r="BO556" s="852"/>
      <c r="BP556" s="851">
        <v>6.9444444444444447E-4</v>
      </c>
      <c r="BQ556" s="857" t="str">
        <f t="shared" si="169"/>
        <v/>
      </c>
      <c r="BR556" s="690"/>
      <c r="BS556" s="848"/>
      <c r="BT556" s="852"/>
      <c r="BU556" s="851">
        <v>6.9444444444444447E-4</v>
      </c>
      <c r="BX556" s="666" t="str">
        <f t="shared" si="166"/>
        <v>Jun</v>
      </c>
      <c r="BY556" s="643">
        <f>IF(CB556=$CB560,SUMIF($BI548:$BI559,$BX556,$BR548:$BR559),SUMIF($BI548:$BI559,$BX556,$BM548:$BM559))</f>
        <v>0.38</v>
      </c>
      <c r="BZ556" s="877">
        <f>IF(IF(CB556=CB560,SUMIF(BI548:BI559,$BX556,BU548:BU559),SUMIF(BI548:BI559,$BX556,BP548:BP559))=0,NA(),IF(CB556=CB560,SUMIF(BI548:BI559,$BX556,BU548:BU559),SUMIF(BI548:BI559,$BX556,BP548:BP559)))</f>
        <v>6.9444444444444447E-4</v>
      </c>
      <c r="CA556" s="876">
        <f>IF(IF(CB556=CB560,SUMIF(BI548:BI559,$BX556,BS548:BS559),SUMIF(BI548:BI559,$BX556,BN548:BN559))=0,NA(),IF(CB556=CB560,SUMIF(BI548:BI559,$BX556,BS548:BS559),SUMIF(BI548:BI559,$BX556,BN548:BN559)))</f>
        <v>2.0833333333333335E-4</v>
      </c>
      <c r="CB556" s="645">
        <f t="shared" si="170"/>
        <v>23</v>
      </c>
      <c r="CC556" s="645">
        <f t="shared" si="167"/>
        <v>6</v>
      </c>
    </row>
    <row r="557" spans="61:81" ht="15" customHeight="1">
      <c r="BI557" s="638" t="s">
        <v>337</v>
      </c>
      <c r="BJ557" s="638">
        <v>10</v>
      </c>
      <c r="BK557" s="638" t="s">
        <v>338</v>
      </c>
      <c r="BL557" s="857">
        <f t="shared" si="168"/>
        <v>5.9953703703703714E-5</v>
      </c>
      <c r="BM557" s="859">
        <v>0.14000000000000001</v>
      </c>
      <c r="BN557" s="848">
        <v>4.2824074074074075E-4</v>
      </c>
      <c r="BO557" s="849">
        <f>IF(SUM(BM557:BM559=0),0,SUM(BL557:BL559)/SUM(BM557:BM559))</f>
        <v>2.5826071169208429E-4</v>
      </c>
      <c r="BP557" s="851">
        <v>6.9444444444444447E-4</v>
      </c>
      <c r="BQ557" s="857" t="str">
        <f t="shared" si="169"/>
        <v/>
      </c>
      <c r="BR557" s="690"/>
      <c r="BS557" s="848"/>
      <c r="BT557" s="849">
        <f>IF(SUM(BR557:BR559=0),0,SUM(BQ557:BQ559)/SUM(BR557:BR559))</f>
        <v>0</v>
      </c>
      <c r="BU557" s="851">
        <v>6.9444444444444447E-4</v>
      </c>
      <c r="BX557" s="666" t="str">
        <f t="shared" si="166"/>
        <v>Jul</v>
      </c>
      <c r="BY557" s="643">
        <f>IF(CB557=$CB560,SUMIF($BI548:$BI559,$BX557,$BR548:$BR559),SUMIF($BI548:$BI559,$BX557,$BM548:$BM559))</f>
        <v>0.14000000000000001</v>
      </c>
      <c r="BZ557" s="877">
        <f>IF(IF(CB557=CB560,SUMIF(BI548:BI559,$BX557,BU548:BU559),SUMIF(BI548:BI559,$BX557,BP548:BP559))=0,NA(),IF(CB557=CB560,SUMIF(BI548:BI559,$BX557,BU548:BU559),SUMIF(BI548:BI559,$BX557,BP548:BP559)))</f>
        <v>6.9444444444444447E-4</v>
      </c>
      <c r="CA557" s="876">
        <f>IF(IF(CB557=CB560,SUMIF(BI548:BI559,$BX557,BS548:BS559),SUMIF(BI548:BI559,$BX557,BN548:BN559))=0,NA(),IF(CB557=CB560,SUMIF(BI548:BI559,$BX557,BS548:BS559),SUMIF(BI548:BI559,$BX557,BN548:BN559)))</f>
        <v>4.2824074074074075E-4</v>
      </c>
      <c r="CB557" s="645">
        <f t="shared" si="170"/>
        <v>23</v>
      </c>
      <c r="CC557" s="645">
        <f t="shared" si="167"/>
        <v>7</v>
      </c>
    </row>
    <row r="558" spans="61:81" ht="15" customHeight="1">
      <c r="BI558" s="638" t="s">
        <v>343</v>
      </c>
      <c r="BJ558" s="638">
        <v>11</v>
      </c>
      <c r="BK558" s="638" t="s">
        <v>338</v>
      </c>
      <c r="BL558" s="857">
        <f t="shared" si="168"/>
        <v>9.2592592592592591E-6</v>
      </c>
      <c r="BM558" s="859">
        <v>0.1</v>
      </c>
      <c r="BN558" s="848">
        <v>9.2592592592592588E-5</v>
      </c>
      <c r="BO558" s="852"/>
      <c r="BP558" s="851">
        <v>6.9444444444444447E-4</v>
      </c>
      <c r="BQ558" s="857" t="str">
        <f t="shared" si="169"/>
        <v/>
      </c>
      <c r="BR558" s="690"/>
      <c r="BS558" s="848"/>
      <c r="BT558" s="852"/>
      <c r="BU558" s="851">
        <v>6.9444444444444447E-4</v>
      </c>
      <c r="BX558" s="666" t="str">
        <f t="shared" si="166"/>
        <v>Aug</v>
      </c>
      <c r="BY558" s="643">
        <f>IF(CB558=$CB560,SUMIF($BI548:$BI559,$BX558,$BR548:$BR559),SUMIF($BI548:$BI559,$BX558,$BM548:$BM559))</f>
        <v>0.1</v>
      </c>
      <c r="BZ558" s="877">
        <f>IF(IF(CB558=CB560,SUMIF(BI548:BI559,$BX558,BU548:BU559),SUMIF(BI548:BI559,$BX558,BP548:BP559))=0,NA(),IF(CB558=CB560,SUMIF(BI548:BI559,$BX558,BU548:BU559),SUMIF(BI548:BI559,$BX558,BP548:BP559)))</f>
        <v>6.9444444444444447E-4</v>
      </c>
      <c r="CA558" s="876">
        <f>IF(IF(CB558=CB560,SUMIF(BI548:BI559,$BX558,BS548:BS559),SUMIF(BI548:BI559,$BX558,BN548:BN559))=0,NA(),IF(CB558=CB560,SUMIF(BI548:BI559,$BX558,BS548:BS559),SUMIF(BI548:BI559,$BX558,BN548:BN559)))</f>
        <v>9.2592592592592588E-5</v>
      </c>
      <c r="CB558" s="645">
        <f t="shared" si="170"/>
        <v>23</v>
      </c>
      <c r="CC558" s="645">
        <f t="shared" si="167"/>
        <v>8</v>
      </c>
    </row>
    <row r="559" spans="61:81" ht="15" customHeight="1">
      <c r="BI559" s="638" t="s">
        <v>344</v>
      </c>
      <c r="BJ559" s="638">
        <v>12</v>
      </c>
      <c r="BK559" s="638" t="s">
        <v>338</v>
      </c>
      <c r="BL559" s="857">
        <f t="shared" si="168"/>
        <v>6.2500000000000001E-5</v>
      </c>
      <c r="BM559" s="859">
        <v>0.27</v>
      </c>
      <c r="BN559" s="848">
        <v>2.3148148148148146E-4</v>
      </c>
      <c r="BO559" s="852"/>
      <c r="BP559" s="851">
        <v>6.9444444444444447E-4</v>
      </c>
      <c r="BQ559" s="857" t="str">
        <f t="shared" si="169"/>
        <v/>
      </c>
      <c r="BR559" s="690"/>
      <c r="BS559" s="848"/>
      <c r="BT559" s="852"/>
      <c r="BU559" s="851">
        <v>6.9444444444444447E-4</v>
      </c>
      <c r="BX559" s="666" t="str">
        <f t="shared" si="166"/>
        <v>Sep</v>
      </c>
      <c r="BY559" s="643">
        <f>IF(CB559=$CB560,SUMIF($BI548:$BI559,$BX559,$BR548:$BR559),SUMIF($BI548:$BI559,$BX559,$BM548:$BM559))</f>
        <v>0.27</v>
      </c>
      <c r="BZ559" s="877">
        <f>IF(IF(CB559=CB560,SUMIF(BI548:BI559,$BX559,BU548:BU559),SUMIF(BI548:BI559,$BX559,BP548:BP559))=0,NA(),IF(CB559=CB560,SUMIF(BI548:BI559,$BX559,BU548:BU559),SUMIF(BI548:BI559,$BX559,BP548:BP559)))</f>
        <v>6.9444444444444447E-4</v>
      </c>
      <c r="CA559" s="876">
        <f>IF(IF(CB559=CB560,SUMIF(BI548:BI559,$BX559,BS548:BS559),SUMIF(BI548:BI559,$BX559,BN548:BN559))=0,NA(),IF(CB559=CB560,SUMIF(BI548:BI559,$BX559,BS548:BS559),SUMIF(BI548:BI559,$BX559,BN548:BN559)))</f>
        <v>2.3148148148148146E-4</v>
      </c>
      <c r="CB559" s="645">
        <f t="shared" si="170"/>
        <v>23</v>
      </c>
      <c r="CC559" s="645">
        <f>IF(CC560-1&lt;1,CC560+11,CC560-1)</f>
        <v>9</v>
      </c>
    </row>
    <row r="560" spans="61:81" ht="15" customHeight="1">
      <c r="BJ560" s="277"/>
      <c r="BK560" s="277"/>
      <c r="BL560" s="277"/>
      <c r="BM560" s="277"/>
      <c r="BN560" s="277"/>
      <c r="BO560" s="277"/>
      <c r="BP560" s="277"/>
      <c r="BQ560" s="277"/>
      <c r="BR560" s="277"/>
      <c r="BS560" s="277"/>
      <c r="BT560" s="277"/>
      <c r="BW560" s="667" t="str">
        <f>Cover!$M$34</f>
        <v>OCT FY-24</v>
      </c>
      <c r="BX560" s="666" t="str">
        <f>TEXT(CONCATENATE(CC560,"/01/20",CB560),"MMM")</f>
        <v>Oct</v>
      </c>
      <c r="BY560" s="643">
        <f>SUMIF($BI548:$BI559,$BX560,$BR548:$BR559)</f>
        <v>0.26</v>
      </c>
      <c r="BZ560" s="877">
        <f>IF(IF(CB560=CB560,SUMIF(BI548:BI559,$BX560,BU548:BU559),SUMIF(BI548:BI559,$BX560,BP548:BP559))=0,NA(),IF(CB560=CB560,SUMIF(BI548:BI559,$BX560,BU548:BU559),SUMIF(BI548:BI559,$BX560,BP548:BP559)))</f>
        <v>6.9444444444444447E-4</v>
      </c>
      <c r="CA560" s="876">
        <f>IF(SUMIF($BI548:$BI559,$BX560,$BS548:$BS559)=0,NA(),SUMIF($BI548:$BI559,$BX560,$BS548:$BS559))</f>
        <v>5.9027777777777778E-4</v>
      </c>
      <c r="CB560" s="645">
        <f t="shared" si="170"/>
        <v>24</v>
      </c>
      <c r="CC560" s="645">
        <f>MONTH(DATEVALUE(LEFT(BW560,3)&amp;" 1"))</f>
        <v>10</v>
      </c>
    </row>
    <row r="561" spans="61:81" ht="15" customHeight="1">
      <c r="BI561" s="6"/>
      <c r="BJ561" s="6"/>
      <c r="BK561" s="6"/>
      <c r="BL561" s="6"/>
      <c r="BM561" s="6"/>
      <c r="BN561" s="6"/>
      <c r="BO561" s="6"/>
      <c r="BP561" s="6"/>
      <c r="BQ561" s="6"/>
      <c r="BR561" s="6"/>
      <c r="BS561" s="6"/>
      <c r="BT561" s="6"/>
      <c r="BU561" s="6"/>
      <c r="BV561" s="6"/>
    </row>
    <row r="562" spans="61:81" ht="15" customHeight="1">
      <c r="BI562" s="54" t="s">
        <v>292</v>
      </c>
      <c r="BJ562" s="287" t="s">
        <v>478</v>
      </c>
      <c r="BK562" s="287"/>
      <c r="BL562" s="287"/>
      <c r="BM562" s="287"/>
      <c r="BN562" s="287"/>
      <c r="BO562" s="287"/>
      <c r="BP562" s="287"/>
      <c r="BQ562" s="287"/>
      <c r="BR562" s="287"/>
      <c r="BS562" s="287"/>
      <c r="BT562" s="287"/>
      <c r="BU562" s="287"/>
    </row>
    <row r="563" spans="61:81" ht="15" customHeight="1">
      <c r="BI563" s="54" t="s">
        <v>296</v>
      </c>
      <c r="BJ563" s="283" t="s">
        <v>475</v>
      </c>
      <c r="BK563" s="283"/>
      <c r="BL563" s="283"/>
      <c r="BM563" s="283"/>
      <c r="BN563" s="283"/>
      <c r="BO563" s="283"/>
      <c r="BP563" s="283"/>
      <c r="BQ563" s="283"/>
      <c r="BR563" s="283"/>
      <c r="BS563" s="283"/>
      <c r="BT563" s="283"/>
      <c r="BU563" s="283"/>
    </row>
    <row r="564" spans="61:81" ht="15" customHeight="1" thickBot="1">
      <c r="BI564" s="54" t="s">
        <v>300</v>
      </c>
      <c r="BJ564" s="283" t="s">
        <v>476</v>
      </c>
      <c r="BK564" s="283"/>
      <c r="BL564" s="283"/>
      <c r="BM564" s="283"/>
      <c r="BN564" s="283"/>
      <c r="BO564" s="283"/>
      <c r="BP564" s="283"/>
      <c r="BQ564" s="283"/>
      <c r="BR564" s="283"/>
      <c r="BS564" s="283"/>
      <c r="BT564" s="283"/>
      <c r="BU564" s="283"/>
    </row>
    <row r="565" spans="61:81" ht="15" customHeight="1" thickBot="1">
      <c r="BI565" s="1402" t="s">
        <v>455</v>
      </c>
      <c r="BJ565" s="1403"/>
      <c r="BK565" s="1404"/>
      <c r="BL565" s="1402" t="s">
        <v>302</v>
      </c>
      <c r="BM565" s="1403"/>
      <c r="BN565" s="1403"/>
      <c r="BO565" s="1403"/>
      <c r="BP565" s="1404"/>
      <c r="BQ565" s="1402" t="s">
        <v>719</v>
      </c>
      <c r="BR565" s="1403"/>
      <c r="BS565" s="1403"/>
      <c r="BT565" s="1403"/>
      <c r="BU565" s="1404"/>
      <c r="BW565" s="1402" t="s">
        <v>303</v>
      </c>
      <c r="BX565" s="1403"/>
      <c r="BY565" s="1403"/>
      <c r="BZ565" s="1403"/>
      <c r="CA565" s="1403"/>
      <c r="CB565" s="1403"/>
      <c r="CC565" s="1404"/>
    </row>
    <row r="566" spans="61:81" ht="15" customHeight="1">
      <c r="BI566" s="636" t="s">
        <v>23</v>
      </c>
      <c r="BJ566" s="636" t="s">
        <v>37</v>
      </c>
      <c r="BK566" s="636" t="s">
        <v>304</v>
      </c>
      <c r="BL566" s="637" t="s">
        <v>305</v>
      </c>
      <c r="BM566" s="637" t="s">
        <v>310</v>
      </c>
      <c r="BN566" s="637" t="s">
        <v>311</v>
      </c>
      <c r="BO566" s="278" t="s">
        <v>312</v>
      </c>
      <c r="BP566" s="637" t="s">
        <v>313</v>
      </c>
      <c r="BQ566" s="637" t="s">
        <v>305</v>
      </c>
      <c r="BR566" s="637" t="s">
        <v>715</v>
      </c>
      <c r="BS566" s="637" t="s">
        <v>716</v>
      </c>
      <c r="BT566" s="278" t="s">
        <v>717</v>
      </c>
      <c r="BU566" s="637" t="s">
        <v>718</v>
      </c>
      <c r="BW566" s="279" t="s">
        <v>314</v>
      </c>
      <c r="BX566" s="279" t="s">
        <v>23</v>
      </c>
      <c r="BY566" s="280" t="s">
        <v>315</v>
      </c>
      <c r="BZ566" s="279" t="s">
        <v>122</v>
      </c>
      <c r="CA566" s="279" t="s">
        <v>316</v>
      </c>
      <c r="CB566" s="279" t="s">
        <v>317</v>
      </c>
      <c r="CC566" s="279" t="s">
        <v>318</v>
      </c>
    </row>
    <row r="567" spans="61:81" ht="15" customHeight="1">
      <c r="BI567" s="638" t="s">
        <v>319</v>
      </c>
      <c r="BJ567" s="638">
        <v>1</v>
      </c>
      <c r="BK567" s="638" t="s">
        <v>320</v>
      </c>
      <c r="BL567" s="859">
        <v>0.02</v>
      </c>
      <c r="BM567" s="858">
        <v>0.68</v>
      </c>
      <c r="BN567" s="653">
        <f>IF(BM567="","",BL567/BM567)</f>
        <v>2.9411764705882353E-2</v>
      </c>
      <c r="BO567" s="289">
        <f>IF(SUM(BM567:BM569=0),0,SUM(BL567:BL569)/SUM(BM567:BM569))</f>
        <v>3.4990791896869239E-2</v>
      </c>
      <c r="BP567" s="821">
        <v>0.05</v>
      </c>
      <c r="BQ567" s="690">
        <v>0.01</v>
      </c>
      <c r="BR567" s="689">
        <v>0.3</v>
      </c>
      <c r="BS567" s="842">
        <f>IF(BR567="","",BQ567/BR567)</f>
        <v>3.3333333333333333E-2</v>
      </c>
      <c r="BT567" s="289">
        <f>IF(SUM(BR567:BR569=0),0,SUM(BQ567:BQ569)/SUM(BR567:BR569))</f>
        <v>3.3333333333333333E-2</v>
      </c>
      <c r="BU567" s="821">
        <v>0.05</v>
      </c>
      <c r="BX567" s="666" t="str">
        <f t="shared" ref="BX567:BX578" si="171">TEXT(CONCATENATE(CC567,"/01/20",CB567),"MMM")</f>
        <v>Oct</v>
      </c>
      <c r="BY567" s="643">
        <f>IF(CB567=$CB579,SUMIF($BI567:$BI578,$BX567,$BR567:$BR578),SUMIF($BI567:$BI578,$BX567,$BM567:$BM578))</f>
        <v>0.68</v>
      </c>
      <c r="BZ567" s="821">
        <f>IF(IF(CB567=CB579,SUMIF(BI567:BI578,$BX567,BU567:BU578),SUMIF(BI567:BI578,$BX567,BP567:BP578))=0,NA(),IF(CB567=CB579,SUMIF(BI567:BI578,$BX567,BU567:BU578),SUMIF(BI567:BI578,$BX567,BP567:BP578)))</f>
        <v>0.05</v>
      </c>
      <c r="CA567" s="644">
        <f>IF(IF(CB567=CB579,SUMIF(BI567:BI578,$BX567,BS567:BS578),SUMIF(BI567:BI578,$BX567,BN567:BN578))=0,0,IF(CB567=CB579,SUMIF(BI567:BI578,$BX567,BS567:BS578),SUMIF(BI567:BI578,$BX567,BN567:BN578)))</f>
        <v>2.9411764705882353E-2</v>
      </c>
      <c r="CB567" s="645">
        <f>CB548</f>
        <v>23</v>
      </c>
      <c r="CC567" s="645">
        <f t="shared" ref="CC567:CC577" si="172">IF(CC568-1&lt;1,CC568+11,CC568-1)</f>
        <v>10</v>
      </c>
    </row>
    <row r="568" spans="61:81" ht="15" customHeight="1">
      <c r="BI568" s="638" t="s">
        <v>321</v>
      </c>
      <c r="BJ568" s="638">
        <v>2</v>
      </c>
      <c r="BK568" s="638" t="s">
        <v>320</v>
      </c>
      <c r="BL568" s="859">
        <v>8.9999999999999993E-3</v>
      </c>
      <c r="BM568" s="858">
        <v>0.12</v>
      </c>
      <c r="BN568" s="653">
        <f t="shared" ref="BN568:BN578" si="173">IF(BM568="","",BL568/BM568)</f>
        <v>7.4999999999999997E-2</v>
      </c>
      <c r="BO568" s="855"/>
      <c r="BP568" s="821">
        <v>0.05</v>
      </c>
      <c r="BQ568" s="690"/>
      <c r="BR568" s="689"/>
      <c r="BS568" s="842" t="str">
        <f t="shared" ref="BS568:BS578" si="174">IF(BR568="","",BQ568/BR568)</f>
        <v/>
      </c>
      <c r="BT568" s="855"/>
      <c r="BU568" s="821">
        <v>0.05</v>
      </c>
      <c r="BX568" s="666" t="str">
        <f t="shared" si="171"/>
        <v>Nov</v>
      </c>
      <c r="BY568" s="643">
        <f>IF(CB568=$CB579,SUMIF($BI567:$BI578,$BX568,$BR567:$BR578),SUMIF($BI567:$BI578,$BX568,$BM567:$BM578))</f>
        <v>0.12</v>
      </c>
      <c r="BZ568" s="821">
        <f>IF(IF(CB568=CB579,SUMIF(BI567:BI578,$BX568,BU567:BU578),SUMIF(BI567:BI578,$BX568,BP567:BP578))=0,NA(),IF(CB568=CB579,SUMIF(BI567:BI578,$BX568,BU567:BU578),SUMIF(BI567:BI578,$BX568,BP567:BP578)))</f>
        <v>0.05</v>
      </c>
      <c r="CA568" s="644">
        <f>IF(IF(CB568=CB579,SUMIF(BI567:BI578,$BX568,BS567:BS578),SUMIF(BI567:BI578,$BX568,BN567:BN578))=0,0,IF(CB568=CB579,SUMIF(BI567:BI578,$BX568,BS567:BS578),SUMIF(BI567:BI578,$BX568,BN567:BN578)))</f>
        <v>7.4999999999999997E-2</v>
      </c>
      <c r="CB568" s="645">
        <f>CB549</f>
        <v>23</v>
      </c>
      <c r="CC568" s="645">
        <f t="shared" si="172"/>
        <v>11</v>
      </c>
    </row>
    <row r="569" spans="61:81" ht="15" customHeight="1">
      <c r="BI569" s="638" t="s">
        <v>322</v>
      </c>
      <c r="BJ569" s="638">
        <v>3</v>
      </c>
      <c r="BK569" s="638" t="s">
        <v>320</v>
      </c>
      <c r="BL569" s="859">
        <v>8.9999999999999993E-3</v>
      </c>
      <c r="BM569" s="858">
        <v>0.28599999999999998</v>
      </c>
      <c r="BN569" s="653">
        <f t="shared" si="173"/>
        <v>3.1468531468531472E-2</v>
      </c>
      <c r="BO569" s="855"/>
      <c r="BP569" s="821">
        <v>0.05</v>
      </c>
      <c r="BQ569" s="690"/>
      <c r="BR569" s="689"/>
      <c r="BS569" s="842" t="str">
        <f t="shared" si="174"/>
        <v/>
      </c>
      <c r="BT569" s="855"/>
      <c r="BU569" s="821">
        <v>0.05</v>
      </c>
      <c r="BX569" s="666" t="str">
        <f t="shared" si="171"/>
        <v>Dec</v>
      </c>
      <c r="BY569" s="643">
        <f>IF(CB569=$CB579,SUMIF($BI567:$BI578,$BX569,$BR567:$BR578),SUMIF($BI567:$BI578,$BX569,$BM567:$BM578))</f>
        <v>0.28599999999999998</v>
      </c>
      <c r="BZ569" s="821">
        <f>IF(IF(CB569=CB579,SUMIF(BI567:BI578,$BX569,BU567:BU578),SUMIF(BI567:BI578,$BX569,BP567:BP578))=0,NA(),IF(CB569=CB579,SUMIF(BI567:BI578,$BX569,BU567:BU578),SUMIF(BI567:BI578,$BX569,BP567:BP578)))</f>
        <v>0.05</v>
      </c>
      <c r="CA569" s="644">
        <f>IF(IF(CB569=CB579,SUMIF(BI567:BI578,$BX569,BS567:BS578),SUMIF(BI567:BI578,$BX569,BN567:BN578))=0,0,IF(CB569=CB579,SUMIF(BI567:BI578,$BX569,BS567:BS578),SUMIF(BI567:BI578,$BX569,BN567:BN578)))</f>
        <v>3.1468531468531472E-2</v>
      </c>
      <c r="CB569" s="645">
        <f t="shared" ref="CB569:CB578" si="175">CB550</f>
        <v>23</v>
      </c>
      <c r="CC569" s="645">
        <f t="shared" si="172"/>
        <v>12</v>
      </c>
    </row>
    <row r="570" spans="61:81" ht="15" customHeight="1">
      <c r="BI570" s="638" t="s">
        <v>323</v>
      </c>
      <c r="BJ570" s="638">
        <v>4</v>
      </c>
      <c r="BK570" s="638" t="s">
        <v>324</v>
      </c>
      <c r="BL570" s="859">
        <v>0.01</v>
      </c>
      <c r="BM570" s="858">
        <v>0.81</v>
      </c>
      <c r="BN570" s="653">
        <f t="shared" si="173"/>
        <v>1.2345679012345678E-2</v>
      </c>
      <c r="BO570" s="289">
        <f>IF(SUM(BM570:BM572=0),0,SUM(BL570:BL572)/SUM(BM570:BM572))</f>
        <v>1.2711864406779662E-2</v>
      </c>
      <c r="BP570" s="821">
        <v>0.05</v>
      </c>
      <c r="BQ570" s="690"/>
      <c r="BR570" s="689"/>
      <c r="BS570" s="842" t="str">
        <f t="shared" si="174"/>
        <v/>
      </c>
      <c r="BT570" s="289">
        <f>IF(SUM(BR570:BR572=0),0,SUM(BQ570:BQ572)/SUM(BR570:BR572))</f>
        <v>0</v>
      </c>
      <c r="BU570" s="821">
        <v>0.05</v>
      </c>
      <c r="BX570" s="666" t="str">
        <f t="shared" si="171"/>
        <v>Jan</v>
      </c>
      <c r="BY570" s="643">
        <f>IF(CB570=$CB579,SUMIF($BI567:$BI578,$BX570,$BR567:$BR578),SUMIF($BI567:$BI578,$BX570,$BM567:$BM578))</f>
        <v>0.81</v>
      </c>
      <c r="BZ570" s="821">
        <f>IF(IF(CB570=CB579,SUMIF(BI567:BI578,$BX570,BU567:BU578),SUMIF(BI567:BI578,$BX570,BP567:BP578))=0,NA(),IF(CB570=CB579,SUMIF(BI567:BI578,$BX570,BU567:BU578),SUMIF(BI567:BI578,$BX570,BP567:BP578)))</f>
        <v>0.05</v>
      </c>
      <c r="CA570" s="644">
        <f>IF(IF(CB570=CB579,SUMIF(BI567:BI578,$BX570,BS567:BS578),SUMIF(BI567:BI578,$BX570,BN567:BN578))=0,0,IF(CB570=CB579,SUMIF(BI567:BI578,$BX570,BS567:BS578),SUMIF(BI567:BI578,$BX570,BN567:BN578)))</f>
        <v>1.2345679012345678E-2</v>
      </c>
      <c r="CB570" s="645">
        <f t="shared" si="175"/>
        <v>23</v>
      </c>
      <c r="CC570" s="645">
        <f t="shared" si="172"/>
        <v>1</v>
      </c>
    </row>
    <row r="571" spans="61:81" ht="15" customHeight="1">
      <c r="BI571" s="638" t="s">
        <v>325</v>
      </c>
      <c r="BJ571" s="638">
        <v>5</v>
      </c>
      <c r="BK571" s="638" t="s">
        <v>324</v>
      </c>
      <c r="BL571" s="859">
        <v>0</v>
      </c>
      <c r="BM571" s="859">
        <v>0.65</v>
      </c>
      <c r="BN571" s="653">
        <f t="shared" si="173"/>
        <v>0</v>
      </c>
      <c r="BO571" s="855"/>
      <c r="BP571" s="821">
        <v>0.05</v>
      </c>
      <c r="BQ571" s="690"/>
      <c r="BR571" s="690"/>
      <c r="BS571" s="842" t="str">
        <f t="shared" si="174"/>
        <v/>
      </c>
      <c r="BT571" s="855"/>
      <c r="BU571" s="821">
        <v>0.05</v>
      </c>
      <c r="BX571" s="666" t="str">
        <f t="shared" si="171"/>
        <v>Feb</v>
      </c>
      <c r="BY571" s="643">
        <f>IF(CB571=$CB579,SUMIF($BI567:$BI578,$BX571,$BR567:$BR578),SUMIF($BI567:$BI578,$BX571,$BM567:$BM578))</f>
        <v>0.65</v>
      </c>
      <c r="BZ571" s="821">
        <f>IF(IF(CB571=CB579,SUMIF(BI567:BI578,$BX571,BU567:BU578),SUMIF(BI567:BI578,$BX571,BP567:BP578))=0,NA(),IF(CB571=CB579,SUMIF(BI567:BI578,$BX571,BU567:BU578),SUMIF(BI567:BI578,$BX571,BP567:BP578)))</f>
        <v>0.05</v>
      </c>
      <c r="CA571" s="644">
        <f>IF(IF(CB571=CB579,SUMIF(BI567:BI578,$BX571,BS567:BS578),SUMIF(BI567:BI578,$BX571,BN567:BN578))=0,0,IF(CB571=CB579,SUMIF(BI567:BI578,$BX571,BS567:BS578),SUMIF(BI567:BI578,$BX571,BN567:BN578)))</f>
        <v>0</v>
      </c>
      <c r="CB571" s="645">
        <f t="shared" si="175"/>
        <v>23</v>
      </c>
      <c r="CC571" s="645">
        <f t="shared" si="172"/>
        <v>2</v>
      </c>
    </row>
    <row r="572" spans="61:81" ht="15" customHeight="1">
      <c r="BI572" s="638" t="s">
        <v>326</v>
      </c>
      <c r="BJ572" s="638">
        <v>6</v>
      </c>
      <c r="BK572" s="638" t="s">
        <v>324</v>
      </c>
      <c r="BL572" s="859">
        <v>0.02</v>
      </c>
      <c r="BM572" s="859">
        <v>0.9</v>
      </c>
      <c r="BN572" s="653">
        <f t="shared" si="173"/>
        <v>2.2222222222222223E-2</v>
      </c>
      <c r="BO572" s="855"/>
      <c r="BP572" s="821">
        <v>0.05</v>
      </c>
      <c r="BQ572" s="690"/>
      <c r="BR572" s="690"/>
      <c r="BS572" s="842" t="str">
        <f t="shared" si="174"/>
        <v/>
      </c>
      <c r="BT572" s="855"/>
      <c r="BU572" s="821">
        <v>0.05</v>
      </c>
      <c r="BX572" s="666" t="str">
        <f t="shared" si="171"/>
        <v>Mar</v>
      </c>
      <c r="BY572" s="643">
        <f>IF(CB572=$CB579,SUMIF($BI567:$BI578,$BX572,$BR567:$BR578),SUMIF($BI567:$BI578,$BX572,$BM567:$BM578))</f>
        <v>0.9</v>
      </c>
      <c r="BZ572" s="821">
        <f>IF(IF(CB572=CB579,SUMIF(BI567:BI578,$BX572,BU567:BU578),SUMIF(BI567:BI578,$BX572,BP567:BP578))=0,NA(),IF(CB572=CB579,SUMIF(BI567:BI578,$BX572,BU567:BU578),SUMIF(BI567:BI578,$BX572,BP567:BP578)))</f>
        <v>0.05</v>
      </c>
      <c r="CA572" s="644">
        <f>IF(IF(CB572=CB579,SUMIF(BI567:BI578,$BX572,BS567:BS578),SUMIF(BI567:BI578,$BX572,BN567:BN578))=0,0,IF(CB572=CB579,SUMIF(BI567:BI578,$BX572,BS567:BS578),SUMIF(BI567:BI578,$BX572,BN567:BN578)))</f>
        <v>2.2222222222222223E-2</v>
      </c>
      <c r="CB572" s="645">
        <f t="shared" si="175"/>
        <v>23</v>
      </c>
      <c r="CC572" s="645">
        <f t="shared" si="172"/>
        <v>3</v>
      </c>
    </row>
    <row r="573" spans="61:81" ht="15" customHeight="1">
      <c r="BI573" s="638" t="s">
        <v>327</v>
      </c>
      <c r="BJ573" s="638">
        <v>7</v>
      </c>
      <c r="BK573" s="638" t="s">
        <v>328</v>
      </c>
      <c r="BL573" s="859">
        <v>0</v>
      </c>
      <c r="BM573" s="859">
        <v>0.61</v>
      </c>
      <c r="BN573" s="653">
        <f t="shared" si="173"/>
        <v>0</v>
      </c>
      <c r="BO573" s="289">
        <f>IF(SUM(BM573:BM575=0),0,SUM(BL573:BL575)/SUM(BM573:BM575))</f>
        <v>0</v>
      </c>
      <c r="BP573" s="821">
        <v>0.05</v>
      </c>
      <c r="BQ573" s="690"/>
      <c r="BR573" s="690"/>
      <c r="BS573" s="842" t="str">
        <f t="shared" si="174"/>
        <v/>
      </c>
      <c r="BT573" s="289">
        <f>IF(SUM(BR573:BR575=0),0,SUM(BQ573:BQ575)/SUM(BR573:BR575))</f>
        <v>0</v>
      </c>
      <c r="BU573" s="821">
        <v>0.05</v>
      </c>
      <c r="BX573" s="666" t="str">
        <f t="shared" si="171"/>
        <v>Apr</v>
      </c>
      <c r="BY573" s="643">
        <f>IF(CB573=$CB579,SUMIF($BI567:$BI578,$BX573,$BR567:$BR578),SUMIF($BI567:$BI578,$BX573,$BM567:$BM578))</f>
        <v>0.61</v>
      </c>
      <c r="BZ573" s="821">
        <f>IF(IF(CB573=CB579,SUMIF(BI567:BI578,$BX573,BU567:BU578),SUMIF(BI567:BI578,$BX573,BP567:BP578))=0,NA(),IF(CB573=CB579,SUMIF(BI567:BI578,$BX573,BU567:BU578),SUMIF(BI567:BI578,$BX573,BP567:BP578)))</f>
        <v>0.05</v>
      </c>
      <c r="CA573" s="644">
        <f>IF(IF(CB573=CB579,SUMIF(BI567:BI578,$BX573,BS567:BS578),SUMIF(BI567:BI578,$BX573,BN567:BN578))=0,0,IF(CB573=CB579,SUMIF(BI567:BI578,$BX573,BS567:BS578),SUMIF(BI567:BI578,$BX573,BN567:BN578)))</f>
        <v>0</v>
      </c>
      <c r="CB573" s="645">
        <f t="shared" si="175"/>
        <v>23</v>
      </c>
      <c r="CC573" s="645">
        <f t="shared" si="172"/>
        <v>4</v>
      </c>
    </row>
    <row r="574" spans="61:81" ht="15" customHeight="1">
      <c r="BI574" s="638" t="s">
        <v>329</v>
      </c>
      <c r="BJ574" s="638">
        <v>8</v>
      </c>
      <c r="BK574" s="638" t="s">
        <v>328</v>
      </c>
      <c r="BL574" s="859">
        <v>0</v>
      </c>
      <c r="BM574" s="859">
        <v>0.38</v>
      </c>
      <c r="BN574" s="653">
        <f t="shared" si="173"/>
        <v>0</v>
      </c>
      <c r="BO574" s="855"/>
      <c r="BP574" s="821">
        <v>0.05</v>
      </c>
      <c r="BQ574" s="690"/>
      <c r="BR574" s="690"/>
      <c r="BS574" s="842" t="str">
        <f t="shared" si="174"/>
        <v/>
      </c>
      <c r="BT574" s="855"/>
      <c r="BU574" s="821">
        <v>0.05</v>
      </c>
      <c r="BX574" s="666" t="str">
        <f t="shared" si="171"/>
        <v>May</v>
      </c>
      <c r="BY574" s="643">
        <f>IF(CB574=$CB579,SUMIF($BI567:$BI578,$BX574,$BR567:$BR578),SUMIF($BI567:$BI578,$BX574,$BM567:$BM578))</f>
        <v>0.38</v>
      </c>
      <c r="BZ574" s="821">
        <f>IF(IF(CB574=CB579,SUMIF(BI567:BI578,$BX574,BU567:BU578),SUMIF(BI567:BI578,$BX574,BP567:BP578))=0,NA(),IF(CB574=CB579,SUMIF(BI567:BI578,$BX574,BU567:BU578),SUMIF(BI567:BI578,$BX574,BP567:BP578)))</f>
        <v>0.05</v>
      </c>
      <c r="CA574" s="644">
        <f>IF(IF(CB574=CB579,SUMIF(BI567:BI578,$BX574,BS567:BS578),SUMIF(BI567:BI578,$BX574,BN567:BN578))=0,0,IF(CB574=CB579,SUMIF(BI567:BI578,$BX574,BS567:BS578),SUMIF(BI567:BI578,$BX574,BN567:BN578)))</f>
        <v>0</v>
      </c>
      <c r="CB574" s="645">
        <f t="shared" si="175"/>
        <v>23</v>
      </c>
      <c r="CC574" s="645">
        <f t="shared" si="172"/>
        <v>5</v>
      </c>
    </row>
    <row r="575" spans="61:81" ht="15" customHeight="1">
      <c r="BI575" s="638" t="s">
        <v>331</v>
      </c>
      <c r="BJ575" s="638">
        <v>9</v>
      </c>
      <c r="BK575" s="638" t="s">
        <v>328</v>
      </c>
      <c r="BL575" s="859">
        <v>0</v>
      </c>
      <c r="BM575" s="859">
        <v>0.38</v>
      </c>
      <c r="BN575" s="653">
        <f t="shared" si="173"/>
        <v>0</v>
      </c>
      <c r="BO575" s="855"/>
      <c r="BP575" s="821">
        <v>0.05</v>
      </c>
      <c r="BQ575" s="690"/>
      <c r="BR575" s="690"/>
      <c r="BS575" s="842" t="str">
        <f t="shared" si="174"/>
        <v/>
      </c>
      <c r="BT575" s="855"/>
      <c r="BU575" s="821">
        <v>0.05</v>
      </c>
      <c r="BX575" s="666" t="str">
        <f t="shared" si="171"/>
        <v>Jun</v>
      </c>
      <c r="BY575" s="643">
        <f>IF(CB575=$CB579,SUMIF($BI567:$BI578,$BX575,$BR567:$BR578),SUMIF($BI567:$BI578,$BX575,$BM567:$BM578))</f>
        <v>0.38</v>
      </c>
      <c r="BZ575" s="821">
        <f>IF(IF(CB575=CB579,SUMIF(BI567:BI578,$BX575,BU567:BU578),SUMIF(BI567:BI578,$BX575,BP567:BP578))=0,NA(),IF(CB575=CB579,SUMIF(BI567:BI578,$BX575,BU567:BU578),SUMIF(BI567:BI578,$BX575,BP567:BP578)))</f>
        <v>0.05</v>
      </c>
      <c r="CA575" s="644">
        <f>IF(IF(CB575=CB579,SUMIF(BI567:BI578,$BX575,BS567:BS578),SUMIF(BI567:BI578,$BX575,BN567:BN578))=0,0,IF(CB575=CB579,SUMIF(BI567:BI578,$BX575,BS567:BS578),SUMIF(BI567:BI578,$BX575,BN567:BN578)))</f>
        <v>0</v>
      </c>
      <c r="CB575" s="645">
        <f t="shared" si="175"/>
        <v>23</v>
      </c>
      <c r="CC575" s="645">
        <f t="shared" si="172"/>
        <v>6</v>
      </c>
    </row>
    <row r="576" spans="61:81" ht="15" customHeight="1">
      <c r="BI576" s="638" t="s">
        <v>337</v>
      </c>
      <c r="BJ576" s="638">
        <v>10</v>
      </c>
      <c r="BK576" s="638" t="s">
        <v>338</v>
      </c>
      <c r="BL576" s="859">
        <v>0.01</v>
      </c>
      <c r="BM576" s="859">
        <v>0.16</v>
      </c>
      <c r="BN576" s="653">
        <f t="shared" si="173"/>
        <v>6.25E-2</v>
      </c>
      <c r="BO576" s="289">
        <f>IF(SUM(BM576:BM578=0),0,SUM(BL576:BL578)/SUM(BM576:BM578))</f>
        <v>3.7037037037037035E-2</v>
      </c>
      <c r="BP576" s="821">
        <v>0.05</v>
      </c>
      <c r="BQ576" s="690"/>
      <c r="BR576" s="690"/>
      <c r="BS576" s="842" t="str">
        <f t="shared" si="174"/>
        <v/>
      </c>
      <c r="BT576" s="289">
        <f>IF(SUM(BR576:BR578=0),0,SUM(BQ576:BQ578)/SUM(BR576:BR578))</f>
        <v>0</v>
      </c>
      <c r="BU576" s="821">
        <v>0.05</v>
      </c>
      <c r="BX576" s="666" t="str">
        <f t="shared" si="171"/>
        <v>Jul</v>
      </c>
      <c r="BY576" s="643">
        <f>IF(CB576=$CB579,SUMIF($BI567:$BI578,$BX576,$BR567:$BR578),SUMIF($BI567:$BI578,$BX576,$BM567:$BM578))</f>
        <v>0.16</v>
      </c>
      <c r="BZ576" s="821">
        <f>IF(IF(CB576=CB579,SUMIF(BI567:BI578,$BX576,BU567:BU578),SUMIF(BI567:BI578,$BX576,BP567:BP578))=0,NA(),IF(CB576=CB579,SUMIF(BI567:BI578,$BX576,BU567:BU578),SUMIF(BI567:BI578,$BX576,BP567:BP578)))</f>
        <v>0.05</v>
      </c>
      <c r="CA576" s="644">
        <f>IF(IF(CB576=CB579,SUMIF(BI567:BI578,$BX576,BS567:BS578),SUMIF(BI567:BI578,$BX576,BN567:BN578))=0,0,IF(CB576=CB579,SUMIF(BI567:BI578,$BX576,BS567:BS578),SUMIF(BI567:BI578,$BX576,BN567:BN578)))</f>
        <v>6.25E-2</v>
      </c>
      <c r="CB576" s="645">
        <f t="shared" si="175"/>
        <v>23</v>
      </c>
      <c r="CC576" s="645">
        <f t="shared" si="172"/>
        <v>7</v>
      </c>
    </row>
    <row r="577" spans="61:81" ht="15" customHeight="1">
      <c r="BI577" s="638" t="s">
        <v>343</v>
      </c>
      <c r="BJ577" s="638">
        <v>11</v>
      </c>
      <c r="BK577" s="638" t="s">
        <v>338</v>
      </c>
      <c r="BL577" s="859">
        <v>0</v>
      </c>
      <c r="BM577" s="859">
        <v>0.1</v>
      </c>
      <c r="BN577" s="653">
        <f t="shared" si="173"/>
        <v>0</v>
      </c>
      <c r="BO577" s="855"/>
      <c r="BP577" s="821">
        <v>0.05</v>
      </c>
      <c r="BQ577" s="690"/>
      <c r="BR577" s="690"/>
      <c r="BS577" s="842" t="str">
        <f t="shared" si="174"/>
        <v/>
      </c>
      <c r="BT577" s="855"/>
      <c r="BU577" s="821">
        <v>0.05</v>
      </c>
      <c r="BX577" s="666" t="str">
        <f t="shared" si="171"/>
        <v>Aug</v>
      </c>
      <c r="BY577" s="643">
        <f>IF(CB577=$CB579,SUMIF($BI567:$BI578,$BX577,$BR567:$BR578),SUMIF($BI567:$BI578,$BX577,$BM567:$BM578))</f>
        <v>0.1</v>
      </c>
      <c r="BZ577" s="821">
        <f>IF(IF(CB577=CB579,SUMIF(BI567:BI578,$BX577,BU567:BU578),SUMIF(BI567:BI578,$BX577,BP567:BP578))=0,NA(),IF(CB577=CB579,SUMIF(BI567:BI578,$BX577,BU567:BU578),SUMIF(BI567:BI578,$BX577,BP567:BP578)))</f>
        <v>0.05</v>
      </c>
      <c r="CA577" s="644">
        <f>IF(IF(CB577=CB579,SUMIF(BI567:BI578,$BX577,BS567:BS578),SUMIF(BI567:BI578,$BX577,BN567:BN578))=0,0,IF(CB577=CB579,SUMIF(BI567:BI578,$BX577,BS567:BS578),SUMIF(BI567:BI578,$BX577,BN567:BN578)))</f>
        <v>0</v>
      </c>
      <c r="CB577" s="645">
        <f t="shared" si="175"/>
        <v>23</v>
      </c>
      <c r="CC577" s="645">
        <f t="shared" si="172"/>
        <v>8</v>
      </c>
    </row>
    <row r="578" spans="61:81" ht="15" customHeight="1">
      <c r="BI578" s="638" t="s">
        <v>344</v>
      </c>
      <c r="BJ578" s="638">
        <v>12</v>
      </c>
      <c r="BK578" s="638" t="s">
        <v>338</v>
      </c>
      <c r="BL578" s="859">
        <v>0.01</v>
      </c>
      <c r="BM578" s="859">
        <v>0.28000000000000003</v>
      </c>
      <c r="BN578" s="653">
        <f t="shared" si="173"/>
        <v>3.5714285714285712E-2</v>
      </c>
      <c r="BO578" s="855"/>
      <c r="BP578" s="821">
        <v>0.05</v>
      </c>
      <c r="BQ578" s="690"/>
      <c r="BR578" s="690"/>
      <c r="BS578" s="842" t="str">
        <f t="shared" si="174"/>
        <v/>
      </c>
      <c r="BT578" s="855"/>
      <c r="BU578" s="821">
        <v>0.05</v>
      </c>
      <c r="BX578" s="666" t="str">
        <f t="shared" si="171"/>
        <v>Sep</v>
      </c>
      <c r="BY578" s="643">
        <f>IF(CB578=$CB579,SUMIF($BI567:$BI578,$BX578,$BR567:$BR578),SUMIF($BI567:$BI578,$BX578,$BM567:$BM578))</f>
        <v>0.28000000000000003</v>
      </c>
      <c r="BZ578" s="821">
        <f>IF(IF(CB578=CB579,SUMIF(BI567:BI578,$BX578,BU567:BU578),SUMIF(BI567:BI578,$BX578,BP567:BP578))=0,NA(),IF(CB578=CB579,SUMIF(BI567:BI578,$BX578,BU567:BU578),SUMIF(BI567:BI578,$BX578,BP567:BP578)))</f>
        <v>0.05</v>
      </c>
      <c r="CA578" s="644">
        <f>IF(IF(CB578=CB579,SUMIF(BI567:BI578,$BX578,BS567:BS578),SUMIF(BI567:BI578,$BX578,BN567:BN578))=0,0,IF(CB578=CB579,SUMIF(BI567:BI578,$BX578,BS567:BS578),SUMIF(BI567:BI578,$BX578,BN567:BN578)))</f>
        <v>3.5714285714285712E-2</v>
      </c>
      <c r="CB578" s="645">
        <f t="shared" si="175"/>
        <v>23</v>
      </c>
      <c r="CC578" s="645">
        <f>IF(CC579-1&lt;1,CC579+11,CC579-1)</f>
        <v>9</v>
      </c>
    </row>
    <row r="579" spans="61:81" ht="15" customHeight="1">
      <c r="BI579" s="6"/>
      <c r="BJ579" s="6"/>
      <c r="BK579" s="6"/>
      <c r="BL579" s="6"/>
      <c r="BM579" s="6"/>
      <c r="BN579" s="6"/>
      <c r="BO579" s="6"/>
      <c r="BP579" s="6"/>
      <c r="BQ579" s="6"/>
      <c r="BR579" s="6"/>
      <c r="BS579" s="6"/>
      <c r="BT579" s="6"/>
      <c r="BU579" s="6"/>
      <c r="BW579" s="667" t="str">
        <f>Cover!$M$34</f>
        <v>OCT FY-24</v>
      </c>
      <c r="BX579" s="666" t="str">
        <f>TEXT(CONCATENATE(CC579,"/01/20",CB579),"MMM")</f>
        <v>Oct</v>
      </c>
      <c r="BY579" s="643">
        <f>SUMIF($BI567:$BI578,$BX579,$BR567:$BR578)</f>
        <v>0.3</v>
      </c>
      <c r="BZ579" s="821">
        <f>IF(IF(CB579=CB579,SUMIF(BI567:BI578,$BX579,BU567:BU578),SUMIF(BI567:BI578,$BX579,BP567:BP578))=0,NA(),IF(CB579=CB579,SUMIF(BI567:BI578,$BX579,BU567:BU578),SUMIF(BI567:BI578,$BX579,BP567:BP578)))</f>
        <v>0.05</v>
      </c>
      <c r="CA579" s="644">
        <f>IF(SUMIF($BI567:$BI578,$BX579,$BS567:$BS578)=0,0,SUMIF($BI567:$BI578,$BX579,$BS567:$BS578))</f>
        <v>3.3333333333333333E-2</v>
      </c>
      <c r="CB579" s="645">
        <f>CB560</f>
        <v>24</v>
      </c>
      <c r="CC579" s="645">
        <f>MONTH(DATEVALUE(LEFT(BW579,3)&amp;" 1"))</f>
        <v>10</v>
      </c>
    </row>
    <row r="580" spans="61:81" ht="15" customHeight="1">
      <c r="BJ580" s="6"/>
      <c r="BK580" s="6"/>
      <c r="BL580" s="6"/>
      <c r="BM580" s="6"/>
      <c r="BN580" s="6"/>
      <c r="BO580" s="6"/>
      <c r="BP580" s="6"/>
      <c r="BQ580" s="6"/>
      <c r="BR580" s="6"/>
      <c r="BS580" s="6"/>
      <c r="BT580" s="6"/>
      <c r="BU580" s="6"/>
    </row>
    <row r="581" spans="61:81" ht="15" customHeight="1">
      <c r="BI581" s="54" t="s">
        <v>292</v>
      </c>
      <c r="BJ581" s="287" t="s">
        <v>157</v>
      </c>
      <c r="BK581" s="287"/>
      <c r="BL581" s="287"/>
      <c r="BM581" s="287"/>
      <c r="BN581" s="287"/>
      <c r="BO581" s="287"/>
      <c r="BP581" s="287"/>
      <c r="BQ581" s="287"/>
      <c r="BR581" s="287"/>
      <c r="BS581" s="287"/>
      <c r="BT581" s="287"/>
      <c r="BU581" s="287"/>
    </row>
    <row r="582" spans="61:81" ht="15" customHeight="1">
      <c r="BI582" s="54" t="s">
        <v>296</v>
      </c>
      <c r="BJ582" s="283" t="s">
        <v>156</v>
      </c>
      <c r="BK582" s="283"/>
      <c r="BL582" s="283"/>
      <c r="BM582" s="283"/>
      <c r="BN582" s="283"/>
      <c r="BO582" s="283"/>
      <c r="BP582" s="283"/>
      <c r="BQ582" s="283"/>
      <c r="BR582" s="283"/>
      <c r="BS582" s="283"/>
      <c r="BT582" s="283"/>
      <c r="BU582" s="283"/>
    </row>
    <row r="583" spans="61:81" ht="15" customHeight="1" thickBot="1">
      <c r="BI583" s="54" t="s">
        <v>300</v>
      </c>
      <c r="BJ583" s="283" t="s">
        <v>472</v>
      </c>
      <c r="BK583" s="283"/>
      <c r="BL583" s="283"/>
      <c r="BM583" s="283"/>
      <c r="BN583" s="283"/>
      <c r="BO583" s="283"/>
      <c r="BP583" s="283"/>
      <c r="BQ583" s="283"/>
      <c r="BR583" s="283"/>
      <c r="BS583" s="283"/>
      <c r="BT583" s="283"/>
      <c r="BU583" s="283"/>
    </row>
    <row r="584" spans="61:81" ht="15" customHeight="1" thickBot="1">
      <c r="BI584" s="1402" t="s">
        <v>455</v>
      </c>
      <c r="BJ584" s="1403"/>
      <c r="BK584" s="1404"/>
      <c r="BL584" s="1402" t="s">
        <v>302</v>
      </c>
      <c r="BM584" s="1403"/>
      <c r="BN584" s="1403"/>
      <c r="BO584" s="1403"/>
      <c r="BP584" s="1404"/>
      <c r="BQ584" s="1402" t="s">
        <v>719</v>
      </c>
      <c r="BR584" s="1403"/>
      <c r="BS584" s="1403"/>
      <c r="BT584" s="1403"/>
      <c r="BU584" s="1404"/>
      <c r="BW584" s="1402" t="s">
        <v>303</v>
      </c>
      <c r="BX584" s="1403"/>
      <c r="BY584" s="1403"/>
      <c r="BZ584" s="1403"/>
      <c r="CA584" s="1403"/>
      <c r="CB584" s="1403"/>
      <c r="CC584" s="1404"/>
    </row>
    <row r="585" spans="61:81" ht="15" customHeight="1">
      <c r="BI585" s="636" t="s">
        <v>23</v>
      </c>
      <c r="BJ585" s="636" t="s">
        <v>37</v>
      </c>
      <c r="BK585" s="636" t="s">
        <v>304</v>
      </c>
      <c r="BL585" s="637" t="s">
        <v>305</v>
      </c>
      <c r="BM585" s="637" t="s">
        <v>310</v>
      </c>
      <c r="BN585" s="637" t="s">
        <v>311</v>
      </c>
      <c r="BO585" s="278" t="s">
        <v>312</v>
      </c>
      <c r="BP585" s="637" t="s">
        <v>313</v>
      </c>
      <c r="BQ585" s="637" t="s">
        <v>305</v>
      </c>
      <c r="BR585" s="637" t="s">
        <v>715</v>
      </c>
      <c r="BS585" s="637" t="s">
        <v>716</v>
      </c>
      <c r="BT585" s="278" t="s">
        <v>717</v>
      </c>
      <c r="BU585" s="637" t="s">
        <v>718</v>
      </c>
      <c r="BW585" s="279" t="s">
        <v>314</v>
      </c>
      <c r="BX585" s="279" t="s">
        <v>23</v>
      </c>
      <c r="BY585" s="280" t="s">
        <v>315</v>
      </c>
      <c r="BZ585" s="279" t="s">
        <v>122</v>
      </c>
      <c r="CA585" s="279" t="s">
        <v>316</v>
      </c>
      <c r="CB585" s="279" t="s">
        <v>317</v>
      </c>
      <c r="CC585" s="279" t="s">
        <v>318</v>
      </c>
    </row>
    <row r="586" spans="61:81" ht="15" customHeight="1">
      <c r="BI586" s="638" t="s">
        <v>319</v>
      </c>
      <c r="BJ586" s="638">
        <v>1</v>
      </c>
      <c r="BK586" s="638" t="s">
        <v>320</v>
      </c>
      <c r="BL586" s="859">
        <v>5.3999999999999999E-2</v>
      </c>
      <c r="BM586" s="869">
        <f>IF(BM548="","",BM548)</f>
        <v>6.3E-2</v>
      </c>
      <c r="BN586" s="653">
        <f>IF(BM586="","",BL586/BM586)</f>
        <v>0.8571428571428571</v>
      </c>
      <c r="BO586" s="289">
        <f>IF(SUM(BM586:BM588=0),0,SUM(BL586:BL588)/SUM(BM586:BM588))</f>
        <v>0.85131894484412463</v>
      </c>
      <c r="BP586" s="819">
        <v>0.8</v>
      </c>
      <c r="BQ586" s="690">
        <v>0.18</v>
      </c>
      <c r="BR586" s="869">
        <f>IF(BR548="","",BR548)</f>
        <v>0.26</v>
      </c>
      <c r="BS586" s="842">
        <f>IF(BR586="","",BQ586/BR586)</f>
        <v>0.69230769230769229</v>
      </c>
      <c r="BT586" s="289">
        <f>IF(SUM(BR586:BR588=""),0,SUM(BQ586:BQ588)/SUM(BR586:BR588))</f>
        <v>0.69230769230769229</v>
      </c>
      <c r="BU586" s="821">
        <v>0.8</v>
      </c>
      <c r="BX586" s="666" t="str">
        <f t="shared" ref="BX586:BX597" si="176">TEXT(CONCATENATE(CC586,"/01/20",CB586),"MMM")</f>
        <v>Oct</v>
      </c>
      <c r="BY586" s="643">
        <f>IF(CB586=$CB598,SUMIF($BI586:$BI597,$BX586,$BR586:$BR597),SUMIF($BI586:$BI597,$BX586,$BM586:$BM597))</f>
        <v>6.3E-2</v>
      </c>
      <c r="BZ586" s="821">
        <f>IF(IF(CB586=CB598,SUMIF(BI586:BI597,$BX586,BU586:BU597),SUMIF(BI586:BI597,$BX586,BP586:BP597))=0,NA(),IF(CB586=CB598,SUMIF(BI586:BI597,$BX586,BU586:BU597),SUMIF(BI586:BI597,$BX586,BP586:BP597)))</f>
        <v>0.8</v>
      </c>
      <c r="CA586" s="644">
        <f>IF(IF(CB586=CB598,SUMIF(BI586:BI597,$BX586,BS586:BS597),SUMIF(BI586:BI597,$BX586,BN586:BN597))=0,NA(),IF(CB586=CB598,SUMIF(BI586:BI597,$BX586,BS586:BS597),SUMIF(BI586:BI597,$BX586,BN586:BN597)))</f>
        <v>0.8571428571428571</v>
      </c>
      <c r="CB586" s="645">
        <f>CB567</f>
        <v>23</v>
      </c>
      <c r="CC586" s="645">
        <f t="shared" ref="CC586:CC596" si="177">IF(CC587-1&lt;1,CC587+11,CC587-1)</f>
        <v>10</v>
      </c>
    </row>
    <row r="587" spans="61:81" ht="15" customHeight="1">
      <c r="BI587" s="638" t="s">
        <v>321</v>
      </c>
      <c r="BJ587" s="638">
        <v>2</v>
      </c>
      <c r="BK587" s="638" t="s">
        <v>320</v>
      </c>
      <c r="BL587" s="859">
        <v>8.4000000000000005E-2</v>
      </c>
      <c r="BM587" s="869">
        <f t="shared" ref="BM587:BM596" si="178">IF(BM549="","",BM549)</f>
        <v>9.6000000000000002E-2</v>
      </c>
      <c r="BN587" s="653">
        <f t="shared" ref="BN587:BN597" si="179">IF(BM587="","",BL587/BM587)</f>
        <v>0.875</v>
      </c>
      <c r="BO587" s="855"/>
      <c r="BP587" s="819">
        <v>0.8</v>
      </c>
      <c r="BQ587" s="690"/>
      <c r="BR587" s="869" t="str">
        <f t="shared" ref="BR587:BR596" si="180">IF(BR549="","",BR549)</f>
        <v/>
      </c>
      <c r="BS587" s="842" t="str">
        <f t="shared" ref="BS587:BS597" si="181">IF(BR587="","",BQ587/BR587)</f>
        <v/>
      </c>
      <c r="BT587" s="855"/>
      <c r="BU587" s="821">
        <v>0.8</v>
      </c>
      <c r="BX587" s="666" t="str">
        <f t="shared" si="176"/>
        <v>Nov</v>
      </c>
      <c r="BY587" s="643">
        <f>IF(CB587=$CB598,SUMIF($BI586:$BI597,$BX587,$BR586:$BR597),SUMIF($BI586:$BI597,$BX587,$BM586:$BM597))</f>
        <v>9.6000000000000002E-2</v>
      </c>
      <c r="BZ587" s="821">
        <f>IF(IF(CB587=CB598,SUMIF(BI586:BI597,$BX587,BU586:BU597),SUMIF(BI586:BI597,$BX587,BP586:BP597))=0,NA(),IF(CB587=CB598,SUMIF(BI586:BI597,$BX587,BU586:BU597),SUMIF(BI586:BI597,$BX587,BP586:BP597)))</f>
        <v>0.8</v>
      </c>
      <c r="CA587" s="644">
        <f>IF(IF(CB587=CB598,SUMIF(BI586:BI597,$BX587,BS586:BS597),SUMIF(BI586:BI597,$BX587,BN586:BN597))=0,NA(),IF(CB587=CB598,SUMIF(BI586:BI597,$BX587,BS586:BS597),SUMIF(BI586:BI597,$BX587,BN586:BN597)))</f>
        <v>0.875</v>
      </c>
      <c r="CB587" s="645">
        <f t="shared" ref="CB587:CB597" si="182">CB568</f>
        <v>23</v>
      </c>
      <c r="CC587" s="645">
        <f t="shared" si="177"/>
        <v>11</v>
      </c>
    </row>
    <row r="588" spans="61:81" ht="15" customHeight="1">
      <c r="BI588" s="638" t="s">
        <v>322</v>
      </c>
      <c r="BJ588" s="638">
        <v>3</v>
      </c>
      <c r="BK588" s="638" t="s">
        <v>320</v>
      </c>
      <c r="BL588" s="859">
        <v>0.217</v>
      </c>
      <c r="BM588" s="869">
        <f t="shared" si="178"/>
        <v>0.25800000000000001</v>
      </c>
      <c r="BN588" s="653">
        <f t="shared" si="179"/>
        <v>0.8410852713178294</v>
      </c>
      <c r="BO588" s="855"/>
      <c r="BP588" s="819">
        <v>0.8</v>
      </c>
      <c r="BQ588" s="690"/>
      <c r="BR588" s="869" t="str">
        <f t="shared" si="180"/>
        <v/>
      </c>
      <c r="BS588" s="842" t="str">
        <f t="shared" si="181"/>
        <v/>
      </c>
      <c r="BT588" s="855"/>
      <c r="BU588" s="821">
        <v>0.8</v>
      </c>
      <c r="BX588" s="666" t="str">
        <f t="shared" si="176"/>
        <v>Dec</v>
      </c>
      <c r="BY588" s="643">
        <f>IF(CB588=$CB598,SUMIF($BI586:$BI597,$BX588,$BR586:$BR597),SUMIF($BI586:$BI597,$BX588,$BM586:$BM597))</f>
        <v>0.25800000000000001</v>
      </c>
      <c r="BZ588" s="821">
        <f>IF(IF(CB588=CB598,SUMIF(BI586:BI597,$BX588,BU586:BU597),SUMIF(BI586:BI597,$BX588,BP586:BP597))=0,NA(),IF(CB588=CB598,SUMIF(BI586:BI597,$BX588,BU586:BU597),SUMIF(BI586:BI597,$BX588,BP586:BP597)))</f>
        <v>0.8</v>
      </c>
      <c r="CA588" s="644">
        <f>IF(IF(CB588=CB598,SUMIF(BI586:BI597,$BX588,BS586:BS597),SUMIF(BI586:BI597,$BX588,BN586:BN597))=0,NA(),IF(CB588=CB598,SUMIF(BI586:BI597,$BX588,BS586:BS597),SUMIF(BI586:BI597,$BX588,BN586:BN597)))</f>
        <v>0.8410852713178294</v>
      </c>
      <c r="CB588" s="645">
        <f t="shared" si="182"/>
        <v>23</v>
      </c>
      <c r="CC588" s="645">
        <f t="shared" si="177"/>
        <v>12</v>
      </c>
    </row>
    <row r="589" spans="61:81" ht="15" customHeight="1">
      <c r="BI589" s="638" t="s">
        <v>323</v>
      </c>
      <c r="BJ589" s="638">
        <v>4</v>
      </c>
      <c r="BK589" s="638" t="s">
        <v>324</v>
      </c>
      <c r="BL589" s="859">
        <v>0.67</v>
      </c>
      <c r="BM589" s="869">
        <f t="shared" si="178"/>
        <v>0.72</v>
      </c>
      <c r="BN589" s="653">
        <f t="shared" si="179"/>
        <v>0.93055555555555569</v>
      </c>
      <c r="BO589" s="289">
        <f>IF(SUM(BM589:BM591=0),0,SUM(BL589:BL591)/SUM(BM589:BM591))</f>
        <v>0.94444444444444442</v>
      </c>
      <c r="BP589" s="819">
        <v>0.8</v>
      </c>
      <c r="BQ589" s="690"/>
      <c r="BR589" s="869" t="str">
        <f t="shared" si="180"/>
        <v/>
      </c>
      <c r="BS589" s="842" t="str">
        <f t="shared" si="181"/>
        <v/>
      </c>
      <c r="BT589" s="289">
        <f>IF(SUM(BR589:BR591=""),0,SUM(BQ589:BQ591)/SUM(BR589:BR591))</f>
        <v>0</v>
      </c>
      <c r="BU589" s="821">
        <v>0.8</v>
      </c>
      <c r="BX589" s="666" t="str">
        <f t="shared" si="176"/>
        <v>Jan</v>
      </c>
      <c r="BY589" s="643">
        <f>IF(CB589=$CB598,SUMIF($BI586:$BI597,$BX589,$BR586:$BR597),SUMIF($BI586:$BI597,$BX589,$BM586:$BM597))</f>
        <v>0.72</v>
      </c>
      <c r="BZ589" s="821">
        <f>IF(IF(CB589=CB598,SUMIF(BI586:BI597,$BX589,BU586:BU597),SUMIF(BI586:BI597,$BX589,BP586:BP597))=0,NA(),IF(CB589=CB598,SUMIF(BI586:BI597,$BX589,BU586:BU597),SUMIF(BI586:BI597,$BX589,BP586:BP597)))</f>
        <v>0.8</v>
      </c>
      <c r="CA589" s="644">
        <f>IF(IF(CB589=CB598,SUMIF(BI586:BI597,$BX589,BS586:BS597),SUMIF(BI586:BI597,$BX589,BN586:BN597))=0,NA(),IF(CB589=CB598,SUMIF(BI586:BI597,$BX589,BS586:BS597),SUMIF(BI586:BI597,$BX589,BN586:BN597)))</f>
        <v>0.93055555555555569</v>
      </c>
      <c r="CB589" s="645">
        <f t="shared" si="182"/>
        <v>23</v>
      </c>
      <c r="CC589" s="645">
        <f t="shared" si="177"/>
        <v>1</v>
      </c>
    </row>
    <row r="590" spans="61:81" ht="15" customHeight="1">
      <c r="BI590" s="638" t="s">
        <v>325</v>
      </c>
      <c r="BJ590" s="638">
        <v>5</v>
      </c>
      <c r="BK590" s="638" t="s">
        <v>324</v>
      </c>
      <c r="BL590" s="859">
        <v>0.55000000000000004</v>
      </c>
      <c r="BM590" s="869">
        <f t="shared" si="178"/>
        <v>0.61</v>
      </c>
      <c r="BN590" s="653">
        <f t="shared" si="179"/>
        <v>0.90163934426229519</v>
      </c>
      <c r="BO590" s="855"/>
      <c r="BP590" s="819">
        <v>0.8</v>
      </c>
      <c r="BQ590" s="690"/>
      <c r="BR590" s="869" t="str">
        <f t="shared" si="180"/>
        <v/>
      </c>
      <c r="BS590" s="842" t="str">
        <f t="shared" si="181"/>
        <v/>
      </c>
      <c r="BT590" s="855"/>
      <c r="BU590" s="821">
        <v>0.8</v>
      </c>
      <c r="BX590" s="666" t="str">
        <f t="shared" si="176"/>
        <v>Feb</v>
      </c>
      <c r="BY590" s="643">
        <f>IF(CB590=$CB598,SUMIF($BI586:$BI597,$BX590,$BR586:$BR597),SUMIF($BI586:$BI597,$BX590,$BM586:$BM597))</f>
        <v>0.61</v>
      </c>
      <c r="BZ590" s="821">
        <f>IF(IF(CB590=CB598,SUMIF(BI586:BI597,$BX590,BU586:BU597),SUMIF(BI586:BI597,$BX590,BP586:BP597))=0,NA(),IF(CB590=CB598,SUMIF(BI586:BI597,$BX590,BU586:BU597),SUMIF(BI586:BI597,$BX590,BP586:BP597)))</f>
        <v>0.8</v>
      </c>
      <c r="CA590" s="644">
        <f>IF(IF(CB590=CB598,SUMIF(BI586:BI597,$BX590,BS586:BS597),SUMIF(BI586:BI597,$BX590,BN586:BN597))=0,NA(),IF(CB590=CB598,SUMIF(BI586:BI597,$BX590,BS586:BS597),SUMIF(BI586:BI597,$BX590,BN586:BN597)))</f>
        <v>0.90163934426229519</v>
      </c>
      <c r="CB590" s="645">
        <f t="shared" si="182"/>
        <v>23</v>
      </c>
      <c r="CC590" s="645">
        <f t="shared" si="177"/>
        <v>2</v>
      </c>
    </row>
    <row r="591" spans="61:81" ht="15" customHeight="1">
      <c r="BI591" s="638" t="s">
        <v>326</v>
      </c>
      <c r="BJ591" s="638">
        <v>6</v>
      </c>
      <c r="BK591" s="638" t="s">
        <v>324</v>
      </c>
      <c r="BL591" s="859">
        <v>0.82</v>
      </c>
      <c r="BM591" s="869">
        <f t="shared" si="178"/>
        <v>0.83</v>
      </c>
      <c r="BN591" s="653">
        <f t="shared" si="179"/>
        <v>0.98795180722891562</v>
      </c>
      <c r="BO591" s="855"/>
      <c r="BP591" s="819">
        <v>0.8</v>
      </c>
      <c r="BQ591" s="690"/>
      <c r="BR591" s="869" t="str">
        <f t="shared" si="180"/>
        <v/>
      </c>
      <c r="BS591" s="842" t="str">
        <f t="shared" si="181"/>
        <v/>
      </c>
      <c r="BT591" s="855"/>
      <c r="BU591" s="821">
        <v>0.8</v>
      </c>
      <c r="BX591" s="666" t="str">
        <f t="shared" si="176"/>
        <v>Mar</v>
      </c>
      <c r="BY591" s="643">
        <f>IF(CB591=$CB598,SUMIF($BI586:$BI597,$BX591,$BR586:$BR597),SUMIF($BI586:$BI597,$BX591,$BM586:$BM597))</f>
        <v>0.83</v>
      </c>
      <c r="BZ591" s="821">
        <f>IF(IF(CB591=CB598,SUMIF(BI586:BI597,$BX591,BU586:BU597),SUMIF(BI586:BI597,$BX591,BP586:BP597))=0,NA(),IF(CB591=CB598,SUMIF(BI586:BI597,$BX591,BU586:BU597),SUMIF(BI586:BI597,$BX591,BP586:BP597)))</f>
        <v>0.8</v>
      </c>
      <c r="CA591" s="644">
        <f>IF(IF(CB591=CB598,SUMIF(BI586:BI597,$BX591,BS586:BS597),SUMIF(BI586:BI597,$BX591,BN586:BN597))=0,NA(),IF(CB591=CB598,SUMIF(BI586:BI597,$BX591,BS586:BS597),SUMIF(BI586:BI597,$BX591,BN586:BN597)))</f>
        <v>0.98795180722891562</v>
      </c>
      <c r="CB591" s="645">
        <f t="shared" si="182"/>
        <v>23</v>
      </c>
      <c r="CC591" s="645">
        <f t="shared" si="177"/>
        <v>3</v>
      </c>
    </row>
    <row r="592" spans="61:81" ht="15" customHeight="1">
      <c r="BI592" s="638" t="s">
        <v>327</v>
      </c>
      <c r="BJ592" s="638">
        <v>7</v>
      </c>
      <c r="BK592" s="638" t="s">
        <v>328</v>
      </c>
      <c r="BL592" s="859">
        <v>0.6</v>
      </c>
      <c r="BM592" s="869">
        <f t="shared" si="178"/>
        <v>0.61</v>
      </c>
      <c r="BN592" s="653">
        <f t="shared" si="179"/>
        <v>0.98360655737704916</v>
      </c>
      <c r="BO592" s="289">
        <f>IF(SUM(BM592:BM594=0),0,SUM(BL592:BL594)/SUM(BM592:BM594))</f>
        <v>0.95555555555555549</v>
      </c>
      <c r="BP592" s="819">
        <v>0.8</v>
      </c>
      <c r="BQ592" s="690"/>
      <c r="BR592" s="869" t="str">
        <f t="shared" si="180"/>
        <v/>
      </c>
      <c r="BS592" s="842" t="str">
        <f t="shared" si="181"/>
        <v/>
      </c>
      <c r="BT592" s="289">
        <f>IF(SUM(BR592:BR594=""),0,SUM(BQ592:BQ594)/SUM(BR592:BR594))</f>
        <v>0</v>
      </c>
      <c r="BU592" s="821">
        <v>0.8</v>
      </c>
      <c r="BX592" s="666" t="str">
        <f t="shared" si="176"/>
        <v>Apr</v>
      </c>
      <c r="BY592" s="643">
        <f>IF(CB592=$CB598,SUMIF($BI586:$BI597,$BX592,$BR586:$BR597),SUMIF($BI586:$BI597,$BX592,$BM586:$BM597))</f>
        <v>0.61</v>
      </c>
      <c r="BZ592" s="821">
        <f>IF(IF(CB592=CB598,SUMIF(BI586:BI597,$BX592,BU586:BU597),SUMIF(BI586:BI597,$BX592,BP586:BP597))=0,NA(),IF(CB592=CB598,SUMIF(BI586:BI597,$BX592,BU586:BU597),SUMIF(BI586:BI597,$BX592,BP586:BP597)))</f>
        <v>0.8</v>
      </c>
      <c r="CA592" s="644">
        <f>IF(IF(CB592=CB598,SUMIF(BI586:BI597,$BX592,BS586:BS597),SUMIF(BI586:BI597,$BX592,BN586:BN597))=0,NA(),IF(CB592=CB598,SUMIF(BI586:BI597,$BX592,BS586:BS597),SUMIF(BI586:BI597,$BX592,BN586:BN597)))</f>
        <v>0.98360655737704916</v>
      </c>
      <c r="CB592" s="645">
        <f t="shared" si="182"/>
        <v>23</v>
      </c>
      <c r="CC592" s="645">
        <f t="shared" si="177"/>
        <v>4</v>
      </c>
    </row>
    <row r="593" spans="61:81" ht="15" customHeight="1">
      <c r="BI593" s="638" t="s">
        <v>329</v>
      </c>
      <c r="BJ593" s="638">
        <v>8</v>
      </c>
      <c r="BK593" s="638" t="s">
        <v>328</v>
      </c>
      <c r="BL593" s="859">
        <v>0.34</v>
      </c>
      <c r="BM593" s="869">
        <f t="shared" si="178"/>
        <v>0.36</v>
      </c>
      <c r="BN593" s="653">
        <f t="shared" si="179"/>
        <v>0.94444444444444453</v>
      </c>
      <c r="BO593" s="855"/>
      <c r="BP593" s="819">
        <v>0.8</v>
      </c>
      <c r="BQ593" s="690"/>
      <c r="BR593" s="869" t="str">
        <f t="shared" si="180"/>
        <v/>
      </c>
      <c r="BS593" s="842" t="str">
        <f>IF(BR593="","",BQ593/BR593)</f>
        <v/>
      </c>
      <c r="BT593" s="855"/>
      <c r="BU593" s="821">
        <v>0.8</v>
      </c>
      <c r="BX593" s="666" t="str">
        <f t="shared" si="176"/>
        <v>May</v>
      </c>
      <c r="BY593" s="643">
        <f>IF(CB593=$CB598,SUMIF($BI586:$BI597,$BX593,$BR586:$BR597),SUMIF($BI586:$BI597,$BX593,$BM586:$BM597))</f>
        <v>0.36</v>
      </c>
      <c r="BZ593" s="821">
        <f>IF(IF(CB593=CB598,SUMIF(BI586:BI597,$BX593,BU586:BU597),SUMIF(BI586:BI597,$BX593,BP586:BP597))=0,NA(),IF(CB593=CB598,SUMIF(BI586:BI597,$BX593,BU586:BU597),SUMIF(BI586:BI597,$BX593,BP586:BP597)))</f>
        <v>0.8</v>
      </c>
      <c r="CA593" s="644">
        <f>IF(IF(CB593=CB598,SUMIF(BI586:BI597,$BX593,BS586:BS597),SUMIF(BI586:BI597,$BX593,BN586:BN597))=0,NA(),IF(CB593=CB598,SUMIF(BI586:BI597,$BX593,BS586:BS597),SUMIF(BI586:BI597,$BX593,BN586:BN597)))</f>
        <v>0.94444444444444453</v>
      </c>
      <c r="CB593" s="645">
        <f t="shared" si="182"/>
        <v>23</v>
      </c>
      <c r="CC593" s="645">
        <f t="shared" si="177"/>
        <v>5</v>
      </c>
    </row>
    <row r="594" spans="61:81" ht="15" customHeight="1">
      <c r="BI594" s="638" t="s">
        <v>331</v>
      </c>
      <c r="BJ594" s="638">
        <v>9</v>
      </c>
      <c r="BK594" s="638" t="s">
        <v>328</v>
      </c>
      <c r="BL594" s="859">
        <v>0.35</v>
      </c>
      <c r="BM594" s="869">
        <f t="shared" si="178"/>
        <v>0.38</v>
      </c>
      <c r="BN594" s="653">
        <f t="shared" si="179"/>
        <v>0.92105263157894735</v>
      </c>
      <c r="BO594" s="855"/>
      <c r="BP594" s="819">
        <v>0.8</v>
      </c>
      <c r="BQ594" s="690"/>
      <c r="BR594" s="869" t="str">
        <f t="shared" si="180"/>
        <v/>
      </c>
      <c r="BS594" s="842" t="str">
        <f t="shared" si="181"/>
        <v/>
      </c>
      <c r="BT594" s="855"/>
      <c r="BU594" s="821">
        <v>0.8</v>
      </c>
      <c r="BX594" s="666" t="str">
        <f t="shared" si="176"/>
        <v>Jun</v>
      </c>
      <c r="BY594" s="643">
        <f>IF(CB594=$CB598,SUMIF($BI586:$BI597,$BX594,$BR586:$BR597),SUMIF($BI586:$BI597,$BX594,$BM586:$BM597))</f>
        <v>0.38</v>
      </c>
      <c r="BZ594" s="821">
        <f>IF(IF(CB594=CB598,SUMIF(BI586:BI597,$BX594,BU586:BU597),SUMIF(BI586:BI597,$BX594,BP586:BP597))=0,NA(),IF(CB594=CB598,SUMIF(BI586:BI597,$BX594,BU586:BU597),SUMIF(BI586:BI597,$BX594,BP586:BP597)))</f>
        <v>0.8</v>
      </c>
      <c r="CA594" s="644">
        <f>IF(IF(CB594=CB598,SUMIF(BI586:BI597,$BX594,BS586:BS597),SUMIF(BI586:BI597,$BX594,BN586:BN597))=0,NA(),IF(CB594=CB598,SUMIF(BI586:BI597,$BX594,BS586:BS597),SUMIF(BI586:BI597,$BX594,BN586:BN597)))</f>
        <v>0.92105263157894735</v>
      </c>
      <c r="CB594" s="645">
        <f t="shared" si="182"/>
        <v>23</v>
      </c>
      <c r="CC594" s="645">
        <f t="shared" si="177"/>
        <v>6</v>
      </c>
    </row>
    <row r="595" spans="61:81" ht="15" customHeight="1">
      <c r="BI595" s="638" t="s">
        <v>337</v>
      </c>
      <c r="BJ595" s="638">
        <v>10</v>
      </c>
      <c r="BK595" s="638" t="s">
        <v>338</v>
      </c>
      <c r="BL595" s="859">
        <v>0.1</v>
      </c>
      <c r="BM595" s="869">
        <f t="shared" si="178"/>
        <v>0.14000000000000001</v>
      </c>
      <c r="BN595" s="653">
        <f t="shared" si="179"/>
        <v>0.7142857142857143</v>
      </c>
      <c r="BO595" s="289">
        <f>IF(SUM(BM595:BM597=0),0,SUM(BL595:BL597)/SUM(BM595:BM597))</f>
        <v>0.8431372549019609</v>
      </c>
      <c r="BP595" s="819">
        <v>0.8</v>
      </c>
      <c r="BQ595" s="690"/>
      <c r="BR595" s="869" t="str">
        <f t="shared" si="180"/>
        <v/>
      </c>
      <c r="BS595" s="842" t="str">
        <f t="shared" si="181"/>
        <v/>
      </c>
      <c r="BT595" s="289">
        <f>IF(SUM(BR595:BR597=""),0,SUM(BQ595:BQ597)/SUM(BR595:BR597))</f>
        <v>0</v>
      </c>
      <c r="BU595" s="821">
        <v>0.8</v>
      </c>
      <c r="BX595" s="666" t="str">
        <f t="shared" si="176"/>
        <v>Jul</v>
      </c>
      <c r="BY595" s="643">
        <f>IF(CB595=$CB598,SUMIF($BI586:$BI597,$BX595,$BR586:$BR597),SUMIF($BI586:$BI597,$BX595,$BM586:$BM597))</f>
        <v>0.14000000000000001</v>
      </c>
      <c r="BZ595" s="821">
        <f>IF(IF(CB595=CB598,SUMIF(BI586:BI597,$BX595,BU586:BU597),SUMIF(BI586:BI597,$BX595,BP586:BP597))=0,NA(),IF(CB595=CB598,SUMIF(BI586:BI597,$BX595,BU586:BU597),SUMIF(BI586:BI597,$BX595,BP586:BP597)))</f>
        <v>0.8</v>
      </c>
      <c r="CA595" s="644">
        <f>IF(IF(CB595=CB598,SUMIF(BI586:BI597,$BX595,BS586:BS597),SUMIF(BI586:BI597,$BX595,BN586:BN597))=0,NA(),IF(CB595=CB598,SUMIF(BI586:BI597,$BX595,BS586:BS597),SUMIF(BI586:BI597,$BX595,BN586:BN597)))</f>
        <v>0.7142857142857143</v>
      </c>
      <c r="CB595" s="645">
        <f t="shared" si="182"/>
        <v>23</v>
      </c>
      <c r="CC595" s="645">
        <f t="shared" si="177"/>
        <v>7</v>
      </c>
    </row>
    <row r="596" spans="61:81" ht="15" customHeight="1">
      <c r="BI596" s="638" t="s">
        <v>343</v>
      </c>
      <c r="BJ596" s="638">
        <v>11</v>
      </c>
      <c r="BK596" s="638" t="s">
        <v>338</v>
      </c>
      <c r="BL596" s="859">
        <v>0.1</v>
      </c>
      <c r="BM596" s="869">
        <f t="shared" si="178"/>
        <v>0.1</v>
      </c>
      <c r="BN596" s="653">
        <f t="shared" si="179"/>
        <v>1</v>
      </c>
      <c r="BO596" s="855"/>
      <c r="BP596" s="819">
        <v>0.8</v>
      </c>
      <c r="BQ596" s="690"/>
      <c r="BR596" s="869" t="str">
        <f t="shared" si="180"/>
        <v/>
      </c>
      <c r="BS596" s="842" t="str">
        <f t="shared" si="181"/>
        <v/>
      </c>
      <c r="BT596" s="855"/>
      <c r="BU596" s="821">
        <v>0.8</v>
      </c>
      <c r="BX596" s="666" t="str">
        <f t="shared" si="176"/>
        <v>Aug</v>
      </c>
      <c r="BY596" s="643">
        <f>IF(CB596=$CB598,SUMIF($BI586:$BI597,$BX596,$BR586:$BR597),SUMIF($BI586:$BI597,$BX596,$BM586:$BM597))</f>
        <v>0.1</v>
      </c>
      <c r="BZ596" s="821">
        <f>IF(IF(CB596=CB598,SUMIF(BI586:BI597,$BX596,BU586:BU597),SUMIF(BI586:BI597,$BX596,BP586:BP597))=0,NA(),IF(CB596=CB598,SUMIF(BI586:BI597,$BX596,BU586:BU597),SUMIF(BI586:BI597,$BX596,BP586:BP597)))</f>
        <v>0.8</v>
      </c>
      <c r="CA596" s="644">
        <f>IF(IF(CB596=CB598,SUMIF(BI586:BI597,$BX596,BS586:BS597),SUMIF(BI586:BI597,$BX596,BN586:BN597))=0,NA(),IF(CB596=CB598,SUMIF(BI586:BI597,$BX596,BS586:BS597),SUMIF(BI586:BI597,$BX596,BN586:BN597)))</f>
        <v>1</v>
      </c>
      <c r="CB596" s="645">
        <f t="shared" si="182"/>
        <v>23</v>
      </c>
      <c r="CC596" s="645">
        <f t="shared" si="177"/>
        <v>8</v>
      </c>
    </row>
    <row r="597" spans="61:81" ht="15" customHeight="1">
      <c r="BI597" s="638" t="s">
        <v>344</v>
      </c>
      <c r="BJ597" s="638">
        <v>12</v>
      </c>
      <c r="BK597" s="638" t="s">
        <v>338</v>
      </c>
      <c r="BL597" s="859">
        <v>0.23</v>
      </c>
      <c r="BM597" s="869">
        <f>IF(BM559="","",BM559)</f>
        <v>0.27</v>
      </c>
      <c r="BN597" s="653">
        <f t="shared" si="179"/>
        <v>0.85185185185185186</v>
      </c>
      <c r="BO597" s="855"/>
      <c r="BP597" s="819">
        <v>0.8</v>
      </c>
      <c r="BQ597" s="690"/>
      <c r="BR597" s="869" t="str">
        <f>IF(BR559="","",BR559)</f>
        <v/>
      </c>
      <c r="BS597" s="842" t="str">
        <f t="shared" si="181"/>
        <v/>
      </c>
      <c r="BT597" s="855"/>
      <c r="BU597" s="821">
        <v>0.8</v>
      </c>
      <c r="BX597" s="666" t="str">
        <f t="shared" si="176"/>
        <v>Sep</v>
      </c>
      <c r="BY597" s="643">
        <f>IF(CB597=$CB598,SUMIF($BI586:$BI597,$BX597,$BR586:$BR597),SUMIF($BI586:$BI597,$BX597,$BM586:$BM597))</f>
        <v>0.27</v>
      </c>
      <c r="BZ597" s="821">
        <f>IF(IF(CB597=CB598,SUMIF(BI586:BI597,$BX597,BU586:BU597),SUMIF(BI586:BI597,$BX597,BP586:BP597))=0,NA(),IF(CB597=CB598,SUMIF(BI586:BI597,$BX597,BU586:BU597),SUMIF(BI586:BI597,$BX597,BP586:BP597)))</f>
        <v>0.8</v>
      </c>
      <c r="CA597" s="644">
        <f>IF(IF(CB597=CB598,SUMIF(BI586:BI597,$BX597,BS586:BS597),SUMIF(BI586:BI597,$BX597,BN586:BN597))=0,NA(),IF(CB597=CB598,SUMIF(BI586:BI597,$BX597,BS586:BS597),SUMIF(BI586:BI597,$BX597,BN586:BN597)))</f>
        <v>0.85185185185185186</v>
      </c>
      <c r="CB597" s="645">
        <f t="shared" si="182"/>
        <v>23</v>
      </c>
      <c r="CC597" s="645">
        <f>IF(CC598-1&lt;1,CC598+11,CC598-1)</f>
        <v>9</v>
      </c>
    </row>
    <row r="598" spans="61:81" ht="15" customHeight="1">
      <c r="BW598" s="667" t="str">
        <f>Cover!$M$34</f>
        <v>OCT FY-24</v>
      </c>
      <c r="BX598" s="666" t="str">
        <f>TEXT(CONCATENATE(CC598,"/01/20",CB598),"MMM")</f>
        <v>Oct</v>
      </c>
      <c r="BY598" s="643">
        <f>SUMIF($BI586:$BI597,$BX598,$BR586:$BR597)</f>
        <v>0.26</v>
      </c>
      <c r="BZ598" s="821">
        <f>IF(IF(CB598=CB598,SUMIF(BI586:BI597,$BX598,BU586:BU597),SUMIF(BI586:BI597,$BX598,BP586:BP597))=0,NA(),IF(CB598=CB598,SUMIF(BI586:BI597,$BX598,BU586:BU597),SUMIF(BI586:BI597,$BX598,BP586:BP597)))</f>
        <v>0.8</v>
      </c>
      <c r="CA598" s="644">
        <f>IF(SUMIF($BI586:$BI597,$BX598,$BS586:$BS597)=0,NA(),SUMIF($BI586:$BI597,$BX598,$BS586:$BS597))</f>
        <v>0.69230769230769229</v>
      </c>
      <c r="CB598" s="645">
        <f>CB579</f>
        <v>24</v>
      </c>
      <c r="CC598" s="645">
        <f>MONTH(DATEVALUE(LEFT(BW598,3)&amp;" 1"))</f>
        <v>10</v>
      </c>
    </row>
    <row r="599" spans="61:81" ht="15" customHeight="1">
      <c r="BJ599" s="6"/>
      <c r="BK599" s="6"/>
      <c r="BL599" s="6"/>
      <c r="BM599" s="6"/>
      <c r="BN599" s="6"/>
      <c r="BO599" s="6"/>
      <c r="BP599" s="6"/>
      <c r="BQ599" s="6"/>
      <c r="BR599" s="6"/>
      <c r="BS599" s="6"/>
      <c r="BT599" s="6"/>
      <c r="BU599" s="6"/>
    </row>
    <row r="600" spans="61:81" ht="15" customHeight="1">
      <c r="BI600" s="272" t="s">
        <v>245</v>
      </c>
      <c r="BJ600" s="276"/>
      <c r="BK600" s="276"/>
      <c r="BL600" s="276"/>
      <c r="BM600" s="276"/>
      <c r="BN600" s="276"/>
      <c r="BO600" s="276"/>
      <c r="BP600" s="276"/>
      <c r="BQ600" s="276"/>
      <c r="BR600" s="276"/>
      <c r="BS600" s="276"/>
      <c r="BT600" s="276"/>
      <c r="BU600" s="276"/>
      <c r="BW600" s="37"/>
      <c r="BX600" s="37"/>
      <c r="BY600" s="37"/>
      <c r="BZ600" s="37"/>
      <c r="CA600" s="37"/>
      <c r="CB600" s="37"/>
      <c r="CC600" s="37"/>
    </row>
    <row r="601" spans="61:81" ht="15" customHeight="1">
      <c r="BI601" s="54" t="s">
        <v>292</v>
      </c>
      <c r="BJ601" s="1116" t="s">
        <v>463</v>
      </c>
      <c r="BK601" s="1116"/>
      <c r="BL601" s="1116"/>
      <c r="BM601" s="1116"/>
      <c r="BN601" s="1116"/>
      <c r="BO601" s="1116"/>
      <c r="BP601" s="1116"/>
      <c r="BQ601" s="1116"/>
      <c r="BR601" s="1116"/>
      <c r="BS601" s="1116"/>
      <c r="BT601" s="1116"/>
      <c r="BU601" s="1116"/>
      <c r="BW601" s="37"/>
      <c r="BX601" s="37"/>
      <c r="BY601" s="37"/>
      <c r="BZ601" s="37"/>
      <c r="CA601" s="37"/>
      <c r="CB601" s="37"/>
      <c r="CC601" s="37"/>
    </row>
    <row r="602" spans="61:81" ht="15" customHeight="1">
      <c r="BI602" s="54" t="s">
        <v>296</v>
      </c>
      <c r="BJ602" s="1233" t="s">
        <v>461</v>
      </c>
      <c r="BK602" s="1233"/>
      <c r="BL602" s="1233"/>
      <c r="BM602" s="1233"/>
      <c r="BN602" s="1233"/>
      <c r="BO602" s="1233"/>
      <c r="BP602" s="1233"/>
      <c r="BQ602" s="1233"/>
      <c r="BR602" s="1233"/>
      <c r="BS602" s="1233"/>
      <c r="BT602" s="1233"/>
      <c r="BU602" s="1233"/>
      <c r="BW602" s="37"/>
      <c r="BX602" s="37"/>
      <c r="BY602" s="37"/>
      <c r="BZ602" s="37"/>
      <c r="CA602" s="37"/>
      <c r="CB602" s="37"/>
      <c r="CC602" s="37"/>
    </row>
    <row r="603" spans="61:81" ht="15" customHeight="1" thickBot="1">
      <c r="BI603" s="54" t="s">
        <v>300</v>
      </c>
      <c r="BJ603" s="1222" t="s">
        <v>462</v>
      </c>
      <c r="BK603" s="1222"/>
      <c r="BL603" s="1222"/>
      <c r="BM603" s="1222"/>
      <c r="BN603" s="1222"/>
      <c r="BO603" s="1222"/>
      <c r="BP603" s="1222"/>
      <c r="BQ603" s="1222"/>
      <c r="BR603" s="1222"/>
      <c r="BS603" s="1222"/>
      <c r="BT603" s="1222"/>
      <c r="BU603" s="1222"/>
      <c r="BW603" s="37"/>
      <c r="BX603" s="37"/>
      <c r="BY603" s="37"/>
      <c r="BZ603" s="37"/>
      <c r="CA603" s="37"/>
      <c r="CB603" s="37"/>
      <c r="CC603" s="37"/>
    </row>
    <row r="604" spans="61:81" ht="15" customHeight="1" thickBot="1">
      <c r="BI604" s="1443" t="s">
        <v>457</v>
      </c>
      <c r="BJ604" s="1444"/>
      <c r="BK604" s="1445"/>
      <c r="BL604" s="1443" t="s">
        <v>302</v>
      </c>
      <c r="BM604" s="1444"/>
      <c r="BN604" s="1444"/>
      <c r="BO604" s="1444"/>
      <c r="BP604" s="1445"/>
      <c r="BQ604" s="1443" t="s">
        <v>719</v>
      </c>
      <c r="BR604" s="1444"/>
      <c r="BS604" s="1444"/>
      <c r="BT604" s="1444"/>
      <c r="BU604" s="1445"/>
      <c r="BW604" s="1443" t="s">
        <v>303</v>
      </c>
      <c r="BX604" s="1444"/>
      <c r="BY604" s="1444"/>
      <c r="BZ604" s="1444"/>
      <c r="CA604" s="1444"/>
      <c r="CB604" s="1444"/>
      <c r="CC604" s="1445"/>
    </row>
    <row r="605" spans="61:81" ht="15" customHeight="1">
      <c r="BI605" s="636" t="s">
        <v>23</v>
      </c>
      <c r="BJ605" s="636" t="s">
        <v>37</v>
      </c>
      <c r="BK605" s="636" t="s">
        <v>304</v>
      </c>
      <c r="BL605" s="637" t="s">
        <v>305</v>
      </c>
      <c r="BM605" s="637" t="s">
        <v>310</v>
      </c>
      <c r="BN605" s="637" t="s">
        <v>311</v>
      </c>
      <c r="BO605" s="278" t="s">
        <v>312</v>
      </c>
      <c r="BP605" s="637" t="s">
        <v>313</v>
      </c>
      <c r="BQ605" s="637" t="s">
        <v>305</v>
      </c>
      <c r="BR605" s="637" t="s">
        <v>715</v>
      </c>
      <c r="BS605" s="637" t="s">
        <v>716</v>
      </c>
      <c r="BT605" s="278" t="s">
        <v>717</v>
      </c>
      <c r="BU605" s="637" t="s">
        <v>718</v>
      </c>
      <c r="BW605" s="279" t="s">
        <v>314</v>
      </c>
      <c r="BX605" s="279" t="s">
        <v>23</v>
      </c>
      <c r="BY605" s="280" t="s">
        <v>315</v>
      </c>
      <c r="BZ605" s="279" t="s">
        <v>122</v>
      </c>
      <c r="CA605" s="279" t="s">
        <v>316</v>
      </c>
      <c r="CB605" s="279" t="s">
        <v>317</v>
      </c>
      <c r="CC605" s="279" t="s">
        <v>318</v>
      </c>
    </row>
    <row r="606" spans="61:81" ht="15" customHeight="1">
      <c r="BI606" s="638" t="s">
        <v>319</v>
      </c>
      <c r="BJ606" s="638">
        <v>1</v>
      </c>
      <c r="BK606" s="638" t="s">
        <v>320</v>
      </c>
      <c r="BL606" s="689">
        <v>0.53400000000000003</v>
      </c>
      <c r="BM606" s="689">
        <v>0.56200000000000006</v>
      </c>
      <c r="BN606" s="653">
        <f>IF(BM606="","",BL606/BM606)</f>
        <v>0.95017793594306044</v>
      </c>
      <c r="BO606" s="289">
        <f>IF(SUM(BM606:BM608=0),0,SUM(BL606:BL608)/SUM(BM606:BM608))</f>
        <v>0.94507211538461533</v>
      </c>
      <c r="BP606" s="821">
        <v>0.9</v>
      </c>
      <c r="BQ606" s="689">
        <v>0.73699999999999999</v>
      </c>
      <c r="BR606" s="689">
        <v>0.76700000000000002</v>
      </c>
      <c r="BS606" s="842">
        <f>IF(BR606="","",BQ606/BR606)</f>
        <v>0.96088657105606257</v>
      </c>
      <c r="BT606" s="289">
        <f>IF(SUM(BR606:BR608=0),0,SUM(BQ606:BQ608)/SUM(BR606:BR608))</f>
        <v>0.96088657105606257</v>
      </c>
      <c r="BU606" s="821">
        <v>0.9</v>
      </c>
      <c r="BW606" s="37"/>
      <c r="BX606" s="642" t="str">
        <f t="shared" ref="BX606:BX617" si="183">TEXT(CONCATENATE(CC606,"/01/20",CB606),"MMM")</f>
        <v>Oct</v>
      </c>
      <c r="BY606" s="643">
        <f>IF(CB606=$CB618,SUMIF($BI606:$BI617,$BX606,$BR606:$BR617),SUMIF($BI606:$BI617,$BX606,$BM606:$BM617))</f>
        <v>0.56200000000000006</v>
      </c>
      <c r="BZ606" s="821">
        <f>IF(IF(CB606=CB618,SUMIF(BI606:BI617,$BX606,BU606:BU617),SUMIF(BI606:BI617,$BX606,BP606:BP617))=0,NA(),IF(CB606=CB618,SUMIF(BI606:BI617,$BX606,BU606:BU617),SUMIF(BI606:BI617,$BX606,BP606:BP617)))</f>
        <v>0.9</v>
      </c>
      <c r="CA606" s="644">
        <f>IF(IF(CB606=CB618,SUMIF(BI606:BI617,$BX606,BS606:BS617),SUMIF(BI606:BI617,$BX606,BN606:BN617))=0,NA(),IF(CB606=CB618,SUMIF(BI606:BI617,$BX606,BS606:BS617),SUMIF(BI606:BI617,$BX606,BN606:BN617)))</f>
        <v>0.95017793594306044</v>
      </c>
      <c r="CB606" s="645">
        <f t="shared" ref="CB606:CB618" si="184">CB586</f>
        <v>23</v>
      </c>
      <c r="CC606" s="645">
        <f t="shared" ref="CC606:CC616" si="185">IF(CC607-1&lt;1,CC607+11,CC607-1)</f>
        <v>10</v>
      </c>
    </row>
    <row r="607" spans="61:81" ht="15" customHeight="1">
      <c r="BI607" s="638" t="s">
        <v>321</v>
      </c>
      <c r="BJ607" s="638">
        <v>2</v>
      </c>
      <c r="BK607" s="638" t="s">
        <v>320</v>
      </c>
      <c r="BL607" s="689">
        <v>0.3</v>
      </c>
      <c r="BM607" s="689">
        <v>0.317</v>
      </c>
      <c r="BN607" s="653">
        <f t="shared" ref="BN607:BN616" si="186">IF(BM607="","",BL607/BM607)</f>
        <v>0.94637223974763407</v>
      </c>
      <c r="BO607" s="854"/>
      <c r="BP607" s="821">
        <v>0.9</v>
      </c>
      <c r="BQ607" s="689"/>
      <c r="BR607" s="689"/>
      <c r="BS607" s="842" t="str">
        <f t="shared" ref="BS607:BS616" si="187">IF(BR607="","",BQ607/BR607)</f>
        <v/>
      </c>
      <c r="BT607" s="854"/>
      <c r="BU607" s="821">
        <v>0.9</v>
      </c>
      <c r="BW607" s="37"/>
      <c r="BX607" s="642" t="str">
        <f t="shared" si="183"/>
        <v>Nov</v>
      </c>
      <c r="BY607" s="643">
        <f>IF(CB607=$CB618,SUMIF($BI606:$BI617,$BX607,$BR606:$BR617),SUMIF($BI606:$BI617,$BX607,$BM606:$BM617))</f>
        <v>0.317</v>
      </c>
      <c r="BZ607" s="821">
        <f>IF(IF(CB607=CB618,SUMIF(BI606:BI617,$BX607,BU606:BU617),SUMIF(BI606:BI617,$BX607,BP606:BP617))=0,NA(),IF(CB607=CB618,SUMIF(BI606:BI617,$BX607,BU606:BU617),SUMIF(BI606:BI617,$BX607,BP606:BP617)))</f>
        <v>0.9</v>
      </c>
      <c r="CA607" s="644">
        <f>IF(IF(CB607=CB618,SUMIF(BI606:BI617,$BX607,BS606:BS617),SUMIF(BI606:BI617,$BX607,BN606:BN617))=0,NA(),IF(CB607=CB618,SUMIF(BI606:BI617,$BX607,BS606:BS617),SUMIF(BI606:BI617,$BX607,BN606:BN617)))</f>
        <v>0.94637223974763407</v>
      </c>
      <c r="CB607" s="645">
        <f t="shared" si="184"/>
        <v>23</v>
      </c>
      <c r="CC607" s="645">
        <f t="shared" si="185"/>
        <v>11</v>
      </c>
    </row>
    <row r="608" spans="61:81" ht="15" customHeight="1">
      <c r="BI608" s="638" t="s">
        <v>322</v>
      </c>
      <c r="BJ608" s="638">
        <v>3</v>
      </c>
      <c r="BK608" s="638" t="s">
        <v>320</v>
      </c>
      <c r="BL608" s="689">
        <v>0.73860000000000003</v>
      </c>
      <c r="BM608" s="689">
        <v>0.78500000000000003</v>
      </c>
      <c r="BN608" s="653">
        <f t="shared" si="186"/>
        <v>0.9408917197452229</v>
      </c>
      <c r="BO608" s="854"/>
      <c r="BP608" s="821">
        <v>0.9</v>
      </c>
      <c r="BQ608" s="689"/>
      <c r="BR608" s="689"/>
      <c r="BS608" s="842" t="str">
        <f t="shared" si="187"/>
        <v/>
      </c>
      <c r="BT608" s="854"/>
      <c r="BU608" s="821">
        <v>0.9</v>
      </c>
      <c r="BW608" s="37"/>
      <c r="BX608" s="642" t="str">
        <f t="shared" si="183"/>
        <v>Dec</v>
      </c>
      <c r="BY608" s="643">
        <f>IF(CB608=$CB618,SUMIF($BI606:$BI617,$BX608,$BR606:$BR617),SUMIF($BI606:$BI617,$BX608,$BM606:$BM617))</f>
        <v>0.78500000000000003</v>
      </c>
      <c r="BZ608" s="821">
        <f>IF(IF(CB608=CB618,SUMIF(BI606:BI617,$BX608,BU606:BU617),SUMIF(BI606:BI617,$BX608,BP606:BP617))=0,NA(),IF(CB608=CB618,SUMIF(BI606:BI617,$BX608,BU606:BU617),SUMIF(BI606:BI617,$BX608,BP606:BP617)))</f>
        <v>0.9</v>
      </c>
      <c r="CA608" s="644">
        <f>IF(IF(CB608=CB618,SUMIF(BI606:BI617,$BX608,BS606:BS617),SUMIF(BI606:BI617,$BX608,BN606:BN617))=0,NA(),IF(CB608=CB618,SUMIF(BI606:BI617,$BX608,BS606:BS617),SUMIF(BI606:BI617,$BX608,BN606:BN617)))</f>
        <v>0.9408917197452229</v>
      </c>
      <c r="CB608" s="645">
        <f t="shared" si="184"/>
        <v>23</v>
      </c>
      <c r="CC608" s="645">
        <f t="shared" si="185"/>
        <v>12</v>
      </c>
    </row>
    <row r="609" spans="60:81" ht="15" customHeight="1">
      <c r="BI609" s="638" t="s">
        <v>323</v>
      </c>
      <c r="BJ609" s="638">
        <v>4</v>
      </c>
      <c r="BK609" s="638" t="s">
        <v>324</v>
      </c>
      <c r="BL609" s="689">
        <v>0.78539999999999999</v>
      </c>
      <c r="BM609" s="689">
        <v>0.81599999999999995</v>
      </c>
      <c r="BN609" s="653">
        <f t="shared" si="186"/>
        <v>0.96250000000000002</v>
      </c>
      <c r="BO609" s="289">
        <f>IF(SUM(BM609:BM611=0),0,SUM(BL609:BL611)/SUM(BM609:BM611))</f>
        <v>0.95446205170975817</v>
      </c>
      <c r="BP609" s="821">
        <v>0.9</v>
      </c>
      <c r="BQ609" s="689"/>
      <c r="BR609" s="689"/>
      <c r="BS609" s="842" t="str">
        <f t="shared" si="187"/>
        <v/>
      </c>
      <c r="BT609" s="289">
        <f>IF(SUM(BR609:BR611=0),0,SUM(BQ609:BQ611)/SUM(BR609:BR611))</f>
        <v>0</v>
      </c>
      <c r="BU609" s="821">
        <v>0.9</v>
      </c>
      <c r="BW609" s="37"/>
      <c r="BX609" s="642" t="str">
        <f t="shared" si="183"/>
        <v>Jan</v>
      </c>
      <c r="BY609" s="643">
        <f>IF(CB609=$CB618,SUMIF($BI606:$BI617,$BX609,$BR606:$BR617),SUMIF($BI606:$BI617,$BX609,$BM606:$BM617))</f>
        <v>0.81599999999999995</v>
      </c>
      <c r="BZ609" s="821">
        <f>IF(IF(CB609=CB618,SUMIF(BI606:BI617,$BX609,BU606:BU617),SUMIF(BI606:BI617,$BX609,BP606:BP617))=0,NA(),IF(CB609=CB618,SUMIF(BI606:BI617,$BX609,BU606:BU617),SUMIF(BI606:BI617,$BX609,BP606:BP617)))</f>
        <v>0.9</v>
      </c>
      <c r="CA609" s="644">
        <f>IF(IF(CB609=CB618,SUMIF(BI606:BI617,$BX609,BS606:BS617),SUMIF(BI606:BI617,$BX609,BN606:BN617))=0,NA(),IF(CB609=CB618,SUMIF(BI606:BI617,$BX609,BS606:BS617),SUMIF(BI606:BI617,$BX609,BN606:BN617)))</f>
        <v>0.96250000000000002</v>
      </c>
      <c r="CB609" s="645">
        <f t="shared" si="184"/>
        <v>23</v>
      </c>
      <c r="CC609" s="645">
        <f t="shared" si="185"/>
        <v>1</v>
      </c>
    </row>
    <row r="610" spans="60:81" ht="15" customHeight="1">
      <c r="BI610" s="638" t="s">
        <v>325</v>
      </c>
      <c r="BJ610" s="638">
        <v>5</v>
      </c>
      <c r="BK610" s="638" t="s">
        <v>324</v>
      </c>
      <c r="BL610" s="690">
        <v>0.63739999999999997</v>
      </c>
      <c r="BM610" s="690">
        <v>0.67900000000000005</v>
      </c>
      <c r="BN610" s="653">
        <f t="shared" si="186"/>
        <v>0.93873343151693656</v>
      </c>
      <c r="BO610" s="854"/>
      <c r="BP610" s="821">
        <v>0.9</v>
      </c>
      <c r="BQ610" s="690"/>
      <c r="BR610" s="690"/>
      <c r="BS610" s="842" t="str">
        <f t="shared" si="187"/>
        <v/>
      </c>
      <c r="BT610" s="854"/>
      <c r="BU610" s="821">
        <v>0.9</v>
      </c>
      <c r="BW610" s="37"/>
      <c r="BX610" s="642" t="str">
        <f t="shared" si="183"/>
        <v>Feb</v>
      </c>
      <c r="BY610" s="643">
        <f>IF(CB610=$CB618,SUMIF($BI606:$BI617,$BX610,$BR606:$BR617),SUMIF($BI606:$BI617,$BX610,$BM606:$BM617))</f>
        <v>0.67900000000000005</v>
      </c>
      <c r="BZ610" s="821">
        <f>IF(IF(CB610=CB618,SUMIF(BI606:BI617,$BX610,BU606:BU617),SUMIF(BI606:BI617,$BX610,BP606:BP617))=0,NA(),IF(CB610=CB618,SUMIF(BI606:BI617,$BX610,BU606:BU617),SUMIF(BI606:BI617,$BX610,BP606:BP617)))</f>
        <v>0.9</v>
      </c>
      <c r="CA610" s="644">
        <f>IF(IF(CB610=CB618,SUMIF(BI606:BI617,$BX610,BS606:BS617),SUMIF(BI606:BI617,$BX610,BN606:BN617))=0,NA(),IF(CB610=CB618,SUMIF(BI606:BI617,$BX610,BS606:BS617),SUMIF(BI606:BI617,$BX610,BN606:BN617)))</f>
        <v>0.93873343151693656</v>
      </c>
      <c r="CB610" s="645">
        <f t="shared" si="184"/>
        <v>23</v>
      </c>
      <c r="CC610" s="645">
        <f t="shared" si="185"/>
        <v>2</v>
      </c>
    </row>
    <row r="611" spans="60:81" ht="15" customHeight="1">
      <c r="BI611" s="638" t="s">
        <v>326</v>
      </c>
      <c r="BJ611" s="638">
        <v>6</v>
      </c>
      <c r="BK611" s="638" t="s">
        <v>324</v>
      </c>
      <c r="BL611" s="690">
        <v>0.86599999999999999</v>
      </c>
      <c r="BM611" s="690">
        <v>0.90300000000000002</v>
      </c>
      <c r="BN611" s="653">
        <f t="shared" si="186"/>
        <v>0.95902547065337762</v>
      </c>
      <c r="BO611" s="854"/>
      <c r="BP611" s="821">
        <v>0.9</v>
      </c>
      <c r="BQ611" s="690"/>
      <c r="BR611" s="690"/>
      <c r="BS611" s="842" t="str">
        <f t="shared" si="187"/>
        <v/>
      </c>
      <c r="BT611" s="854"/>
      <c r="BU611" s="821">
        <v>0.9</v>
      </c>
      <c r="BW611" s="37"/>
      <c r="BX611" s="642" t="str">
        <f t="shared" si="183"/>
        <v>Mar</v>
      </c>
      <c r="BY611" s="643">
        <f>IF(CB611=$CB618,SUMIF($BI606:$BI617,$BX611,$BR606:$BR617),SUMIF($BI606:$BI617,$BX611,$BM606:$BM617))</f>
        <v>0.90300000000000002</v>
      </c>
      <c r="BZ611" s="821">
        <f>IF(IF(CB611=CB618,SUMIF(BI606:BI617,$BX611,BU606:BU617),SUMIF(BI606:BI617,$BX611,BP606:BP617))=0,NA(),IF(CB611=CB618,SUMIF(BI606:BI617,$BX611,BU606:BU617),SUMIF(BI606:BI617,$BX611,BP606:BP617)))</f>
        <v>0.9</v>
      </c>
      <c r="CA611" s="644">
        <f>IF(IF(CB611=CB618,SUMIF(BI606:BI617,$BX611,BS606:BS617),SUMIF(BI606:BI617,$BX611,BN606:BN617))=0,NA(),IF(CB611=CB618,SUMIF(BI606:BI617,$BX611,BS606:BS617),SUMIF(BI606:BI617,$BX611,BN606:BN617)))</f>
        <v>0.95902547065337762</v>
      </c>
      <c r="CB611" s="645">
        <f t="shared" si="184"/>
        <v>23</v>
      </c>
      <c r="CC611" s="645">
        <f t="shared" si="185"/>
        <v>3</v>
      </c>
    </row>
    <row r="612" spans="60:81" ht="15" customHeight="1">
      <c r="BI612" s="638" t="s">
        <v>327</v>
      </c>
      <c r="BJ612" s="638">
        <v>7</v>
      </c>
      <c r="BK612" s="638" t="s">
        <v>328</v>
      </c>
      <c r="BL612" s="690">
        <v>0.88800000000000001</v>
      </c>
      <c r="BM612" s="690">
        <v>0.92400000000000004</v>
      </c>
      <c r="BN612" s="653">
        <f t="shared" si="186"/>
        <v>0.96103896103896103</v>
      </c>
      <c r="BO612" s="289">
        <f>IF(SUM(BM612:BM614=0),0,SUM(BL612:BL614)/SUM(BM612:BM614))</f>
        <v>0.96188369152970921</v>
      </c>
      <c r="BP612" s="821">
        <v>0.9</v>
      </c>
      <c r="BQ612" s="690"/>
      <c r="BR612" s="690"/>
      <c r="BS612" s="842" t="str">
        <f t="shared" si="187"/>
        <v/>
      </c>
      <c r="BT612" s="289">
        <f>IF(SUM(BR612:BR614=0),0,SUM(BQ612:BQ614)/SUM(BR612:BR614))</f>
        <v>0</v>
      </c>
      <c r="BU612" s="821">
        <v>0.9</v>
      </c>
      <c r="BW612" s="37"/>
      <c r="BX612" s="642" t="str">
        <f t="shared" si="183"/>
        <v>Apr</v>
      </c>
      <c r="BY612" s="643">
        <f>IF(CB612=$CB618,SUMIF($BI606:$BI617,$BX612,$BR606:$BR617),SUMIF($BI606:$BI617,$BX612,$BM606:$BM617))</f>
        <v>0.92400000000000004</v>
      </c>
      <c r="BZ612" s="821">
        <f>IF(IF(CB612=CB618,SUMIF(BI606:BI617,$BX612,BU606:BU617),SUMIF(BI606:BI617,$BX612,BP606:BP617))=0,NA(),IF(CB612=CB618,SUMIF(BI606:BI617,$BX612,BU606:BU617),SUMIF(BI606:BI617,$BX612,BP606:BP617)))</f>
        <v>0.9</v>
      </c>
      <c r="CA612" s="644">
        <f>IF(IF(CB612=CB618,SUMIF(BI606:BI617,$BX612,BS606:BS617),SUMIF(BI606:BI617,$BX612,BN606:BN617))=0,NA(),IF(CB612=CB618,SUMIF(BI606:BI617,$BX612,BS606:BS617),SUMIF(BI606:BI617,$BX612,BN606:BN617)))</f>
        <v>0.96103896103896103</v>
      </c>
      <c r="CB612" s="645">
        <f t="shared" si="184"/>
        <v>23</v>
      </c>
      <c r="CC612" s="645">
        <f t="shared" si="185"/>
        <v>4</v>
      </c>
    </row>
    <row r="613" spans="60:81" ht="15" customHeight="1">
      <c r="BI613" s="638" t="s">
        <v>329</v>
      </c>
      <c r="BJ613" s="638">
        <v>8</v>
      </c>
      <c r="BK613" s="638" t="s">
        <v>328</v>
      </c>
      <c r="BL613" s="690">
        <v>0.88400000000000001</v>
      </c>
      <c r="BM613" s="690">
        <v>0.91600000000000004</v>
      </c>
      <c r="BN613" s="653">
        <f t="shared" si="186"/>
        <v>0.96506550218340603</v>
      </c>
      <c r="BO613" s="854"/>
      <c r="BP613" s="821">
        <v>0.9</v>
      </c>
      <c r="BQ613" s="690"/>
      <c r="BR613" s="690"/>
      <c r="BS613" s="842" t="str">
        <f t="shared" si="187"/>
        <v/>
      </c>
      <c r="BT613" s="854"/>
      <c r="BU613" s="821">
        <v>0.9</v>
      </c>
      <c r="BW613" s="37"/>
      <c r="BX613" s="642" t="str">
        <f t="shared" si="183"/>
        <v>May</v>
      </c>
      <c r="BY613" s="643">
        <f>IF(CB613=$CB618,SUMIF($BI606:$BI617,$BX613,$BR606:$BR617),SUMIF($BI606:$BI617,$BX613,$BM606:$BM617))</f>
        <v>0.91600000000000004</v>
      </c>
      <c r="BZ613" s="821">
        <f>IF(IF(CB613=CB618,SUMIF(BI606:BI617,$BX613,BU606:BU617),SUMIF(BI606:BI617,$BX613,BP606:BP617))=0,NA(),IF(CB613=CB618,SUMIF(BI606:BI617,$BX613,BU606:BU617),SUMIF(BI606:BI617,$BX613,BP606:BP617)))</f>
        <v>0.9</v>
      </c>
      <c r="CA613" s="644">
        <f>IF(IF(CB613=CB618,SUMIF(BI606:BI617,$BX613,BS606:BS617),SUMIF(BI606:BI617,$BX613,BN606:BN617))=0,NA(),IF(CB613=CB618,SUMIF(BI606:BI617,$BX613,BS606:BS617),SUMIF(BI606:BI617,$BX613,BN606:BN617)))</f>
        <v>0.96506550218340603</v>
      </c>
      <c r="CB613" s="645">
        <f t="shared" si="184"/>
        <v>23</v>
      </c>
      <c r="CC613" s="645">
        <f t="shared" si="185"/>
        <v>5</v>
      </c>
    </row>
    <row r="614" spans="60:81" ht="15" customHeight="1">
      <c r="BI614" s="638" t="s">
        <v>331</v>
      </c>
      <c r="BJ614" s="638">
        <v>9</v>
      </c>
      <c r="BK614" s="638" t="s">
        <v>328</v>
      </c>
      <c r="BL614" s="690">
        <v>1.2714000000000001</v>
      </c>
      <c r="BM614" s="690">
        <v>1.3240000000000001</v>
      </c>
      <c r="BN614" s="653">
        <f t="shared" si="186"/>
        <v>0.96027190332326284</v>
      </c>
      <c r="BO614" s="854"/>
      <c r="BP614" s="821">
        <v>0.9</v>
      </c>
      <c r="BQ614" s="690"/>
      <c r="BR614" s="690"/>
      <c r="BS614" s="842" t="str">
        <f t="shared" si="187"/>
        <v/>
      </c>
      <c r="BT614" s="854"/>
      <c r="BU614" s="821">
        <v>0.9</v>
      </c>
      <c r="BW614" s="37"/>
      <c r="BX614" s="642" t="str">
        <f t="shared" si="183"/>
        <v>Jun</v>
      </c>
      <c r="BY614" s="643">
        <f>IF(CB614=$CB618,SUMIF($BI606:$BI617,$BX614,$BR606:$BR617),SUMIF($BI606:$BI617,$BX614,$BM606:$BM617))</f>
        <v>1.3240000000000001</v>
      </c>
      <c r="BZ614" s="821">
        <f>IF(IF(CB614=CB618,SUMIF(BI606:BI617,$BX614,BU606:BU617),SUMIF(BI606:BI617,$BX614,BP606:BP617))=0,NA(),IF(CB614=CB618,SUMIF(BI606:BI617,$BX614,BU606:BU617),SUMIF(BI606:BI617,$BX614,BP606:BP617)))</f>
        <v>0.9</v>
      </c>
      <c r="CA614" s="644">
        <f>IF(IF(CB614=CB618,SUMIF(BI606:BI617,$BX614,BS606:BS617),SUMIF(BI606:BI617,$BX614,BN606:BN617))=0,NA(),IF(CB614=CB618,SUMIF(BI606:BI617,$BX614,BS606:BS617),SUMIF(BI606:BI617,$BX614,BN606:BN617)))</f>
        <v>0.96027190332326284</v>
      </c>
      <c r="CB614" s="645">
        <f t="shared" si="184"/>
        <v>23</v>
      </c>
      <c r="CC614" s="645">
        <f t="shared" si="185"/>
        <v>6</v>
      </c>
    </row>
    <row r="615" spans="60:81" ht="15" customHeight="1">
      <c r="BI615" s="638" t="s">
        <v>337</v>
      </c>
      <c r="BJ615" s="638">
        <v>10</v>
      </c>
      <c r="BK615" s="638" t="s">
        <v>338</v>
      </c>
      <c r="BL615" s="690">
        <v>0.94199999999999995</v>
      </c>
      <c r="BM615" s="690">
        <v>0.98599999999999999</v>
      </c>
      <c r="BN615" s="653">
        <f t="shared" si="186"/>
        <v>0.95537525354969566</v>
      </c>
      <c r="BO615" s="289">
        <f>IF(SUM(BM615:BM617=0),0,SUM(BL615:BL617)/SUM(BM615:BM617))</f>
        <v>0.95690709046454769</v>
      </c>
      <c r="BP615" s="821">
        <v>0.9</v>
      </c>
      <c r="BQ615" s="690"/>
      <c r="BR615" s="690"/>
      <c r="BS615" s="842" t="str">
        <f t="shared" si="187"/>
        <v/>
      </c>
      <c r="BT615" s="289">
        <f>IF(SUM(BR615:BR617=0),0,SUM(BQ615:BQ617)/SUM(BR615:BR617))</f>
        <v>0</v>
      </c>
      <c r="BU615" s="821">
        <v>0.9</v>
      </c>
      <c r="BW615" s="37"/>
      <c r="BX615" s="642" t="str">
        <f t="shared" si="183"/>
        <v>Jul</v>
      </c>
      <c r="BY615" s="643">
        <f>IF(CB615=$CB618,SUMIF($BI606:$BI617,$BX615,$BR606:$BR617),SUMIF($BI606:$BI617,$BX615,$BM606:$BM617))</f>
        <v>0.98599999999999999</v>
      </c>
      <c r="BZ615" s="821">
        <f>IF(IF(CB615=CB618,SUMIF(BI606:BI617,$BX615,BU606:BU617),SUMIF(BI606:BI617,$BX615,BP606:BP617))=0,NA(),IF(CB615=CB618,SUMIF(BI606:BI617,$BX615,BU606:BU617),SUMIF(BI606:BI617,$BX615,BP606:BP617)))</f>
        <v>0.9</v>
      </c>
      <c r="CA615" s="644">
        <f>IF(IF(CB615=CB618,SUMIF(BI606:BI617,$BX615,BS606:BS617),SUMIF(BI606:BI617,$BX615,BN606:BN617))=0,NA(),IF(CB615=CB618,SUMIF(BI606:BI617,$BX615,BS606:BS617),SUMIF(BI606:BI617,$BX615,BN606:BN617)))</f>
        <v>0.95537525354969566</v>
      </c>
      <c r="CB615" s="645">
        <f t="shared" si="184"/>
        <v>23</v>
      </c>
      <c r="CC615" s="645">
        <f t="shared" si="185"/>
        <v>7</v>
      </c>
    </row>
    <row r="616" spans="60:81" ht="15" customHeight="1">
      <c r="BI616" s="638" t="s">
        <v>343</v>
      </c>
      <c r="BJ616" s="638">
        <v>11</v>
      </c>
      <c r="BK616" s="638" t="s">
        <v>338</v>
      </c>
      <c r="BL616" s="690">
        <v>0.97599999999999998</v>
      </c>
      <c r="BM616" s="690">
        <v>1.0169999999999999</v>
      </c>
      <c r="BN616" s="653">
        <f t="shared" si="186"/>
        <v>0.9596853490658801</v>
      </c>
      <c r="BO616" s="854"/>
      <c r="BP616" s="821">
        <v>0.9</v>
      </c>
      <c r="BQ616" s="690"/>
      <c r="BR616" s="690"/>
      <c r="BS616" s="842" t="str">
        <f t="shared" si="187"/>
        <v/>
      </c>
      <c r="BT616" s="854"/>
      <c r="BU616" s="821">
        <v>0.9</v>
      </c>
      <c r="BW616" s="37"/>
      <c r="BX616" s="642" t="str">
        <f t="shared" si="183"/>
        <v>Aug</v>
      </c>
      <c r="BY616" s="643">
        <f>IF(CB616=$CB618,SUMIF($BI606:$BI617,$BX616,$BR606:$BR617),SUMIF($BI606:$BI617,$BX616,$BM606:$BM617))</f>
        <v>1.0169999999999999</v>
      </c>
      <c r="BZ616" s="821">
        <f>IF(IF(CB616=CB618,SUMIF(BI606:BI617,$BX616,BU606:BU617),SUMIF(BI606:BI617,$BX616,BP606:BP617))=0,NA(),IF(CB616=CB618,SUMIF(BI606:BI617,$BX616,BU606:BU617),SUMIF(BI606:BI617,$BX616,BP606:BP617)))</f>
        <v>0.9</v>
      </c>
      <c r="CA616" s="644">
        <f>IF(IF(CB616=CB618,SUMIF(BI606:BI617,$BX616,BS606:BS617),SUMIF(BI606:BI617,$BX616,BN606:BN617))=0,NA(),IF(CB616=CB618,SUMIF(BI606:BI617,$BX616,BS606:BS617),SUMIF(BI606:BI617,$BX616,BN606:BN617)))</f>
        <v>0.9596853490658801</v>
      </c>
      <c r="CB616" s="645">
        <f t="shared" si="184"/>
        <v>23</v>
      </c>
      <c r="CC616" s="645">
        <f t="shared" si="185"/>
        <v>8</v>
      </c>
    </row>
    <row r="617" spans="60:81" ht="15" customHeight="1">
      <c r="BI617" s="638" t="s">
        <v>344</v>
      </c>
      <c r="BJ617" s="638">
        <v>12</v>
      </c>
      <c r="BK617" s="638" t="s">
        <v>338</v>
      </c>
      <c r="BL617" s="690">
        <v>1.2130000000000001</v>
      </c>
      <c r="BM617" s="690">
        <v>1.2689999999999999</v>
      </c>
      <c r="BN617" s="653">
        <f>IF(BM617="","",BL617/BM617)</f>
        <v>0.95587076438140284</v>
      </c>
      <c r="BO617" s="854"/>
      <c r="BP617" s="821">
        <v>0.9</v>
      </c>
      <c r="BQ617" s="690"/>
      <c r="BR617" s="690"/>
      <c r="BS617" s="842" t="str">
        <f>IF(BR617="","",BQ617/BR617)</f>
        <v/>
      </c>
      <c r="BT617" s="854"/>
      <c r="BU617" s="821">
        <v>0.9</v>
      </c>
      <c r="BW617" s="37"/>
      <c r="BX617" s="642" t="str">
        <f t="shared" si="183"/>
        <v>Sep</v>
      </c>
      <c r="BY617" s="643">
        <f>IF(CB617=$CB618,SUMIF($BI606:$BI617,$BX617,$BR606:$BR617),SUMIF($BI606:$BI617,$BX617,$BM606:$BM617))</f>
        <v>1.2689999999999999</v>
      </c>
      <c r="BZ617" s="821">
        <f>IF(IF(CB617=CB618,SUMIF(BI606:BI617,$BX617,BU606:BU617),SUMIF(BI606:BI617,$BX617,BP606:BP617))=0,NA(),IF(CB617=CB618,SUMIF(BI606:BI617,$BX617,BU606:BU617),SUMIF(BI606:BI617,$BX617,BP606:BP617)))</f>
        <v>0.9</v>
      </c>
      <c r="CA617" s="644">
        <f>IF(IF(CB617=CB618,SUMIF(BI606:BI617,$BX617,BS606:BS617),SUMIF(BI606:BI617,$BX617,BN606:BN617))=0,NA(),IF(CB617=CB618,SUMIF(BI606:BI617,$BX617,BS606:BS617),SUMIF(BI606:BI617,$BX617,BN606:BN617)))</f>
        <v>0.95587076438140284</v>
      </c>
      <c r="CB617" s="645">
        <f t="shared" si="184"/>
        <v>23</v>
      </c>
      <c r="CC617" s="645">
        <f>IF(CC618-1&lt;1,CC618+11,CC618-1)</f>
        <v>9</v>
      </c>
    </row>
    <row r="618" spans="60:81" ht="15" customHeight="1">
      <c r="BJ618" s="277"/>
      <c r="BK618" s="277"/>
      <c r="BL618" s="277"/>
      <c r="BM618" s="277"/>
      <c r="BN618" s="277"/>
      <c r="BO618" s="277"/>
      <c r="BP618" s="277"/>
      <c r="BQ618" s="277"/>
      <c r="BR618" s="277"/>
      <c r="BS618" s="277"/>
      <c r="BT618" s="277"/>
      <c r="BW618" s="647" t="str">
        <f>Cover!$M$34</f>
        <v>OCT FY-24</v>
      </c>
      <c r="BX618" s="642" t="str">
        <f>TEXT(CONCATENATE(CC618,"/01/20",CB618),"MMM")</f>
        <v>Oct</v>
      </c>
      <c r="BY618" s="643">
        <f>SUMIF($BI606:$BI617,$BX618,$BR606:$BR617)</f>
        <v>0.76700000000000002</v>
      </c>
      <c r="BZ618" s="821">
        <f>IF(IF(CB618=CB618,SUMIF(BI606:BI617,$BX618,BU606:BU617),SUMIF(BI606:BI617,$BX618,BP606:BP617))=0,NA(),IF(CB618=CB618,SUMIF(BI606:BI617,$BX618,BU606:BU617),SUMIF(BI606:BI617,$BX618,BP606:BP617)))</f>
        <v>0.9</v>
      </c>
      <c r="CA618" s="644">
        <f>IF(SUMIF($BI606:$BI617,$BX618,$BS606:$BS617)=0,NA(),SUMIF($BI606:$BI617,$BX618,$BS606:$BS617))</f>
        <v>0.96088657105606257</v>
      </c>
      <c r="CB618" s="645">
        <f t="shared" si="184"/>
        <v>24</v>
      </c>
      <c r="CC618" s="645">
        <f>MONTH(DATEVALUE(LEFT(BW618,3)&amp;" 1"))</f>
        <v>10</v>
      </c>
    </row>
    <row r="619" spans="60:81" ht="15" customHeight="1">
      <c r="BW619" s="37"/>
      <c r="BX619" s="37"/>
      <c r="BY619" s="37"/>
      <c r="BZ619" s="37"/>
      <c r="CA619" s="37"/>
      <c r="CB619" s="37"/>
      <c r="CC619" s="37"/>
    </row>
    <row r="620" spans="60:81" ht="15" customHeight="1">
      <c r="BH620" s="182"/>
      <c r="BI620" s="54" t="s">
        <v>292</v>
      </c>
      <c r="BJ620" s="287" t="s">
        <v>464</v>
      </c>
      <c r="BK620" s="287"/>
      <c r="BL620" s="287"/>
      <c r="BM620" s="287"/>
      <c r="BN620" s="287"/>
      <c r="BO620" s="287"/>
      <c r="BP620" s="287"/>
      <c r="BQ620" s="287"/>
      <c r="BR620" s="287"/>
      <c r="BS620" s="287"/>
      <c r="BT620" s="287"/>
      <c r="BU620" s="287"/>
    </row>
    <row r="621" spans="60:81" ht="15" customHeight="1">
      <c r="BI621" s="54" t="s">
        <v>296</v>
      </c>
      <c r="BJ621" s="283" t="s">
        <v>468</v>
      </c>
      <c r="BK621" s="283"/>
      <c r="BL621" s="283"/>
      <c r="BM621" s="283"/>
      <c r="BN621" s="283"/>
      <c r="BO621" s="283"/>
      <c r="BP621" s="283"/>
      <c r="BQ621" s="283"/>
      <c r="BR621" s="283"/>
      <c r="BS621" s="283"/>
      <c r="BT621" s="283"/>
      <c r="BU621" s="283"/>
    </row>
    <row r="622" spans="60:81" ht="15" customHeight="1" thickBot="1">
      <c r="BI622" s="54" t="s">
        <v>300</v>
      </c>
      <c r="BJ622" s="288" t="s">
        <v>470</v>
      </c>
      <c r="BK622" s="288"/>
      <c r="BL622" s="288"/>
      <c r="BM622" s="288"/>
      <c r="BN622" s="288"/>
      <c r="BO622" s="288"/>
      <c r="BP622" s="288"/>
      <c r="BQ622" s="288"/>
      <c r="BR622" s="288"/>
      <c r="BS622" s="288"/>
      <c r="BT622" s="288"/>
      <c r="BU622" s="288"/>
    </row>
    <row r="623" spans="60:81" ht="15" customHeight="1" thickBot="1">
      <c r="BI623" s="1443" t="s">
        <v>457</v>
      </c>
      <c r="BJ623" s="1444"/>
      <c r="BK623" s="1445"/>
      <c r="BL623" s="1443" t="s">
        <v>302</v>
      </c>
      <c r="BM623" s="1444"/>
      <c r="BN623" s="1444"/>
      <c r="BO623" s="1444"/>
      <c r="BP623" s="1445"/>
      <c r="BQ623" s="1443" t="s">
        <v>719</v>
      </c>
      <c r="BR623" s="1444"/>
      <c r="BS623" s="1444"/>
      <c r="BT623" s="1444"/>
      <c r="BU623" s="1445"/>
      <c r="BW623" s="1443" t="s">
        <v>303</v>
      </c>
      <c r="BX623" s="1444"/>
      <c r="BY623" s="1444"/>
      <c r="BZ623" s="1444"/>
      <c r="CA623" s="1444"/>
      <c r="CB623" s="1444"/>
      <c r="CC623" s="1445"/>
    </row>
    <row r="624" spans="60:81" ht="15" customHeight="1">
      <c r="BI624" s="636" t="s">
        <v>23</v>
      </c>
      <c r="BJ624" s="636" t="s">
        <v>37</v>
      </c>
      <c r="BK624" s="636" t="s">
        <v>304</v>
      </c>
      <c r="BL624" s="637" t="s">
        <v>305</v>
      </c>
      <c r="BM624" s="637" t="s">
        <v>310</v>
      </c>
      <c r="BN624" s="637" t="s">
        <v>311</v>
      </c>
      <c r="BO624" s="278" t="s">
        <v>312</v>
      </c>
      <c r="BP624" s="637" t="s">
        <v>313</v>
      </c>
      <c r="BQ624" s="637" t="s">
        <v>305</v>
      </c>
      <c r="BR624" s="637" t="s">
        <v>715</v>
      </c>
      <c r="BS624" s="637" t="s">
        <v>716</v>
      </c>
      <c r="BT624" s="278" t="s">
        <v>717</v>
      </c>
      <c r="BU624" s="637" t="s">
        <v>718</v>
      </c>
      <c r="BW624" s="279" t="s">
        <v>314</v>
      </c>
      <c r="BX624" s="279" t="s">
        <v>23</v>
      </c>
      <c r="BY624" s="280" t="s">
        <v>315</v>
      </c>
      <c r="BZ624" s="279" t="s">
        <v>122</v>
      </c>
      <c r="CA624" s="279" t="s">
        <v>316</v>
      </c>
      <c r="CB624" s="279" t="s">
        <v>317</v>
      </c>
      <c r="CC624" s="279" t="s">
        <v>318</v>
      </c>
    </row>
    <row r="625" spans="61:81" ht="15" customHeight="1">
      <c r="BI625" s="638" t="s">
        <v>319</v>
      </c>
      <c r="BJ625" s="638">
        <v>1</v>
      </c>
      <c r="BK625" s="638" t="s">
        <v>320</v>
      </c>
      <c r="BL625" s="825">
        <f>IF(BM606="","",BM606)</f>
        <v>0.56200000000000006</v>
      </c>
      <c r="BM625" s="689">
        <v>2.1840000000000002</v>
      </c>
      <c r="BN625" s="653">
        <f>IF(BM625="","",BL625/BM625)</f>
        <v>0.25732600732600736</v>
      </c>
      <c r="BO625" s="289">
        <f>IF(SUM(BM625:BM627=0),0,SUM(BL625:BL627)/SUM(BM625:BM627))</f>
        <v>0.27581634344438921</v>
      </c>
      <c r="BP625" s="821">
        <v>0.3</v>
      </c>
      <c r="BQ625" s="846">
        <f>IF(BR606="","",BR606)</f>
        <v>0.76700000000000002</v>
      </c>
      <c r="BR625" s="689">
        <v>2.0099999999999998</v>
      </c>
      <c r="BS625" s="653">
        <f>IF(BR625="","",BQ625/BR625)</f>
        <v>0.3815920398009951</v>
      </c>
      <c r="BT625" s="289">
        <f>IF(SUM(BR625:BR627=0),0,SUM(BQ625:BQ627)/SUM(BR625:BR627))</f>
        <v>0.3815920398009951</v>
      </c>
      <c r="BU625" s="821">
        <v>0.3</v>
      </c>
      <c r="BV625" s="6"/>
      <c r="BX625" s="666" t="str">
        <f>TEXT(CONCATENATE(CC625,"/01/20",CB625),"MMM")</f>
        <v>Oct</v>
      </c>
      <c r="BY625" s="643">
        <f>IF(CB625=$CB637,SUMIF($BI625:$BI636,$BX625,$BR625:$BR636),SUMIF($BI625:$BI636,$BX625,$BM625:$BM636))</f>
        <v>2.1840000000000002</v>
      </c>
      <c r="BZ625" s="821">
        <f>IF(IF(CB625=CB637,SUMIF(BI625:BI636,$BX625,BU625:BU636),SUMIF(BI625:BI636,$BX625,BP625:BP636))=0,NA(),IF(CB625=CB637,SUMIF(BI625:BI636,$BX625,BU625:BU636),SUMIF(BI625:BI636,$BX625,BP625:BP636)))</f>
        <v>0.3</v>
      </c>
      <c r="CA625" s="640">
        <f>IF(IF(CB625=CB637,SUMIF(BI625:BI636,$BX625,BS625:BS636),SUMIF(BI625:BI636,$BX625,BN625:BN636))=0,NA(),IF(CB625=CB637,SUMIF(BI625:BI636,$BX625,BS625:BS636),SUMIF(BI625:BI636,$BX625,BN625:BN636)))</f>
        <v>0.25732600732600736</v>
      </c>
      <c r="CB625" s="645">
        <f>CB606</f>
        <v>23</v>
      </c>
      <c r="CC625" s="645">
        <f t="shared" ref="CC625:CC635" si="188">IF(CC626-1&lt;1,CC626+11,CC626-1)</f>
        <v>10</v>
      </c>
    </row>
    <row r="626" spans="61:81" ht="15" customHeight="1">
      <c r="BI626" s="638" t="s">
        <v>321</v>
      </c>
      <c r="BJ626" s="638">
        <v>2</v>
      </c>
      <c r="BK626" s="638" t="s">
        <v>320</v>
      </c>
      <c r="BL626" s="825">
        <f t="shared" ref="BL626:BL635" si="189">IF(BM607="","",BM607)</f>
        <v>0.317</v>
      </c>
      <c r="BM626" s="822">
        <v>1.1000000000000001</v>
      </c>
      <c r="BN626" s="653">
        <f t="shared" ref="BN626:BN636" si="190">IF(BM626="","",BL626/BM626)</f>
        <v>0.28818181818181815</v>
      </c>
      <c r="BO626" s="861"/>
      <c r="BP626" s="821">
        <v>0.3</v>
      </c>
      <c r="BQ626" s="846" t="str">
        <f t="shared" ref="BQ626:BQ635" si="191">IF(BR607="","",BR607)</f>
        <v/>
      </c>
      <c r="BR626" s="822"/>
      <c r="BS626" s="653" t="str">
        <f t="shared" ref="BS626:BS636" si="192">IF(BR626="","",BQ626/BR626)</f>
        <v/>
      </c>
      <c r="BT626" s="854"/>
      <c r="BU626" s="821">
        <v>0.3</v>
      </c>
      <c r="BX626" s="666" t="str">
        <f t="shared" ref="BX626:BX636" si="193">TEXT(CONCATENATE(CC626,"/01/20",CB626),"MMM")</f>
        <v>Nov</v>
      </c>
      <c r="BY626" s="643">
        <f>IF(CB626=$CB637,SUMIF($BI625:$BI636,$BX626,$BR625:$BR636),SUMIF($BI625:$BI636,$BX626,$BM625:$BM636))</f>
        <v>1.1000000000000001</v>
      </c>
      <c r="BZ626" s="821">
        <f>IF(IF(CB626=CB637,SUMIF(BI625:BI636,$BX626,BU625:BU636),SUMIF(BI625:BI636,$BX626,BP625:BP636))=0,NA(),IF(CB626=CB637,SUMIF(BI625:BI636,$BX626,BU625:BU636),SUMIF(BI625:BI636,$BX626,BP625:BP636)))</f>
        <v>0.3</v>
      </c>
      <c r="CA626" s="640">
        <f>IF(IF(CB626=CB637,SUMIF(BI625:BI636,$BX626,BS625:BS636),SUMIF(BI625:BI636,$BX626,BN625:BN636))=0,NA(),IF(CB626=CB637,SUMIF(BI625:BI636,$BX626,BS625:BS636),SUMIF(BI625:BI636,$BX626,BN625:BN636)))</f>
        <v>0.28818181818181815</v>
      </c>
      <c r="CB626" s="645">
        <f t="shared" ref="CB626:CB636" si="194">CB607</f>
        <v>23</v>
      </c>
      <c r="CC626" s="645">
        <f t="shared" si="188"/>
        <v>11</v>
      </c>
    </row>
    <row r="627" spans="61:81" ht="15" customHeight="1">
      <c r="BI627" s="638" t="s">
        <v>322</v>
      </c>
      <c r="BJ627" s="638">
        <v>3</v>
      </c>
      <c r="BK627" s="638" t="s">
        <v>320</v>
      </c>
      <c r="BL627" s="825">
        <f>IF(BM608="","",BM608)</f>
        <v>0.78500000000000003</v>
      </c>
      <c r="BM627" s="822">
        <v>2.7490000000000001</v>
      </c>
      <c r="BN627" s="653">
        <f t="shared" si="190"/>
        <v>0.28555838486722446</v>
      </c>
      <c r="BO627" s="861"/>
      <c r="BP627" s="821">
        <v>0.3</v>
      </c>
      <c r="BQ627" s="846" t="str">
        <f>IF(BR608="","",BR608)</f>
        <v/>
      </c>
      <c r="BR627" s="822"/>
      <c r="BS627" s="653" t="str">
        <f t="shared" si="192"/>
        <v/>
      </c>
      <c r="BT627" s="854"/>
      <c r="BU627" s="821">
        <v>0.3</v>
      </c>
      <c r="BX627" s="666" t="str">
        <f t="shared" si="193"/>
        <v>Dec</v>
      </c>
      <c r="BY627" s="643">
        <f>IF(CB627=$CB637,SUMIF($BI625:$BI636,$BX627,$BR625:$BR636),SUMIF($BI625:$BI636,$BX627,$BM625:$BM636))</f>
        <v>2.7490000000000001</v>
      </c>
      <c r="BZ627" s="821">
        <f>IF(IF(CB627=CB637,SUMIF(BI625:BI636,$BX627,BU625:BU636),SUMIF(BI625:BI636,$BX627,BP625:BP636))=0,NA(),IF(CB627=CB637,SUMIF(BI625:BI636,$BX627,BU625:BU636),SUMIF(BI625:BI636,$BX627,BP625:BP636)))</f>
        <v>0.3</v>
      </c>
      <c r="CA627" s="640">
        <f>IF(IF(CB627=CB637,SUMIF(BI625:BI636,$BX627,BS625:BS636),SUMIF(BI625:BI636,$BX627,BN625:BN636))=0,NA(),IF(CB627=CB637,SUMIF(BI625:BI636,$BX627,BS625:BS636),SUMIF(BI625:BI636,$BX627,BN625:BN636)))</f>
        <v>0.28555838486722446</v>
      </c>
      <c r="CB627" s="645">
        <f t="shared" si="194"/>
        <v>23</v>
      </c>
      <c r="CC627" s="645">
        <f t="shared" si="188"/>
        <v>12</v>
      </c>
    </row>
    <row r="628" spans="61:81" ht="15" customHeight="1">
      <c r="BI628" s="638" t="s">
        <v>323</v>
      </c>
      <c r="BJ628" s="638">
        <v>4</v>
      </c>
      <c r="BK628" s="638" t="s">
        <v>324</v>
      </c>
      <c r="BL628" s="825">
        <f t="shared" si="189"/>
        <v>0.81599999999999995</v>
      </c>
      <c r="BM628" s="822">
        <v>2.4</v>
      </c>
      <c r="BN628" s="653">
        <f t="shared" si="190"/>
        <v>0.33999999999999997</v>
      </c>
      <c r="BO628" s="289">
        <f>IF(SUM(BM628:BM630=0),0,SUM(BL628:BL630)/SUM(BM628:BM630))</f>
        <v>0.31888297872340426</v>
      </c>
      <c r="BP628" s="821">
        <v>0.3</v>
      </c>
      <c r="BQ628" s="846" t="str">
        <f t="shared" si="191"/>
        <v/>
      </c>
      <c r="BR628" s="822"/>
      <c r="BS628" s="653" t="str">
        <f t="shared" si="192"/>
        <v/>
      </c>
      <c r="BT628" s="289">
        <f>IF(SUM(BR628:BR630=0),0,SUM(BQ628:BQ630)/SUM(BR628:BR630))</f>
        <v>0</v>
      </c>
      <c r="BU628" s="821">
        <v>0.3</v>
      </c>
      <c r="BX628" s="666" t="str">
        <f t="shared" si="193"/>
        <v>Jan</v>
      </c>
      <c r="BY628" s="643">
        <f>IF(CB628=$CB637,SUMIF($BI625:$BI636,$BX628,$BR625:$BR636),SUMIF($BI625:$BI636,$BX628,$BM625:$BM636))</f>
        <v>2.4</v>
      </c>
      <c r="BZ628" s="821">
        <f>IF(IF(CB628=CB637,SUMIF(BI625:BI636,$BX628,BU625:BU636),SUMIF(BI625:BI636,$BX628,BP625:BP636))=0,NA(),IF(CB628=CB637,SUMIF(BI625:BI636,$BX628,BU625:BU636),SUMIF(BI625:BI636,$BX628,BP625:BP636)))</f>
        <v>0.3</v>
      </c>
      <c r="CA628" s="640">
        <f>IF(IF(CB628=CB637,SUMIF(BI625:BI636,$BX628,BS625:BS636),SUMIF(BI625:BI636,$BX628,BN625:BN636))=0,NA(),IF(CB628=CB637,SUMIF(BI625:BI636,$BX628,BS625:BS636),SUMIF(BI625:BI636,$BX628,BN625:BN636)))</f>
        <v>0.33999999999999997</v>
      </c>
      <c r="CB628" s="645">
        <f t="shared" si="194"/>
        <v>23</v>
      </c>
      <c r="CC628" s="645">
        <f t="shared" si="188"/>
        <v>1</v>
      </c>
    </row>
    <row r="629" spans="61:81" ht="15" customHeight="1">
      <c r="BI629" s="638" t="s">
        <v>325</v>
      </c>
      <c r="BJ629" s="638">
        <v>5</v>
      </c>
      <c r="BK629" s="638" t="s">
        <v>324</v>
      </c>
      <c r="BL629" s="825">
        <f t="shared" si="189"/>
        <v>0.67900000000000005</v>
      </c>
      <c r="BM629" s="690">
        <v>2.2589999999999999</v>
      </c>
      <c r="BN629" s="653">
        <f t="shared" si="190"/>
        <v>0.30057547587428068</v>
      </c>
      <c r="BO629" s="861"/>
      <c r="BP629" s="821">
        <v>0.3</v>
      </c>
      <c r="BQ629" s="846" t="str">
        <f t="shared" si="191"/>
        <v/>
      </c>
      <c r="BR629" s="690"/>
      <c r="BS629" s="653" t="str">
        <f t="shared" si="192"/>
        <v/>
      </c>
      <c r="BT629" s="854"/>
      <c r="BU629" s="821">
        <v>0.3</v>
      </c>
      <c r="BX629" s="666" t="str">
        <f t="shared" si="193"/>
        <v>Feb</v>
      </c>
      <c r="BY629" s="643">
        <f>IF(CB629=$CB637,SUMIF($BI625:$BI636,$BX629,$BR625:$BR636),SUMIF($BI625:$BI636,$BX629,$BM625:$BM636))</f>
        <v>2.2589999999999999</v>
      </c>
      <c r="BZ629" s="821">
        <f>IF(IF(CB629=CB637,SUMIF(BI625:BI636,$BX629,BU625:BU636),SUMIF(BI625:BI636,$BX629,BP625:BP636))=0,NA(),IF(CB629=CB637,SUMIF(BI625:BI636,$BX629,BU625:BU636),SUMIF(BI625:BI636,$BX629,BP625:BP636)))</f>
        <v>0.3</v>
      </c>
      <c r="CA629" s="640">
        <f>IF(IF(CB629=CB637,SUMIF(BI625:BI636,$BX629,BS625:BS636),SUMIF(BI625:BI636,$BX629,BN625:BN636))=0,NA(),IF(CB629=CB637,SUMIF(BI625:BI636,$BX629,BS625:BS636),SUMIF(BI625:BI636,$BX629,BN625:BN636)))</f>
        <v>0.30057547587428068</v>
      </c>
      <c r="CB629" s="645">
        <f t="shared" si="194"/>
        <v>23</v>
      </c>
      <c r="CC629" s="645">
        <f t="shared" si="188"/>
        <v>2</v>
      </c>
    </row>
    <row r="630" spans="61:81" ht="15" customHeight="1">
      <c r="BI630" s="638" t="s">
        <v>326</v>
      </c>
      <c r="BJ630" s="638">
        <v>6</v>
      </c>
      <c r="BK630" s="638" t="s">
        <v>324</v>
      </c>
      <c r="BL630" s="825">
        <f t="shared" si="189"/>
        <v>0.90300000000000002</v>
      </c>
      <c r="BM630" s="690">
        <v>2.8610000000000002</v>
      </c>
      <c r="BN630" s="653">
        <f t="shared" si="190"/>
        <v>0.31562390772457183</v>
      </c>
      <c r="BO630" s="861"/>
      <c r="BP630" s="821">
        <v>0.3</v>
      </c>
      <c r="BQ630" s="846" t="str">
        <f t="shared" si="191"/>
        <v/>
      </c>
      <c r="BR630" s="690"/>
      <c r="BS630" s="653" t="str">
        <f t="shared" si="192"/>
        <v/>
      </c>
      <c r="BT630" s="854"/>
      <c r="BU630" s="821">
        <v>0.3</v>
      </c>
      <c r="BX630" s="666" t="str">
        <f t="shared" si="193"/>
        <v>Mar</v>
      </c>
      <c r="BY630" s="643">
        <f>IF(CB630=$CB637,SUMIF($BI625:$BI636,$BX630,$BR625:$BR636),SUMIF($BI625:$BI636,$BX630,$BM625:$BM636))</f>
        <v>2.8610000000000002</v>
      </c>
      <c r="BZ630" s="821">
        <f>IF(IF(CB630=CB637,SUMIF(BI625:BI636,$BX630,BU625:BU636),SUMIF(BI625:BI636,$BX630,BP625:BP636))=0,NA(),IF(CB630=CB637,SUMIF(BI625:BI636,$BX630,BU625:BU636),SUMIF(BI625:BI636,$BX630,BP625:BP636)))</f>
        <v>0.3</v>
      </c>
      <c r="CA630" s="640">
        <f>IF(IF(CB630=CB637,SUMIF(BI625:BI636,$BX630,BS625:BS636),SUMIF(BI625:BI636,$BX630,BN625:BN636))=0,NA(),IF(CB630=CB637,SUMIF(BI625:BI636,$BX630,BS625:BS636),SUMIF(BI625:BI636,$BX630,BN625:BN636)))</f>
        <v>0.31562390772457183</v>
      </c>
      <c r="CB630" s="645">
        <f>CB611</f>
        <v>23</v>
      </c>
      <c r="CC630" s="645">
        <f t="shared" si="188"/>
        <v>3</v>
      </c>
    </row>
    <row r="631" spans="61:81" ht="15" customHeight="1">
      <c r="BI631" s="638" t="s">
        <v>327</v>
      </c>
      <c r="BJ631" s="638">
        <v>7</v>
      </c>
      <c r="BK631" s="638" t="s">
        <v>328</v>
      </c>
      <c r="BL631" s="825">
        <f t="shared" si="189"/>
        <v>0.92400000000000004</v>
      </c>
      <c r="BM631" s="690">
        <v>2.431</v>
      </c>
      <c r="BN631" s="653">
        <f t="shared" si="190"/>
        <v>0.3800904977375566</v>
      </c>
      <c r="BO631" s="289">
        <f>IF(SUM(BM631:BM633=0),0,SUM(BL631:BL633)/SUM(BM631:BM633))</f>
        <v>0.39693890352527916</v>
      </c>
      <c r="BP631" s="821">
        <v>0.3</v>
      </c>
      <c r="BQ631" s="846" t="str">
        <f>IF(BR612="","",BR612)</f>
        <v/>
      </c>
      <c r="BR631" s="690"/>
      <c r="BS631" s="653" t="str">
        <f t="shared" si="192"/>
        <v/>
      </c>
      <c r="BT631" s="289">
        <f>IF(SUM(BR631:BR633=0),0,SUM(BQ631:BQ633)/SUM(BR631:BR633))</f>
        <v>0</v>
      </c>
      <c r="BU631" s="821">
        <v>0.3</v>
      </c>
      <c r="BX631" s="666" t="str">
        <f t="shared" si="193"/>
        <v>Apr</v>
      </c>
      <c r="BY631" s="643">
        <f>IF(CB631=$CB637,SUMIF($BI625:$BI636,$BX631,$BR625:$BR636),SUMIF($BI625:$BI636,$BX631,$BM625:$BM636))</f>
        <v>2.431</v>
      </c>
      <c r="BZ631" s="821">
        <f>IF(IF(CB631=CB637,SUMIF(BI625:BI636,$BX631,BU625:BU636),SUMIF(BI625:BI636,$BX631,BP625:BP636))=0,NA(),IF(CB631=CB637,SUMIF(BI625:BI636,$BX631,BU625:BU636),SUMIF(BI625:BI636,$BX631,BP625:BP636)))</f>
        <v>0.3</v>
      </c>
      <c r="CA631" s="640">
        <f>IF(IF(CB631=CB637,SUMIF(BI625:BI636,$BX631,BS625:BS636),SUMIF(BI625:BI636,$BX631,BN625:BN636))=0,NA(),IF(CB631=CB637,SUMIF(BI625:BI636,$BX631,BS625:BS636),SUMIF(BI625:BI636,$BX631,BN625:BN636)))</f>
        <v>0.3800904977375566</v>
      </c>
      <c r="CB631" s="645">
        <f t="shared" si="194"/>
        <v>23</v>
      </c>
      <c r="CC631" s="645">
        <f t="shared" si="188"/>
        <v>4</v>
      </c>
    </row>
    <row r="632" spans="61:81" ht="15" customHeight="1">
      <c r="BI632" s="638" t="s">
        <v>329</v>
      </c>
      <c r="BJ632" s="638">
        <v>8</v>
      </c>
      <c r="BK632" s="638" t="s">
        <v>328</v>
      </c>
      <c r="BL632" s="825">
        <f t="shared" si="189"/>
        <v>0.91600000000000004</v>
      </c>
      <c r="BM632" s="690">
        <v>2.4020000000000001</v>
      </c>
      <c r="BN632" s="653">
        <f t="shared" si="190"/>
        <v>0.3813488759367194</v>
      </c>
      <c r="BO632" s="861"/>
      <c r="BP632" s="821">
        <v>0.3</v>
      </c>
      <c r="BQ632" s="846" t="str">
        <f t="shared" si="191"/>
        <v/>
      </c>
      <c r="BR632" s="690"/>
      <c r="BS632" s="653" t="str">
        <f t="shared" si="192"/>
        <v/>
      </c>
      <c r="BT632" s="854"/>
      <c r="BU632" s="821">
        <v>0.3</v>
      </c>
      <c r="BX632" s="666" t="str">
        <f t="shared" si="193"/>
        <v>May</v>
      </c>
      <c r="BY632" s="643">
        <f>IF(CB632=$CB637,SUMIF($BI625:$BI636,$BX632,$BR625:$BR636),SUMIF($BI625:$BI636,$BX632,$BM625:$BM636))</f>
        <v>2.4020000000000001</v>
      </c>
      <c r="BZ632" s="821">
        <f>IF(IF(CB632=CB637,SUMIF(BI625:BI636,$BX632,BU625:BU636),SUMIF(BI625:BI636,$BX632,BP625:BP636))=0,NA(),IF(CB632=CB637,SUMIF(BI625:BI636,$BX632,BU625:BU636),SUMIF(BI625:BI636,$BX632,BP625:BP636)))</f>
        <v>0.3</v>
      </c>
      <c r="CA632" s="640">
        <f>IF(IF(CB632=CB637,SUMIF(BI625:BI636,$BX632,BS625:BS636),SUMIF(BI625:BI636,$BX632,BN625:BN636))=0,NA(),IF(CB632=CB637,SUMIF(BI625:BI636,$BX632,BS625:BS636),SUMIF(BI625:BI636,$BX632,BN625:BN636)))</f>
        <v>0.3813488759367194</v>
      </c>
      <c r="CB632" s="645">
        <f t="shared" si="194"/>
        <v>23</v>
      </c>
      <c r="CC632" s="645">
        <f t="shared" si="188"/>
        <v>5</v>
      </c>
    </row>
    <row r="633" spans="61:81" ht="15" customHeight="1">
      <c r="BI633" s="638" t="s">
        <v>331</v>
      </c>
      <c r="BJ633" s="638">
        <v>9</v>
      </c>
      <c r="BK633" s="638" t="s">
        <v>328</v>
      </c>
      <c r="BL633" s="825">
        <f t="shared" si="189"/>
        <v>1.3240000000000001</v>
      </c>
      <c r="BM633" s="690">
        <v>3.1379999999999999</v>
      </c>
      <c r="BN633" s="653">
        <f t="shared" si="190"/>
        <v>0.42192479286169537</v>
      </c>
      <c r="BO633" s="861"/>
      <c r="BP633" s="821">
        <v>0.3</v>
      </c>
      <c r="BQ633" s="846" t="str">
        <f t="shared" si="191"/>
        <v/>
      </c>
      <c r="BR633" s="690"/>
      <c r="BS633" s="653" t="str">
        <f t="shared" si="192"/>
        <v/>
      </c>
      <c r="BT633" s="854"/>
      <c r="BU633" s="821">
        <v>0.3</v>
      </c>
      <c r="BX633" s="666" t="str">
        <f t="shared" si="193"/>
        <v>Jun</v>
      </c>
      <c r="BY633" s="643">
        <f>IF(CB633=$CB637,SUMIF($BI625:$BI636,$BX633,$BR625:$BR636),SUMIF($BI625:$BI636,$BX633,$BM625:$BM636))</f>
        <v>3.1379999999999999</v>
      </c>
      <c r="BZ633" s="821">
        <f>IF(IF(CB633=CB637,SUMIF(BI625:BI636,$BX633,BU625:BU636),SUMIF(BI625:BI636,$BX633,BP625:BP636))=0,NA(),IF(CB633=CB637,SUMIF(BI625:BI636,$BX633,BU625:BU636),SUMIF(BI625:BI636,$BX633,BP625:BP636)))</f>
        <v>0.3</v>
      </c>
      <c r="CA633" s="640">
        <f>IF(IF(CB633=CB637,SUMIF(BI625:BI636,$BX633,BS625:BS636),SUMIF(BI625:BI636,$BX633,BN625:BN636))=0,NA(),IF(CB633=CB637,SUMIF(BI625:BI636,$BX633,BS625:BS636),SUMIF(BI625:BI636,$BX633,BN625:BN636)))</f>
        <v>0.42192479286169537</v>
      </c>
      <c r="CB633" s="645">
        <f t="shared" si="194"/>
        <v>23</v>
      </c>
      <c r="CC633" s="645">
        <f t="shared" si="188"/>
        <v>6</v>
      </c>
    </row>
    <row r="634" spans="61:81" ht="15" customHeight="1">
      <c r="BI634" s="638" t="s">
        <v>337</v>
      </c>
      <c r="BJ634" s="638">
        <v>10</v>
      </c>
      <c r="BK634" s="638" t="s">
        <v>338</v>
      </c>
      <c r="BL634" s="825">
        <f t="shared" si="189"/>
        <v>0.98599999999999999</v>
      </c>
      <c r="BM634" s="690">
        <v>2.492</v>
      </c>
      <c r="BN634" s="653">
        <f t="shared" si="190"/>
        <v>0.3956661316211878</v>
      </c>
      <c r="BO634" s="289">
        <f>IF(SUM(BM634:BM636=0),0,SUM(BL634:BL636)/SUM(BM634:BM636))</f>
        <v>0.42186694172253741</v>
      </c>
      <c r="BP634" s="821">
        <v>0.3</v>
      </c>
      <c r="BQ634" s="846" t="str">
        <f t="shared" si="191"/>
        <v/>
      </c>
      <c r="BR634" s="690"/>
      <c r="BS634" s="653" t="str">
        <f t="shared" si="192"/>
        <v/>
      </c>
      <c r="BT634" s="289">
        <f>IF(SUM(BR634:BR636=0),0,SUM(BQ634:BQ636)/SUM(BR634:BR636))</f>
        <v>0</v>
      </c>
      <c r="BU634" s="821">
        <v>0.3</v>
      </c>
      <c r="BX634" s="666" t="str">
        <f t="shared" si="193"/>
        <v>Jul</v>
      </c>
      <c r="BY634" s="643">
        <f>IF(CB634=$CB637,SUMIF($BI625:$BI636,$BX634,$BR625:$BR636),SUMIF($BI625:$BI636,$BX634,$BM625:$BM636))</f>
        <v>2.492</v>
      </c>
      <c r="BZ634" s="821">
        <f>IF(IF(CB634=CB637,SUMIF(BI625:BI636,$BX634,BU625:BU636),SUMIF(BI625:BI636,$BX634,BP625:BP636))=0,NA(),IF(CB634=CB637,SUMIF(BI625:BI636,$BX634,BU625:BU636),SUMIF(BI625:BI636,$BX634,BP625:BP636)))</f>
        <v>0.3</v>
      </c>
      <c r="CA634" s="640">
        <f>IF(IF(CB634=CB637,SUMIF(BI625:BI636,$BX634,BS625:BS636),SUMIF(BI625:BI636,$BX634,BN625:BN636))=0,NA(),IF(CB634=CB637,SUMIF(BI625:BI636,$BX634,BS625:BS636),SUMIF(BI625:BI636,$BX634,BN625:BN636)))</f>
        <v>0.3956661316211878</v>
      </c>
      <c r="CB634" s="645">
        <f t="shared" si="194"/>
        <v>23</v>
      </c>
      <c r="CC634" s="645">
        <f t="shared" si="188"/>
        <v>7</v>
      </c>
    </row>
    <row r="635" spans="61:81" ht="15" customHeight="1">
      <c r="BI635" s="638" t="s">
        <v>343</v>
      </c>
      <c r="BJ635" s="638">
        <v>11</v>
      </c>
      <c r="BK635" s="638" t="s">
        <v>338</v>
      </c>
      <c r="BL635" s="825">
        <f t="shared" si="189"/>
        <v>1.0169999999999999</v>
      </c>
      <c r="BM635" s="690">
        <v>2.395</v>
      </c>
      <c r="BN635" s="653">
        <f t="shared" si="190"/>
        <v>0.42463465553235902</v>
      </c>
      <c r="BO635" s="861"/>
      <c r="BP635" s="821">
        <v>0.3</v>
      </c>
      <c r="BQ635" s="846" t="str">
        <f t="shared" si="191"/>
        <v/>
      </c>
      <c r="BR635" s="690"/>
      <c r="BS635" s="653" t="str">
        <f t="shared" si="192"/>
        <v/>
      </c>
      <c r="BT635" s="854"/>
      <c r="BU635" s="821">
        <v>0.3</v>
      </c>
      <c r="BX635" s="666" t="str">
        <f t="shared" si="193"/>
        <v>Aug</v>
      </c>
      <c r="BY635" s="643">
        <f>IF(CB635=$CB637,SUMIF($BI625:$BI636,$BX635,$BR625:$BR636),SUMIF($BI625:$BI636,$BX635,$BM625:$BM636))</f>
        <v>2.395</v>
      </c>
      <c r="BZ635" s="821">
        <f>IF(IF(CB635=CB637,SUMIF(BI625:BI636,$BX635,BU625:BU636),SUMIF(BI625:BI636,$BX635,BP625:BP636))=0,NA(),IF(CB635=CB637,SUMIF(BI625:BI636,$BX635,BU625:BU636),SUMIF(BI625:BI636,$BX635,BP625:BP636)))</f>
        <v>0.3</v>
      </c>
      <c r="CA635" s="640">
        <f>IF(IF(CB635=CB637,SUMIF(BI625:BI636,$BX635,BS625:BS636),SUMIF(BI625:BI636,$BX635,BN625:BN636))=0,NA(),IF(CB635=CB637,SUMIF(BI625:BI636,$BX635,BS625:BS636),SUMIF(BI625:BI636,$BX635,BN625:BN636)))</f>
        <v>0.42463465553235902</v>
      </c>
      <c r="CB635" s="645">
        <f t="shared" si="194"/>
        <v>23</v>
      </c>
      <c r="CC635" s="645">
        <f t="shared" si="188"/>
        <v>8</v>
      </c>
    </row>
    <row r="636" spans="61:81" ht="15" customHeight="1">
      <c r="BI636" s="638" t="s">
        <v>344</v>
      </c>
      <c r="BJ636" s="638">
        <v>12</v>
      </c>
      <c r="BK636" s="638" t="s">
        <v>338</v>
      </c>
      <c r="BL636" s="825">
        <f>IF(BM617="","",BM617)</f>
        <v>1.2689999999999999</v>
      </c>
      <c r="BM636" s="690">
        <v>2.8690000000000002</v>
      </c>
      <c r="BN636" s="653">
        <f t="shared" si="190"/>
        <v>0.44231439525967231</v>
      </c>
      <c r="BO636" s="861"/>
      <c r="BP636" s="821">
        <v>0.3</v>
      </c>
      <c r="BQ636" s="846" t="str">
        <f>IF(BR617="","",BR617)</f>
        <v/>
      </c>
      <c r="BR636" s="690"/>
      <c r="BS636" s="653" t="str">
        <f t="shared" si="192"/>
        <v/>
      </c>
      <c r="BT636" s="854"/>
      <c r="BU636" s="821">
        <v>0.3</v>
      </c>
      <c r="BX636" s="666" t="str">
        <f t="shared" si="193"/>
        <v>Sep</v>
      </c>
      <c r="BY636" s="643">
        <f>IF(CB636=$CB637,SUMIF($BI625:$BI636,$BX636,$BR625:$BR636),SUMIF($BI625:$BI636,$BX636,$BM625:$BM636))</f>
        <v>2.8690000000000002</v>
      </c>
      <c r="BZ636" s="821">
        <f>IF(IF(CB636=CB637,SUMIF(BI625:BI636,$BX636,BU625:BU636),SUMIF(BI625:BI636,$BX636,BP625:BP636))=0,NA(),IF(CB636=CB637,SUMIF(BI625:BI636,$BX636,BU625:BU636),SUMIF(BI625:BI636,$BX636,BP625:BP636)))</f>
        <v>0.3</v>
      </c>
      <c r="CA636" s="640">
        <f>IF(IF(CB636=CB637,SUMIF(BI625:BI636,$BX636,BS625:BS636),SUMIF(BI625:BI636,$BX636,BN625:BN636))=0,NA(),IF(CB636=CB637,SUMIF(BI625:BI636,$BX636,BS625:BS636),SUMIF(BI625:BI636,$BX636,BN625:BN636)))</f>
        <v>0.44231439525967231</v>
      </c>
      <c r="CB636" s="645">
        <f t="shared" si="194"/>
        <v>23</v>
      </c>
      <c r="CC636" s="645">
        <f>IF(CC637-1&lt;1,CC637+11,CC637-1)</f>
        <v>9</v>
      </c>
    </row>
    <row r="637" spans="61:81" ht="15" customHeight="1">
      <c r="BJ637" s="277"/>
      <c r="BK637" s="277"/>
      <c r="BL637" s="277"/>
      <c r="BM637" s="277"/>
      <c r="BN637" s="698" t="str">
        <f t="shared" ref="BN637" si="195">IFERROR(BL637/BM637,"")</f>
        <v/>
      </c>
      <c r="BO637" s="277"/>
      <c r="BP637" s="277"/>
      <c r="BQ637" s="277"/>
      <c r="BR637" s="277"/>
      <c r="BS637" s="277"/>
      <c r="BT637" s="277"/>
      <c r="BW637" s="667" t="str">
        <f>Cover!$M$34</f>
        <v>OCT FY-24</v>
      </c>
      <c r="BX637" s="666" t="str">
        <f>TEXT(CONCATENATE(CC637,"/01/20",CB637),"MMM")</f>
        <v>Oct</v>
      </c>
      <c r="BY637" s="643">
        <f>SUMIF($BI625:$BI636,$BX637,$BR625:$BR636)</f>
        <v>2.0099999999999998</v>
      </c>
      <c r="BZ637" s="821">
        <f>IF(IF(CB637=CB637,SUMIF(BI625:BI636,$BX637,BU625:BU636),SUMIF(BI625:BI636,$BX637,BP625:BP636))=0,NA(),IF(CB637=CB637,SUMIF(BI625:BI636,$BX637,BU625:BU636),SUMIF(BI625:BI636,$BX637,BP625:BP636)))</f>
        <v>0.3</v>
      </c>
      <c r="CA637" s="676">
        <f>IF(SUMIF($BI625:$BI636,$BX637,$BS625:$BS636)=0,NA(),SUMIF($BI625:$BI636,$BX637,$BS625:$BS636))</f>
        <v>0.3815920398009951</v>
      </c>
      <c r="CB637" s="645">
        <f>CB618</f>
        <v>24</v>
      </c>
      <c r="CC637" s="645">
        <f>MONTH(DATEVALUE(LEFT(BW637,3)&amp;" 1"))</f>
        <v>10</v>
      </c>
    </row>
    <row r="639" spans="61:81" ht="15" customHeight="1">
      <c r="BI639" s="54" t="s">
        <v>292</v>
      </c>
      <c r="BJ639" s="1116" t="s">
        <v>465</v>
      </c>
      <c r="BK639" s="1116"/>
      <c r="BL639" s="1116"/>
      <c r="BM639" s="1116"/>
      <c r="BN639" s="1116"/>
      <c r="BO639" s="1116"/>
      <c r="BP639" s="1116"/>
      <c r="BQ639" s="1116"/>
      <c r="BR639" s="1116"/>
      <c r="BS639" s="1116"/>
      <c r="BT639" s="1116"/>
      <c r="BU639" s="1116"/>
      <c r="BW639" s="37"/>
      <c r="BX639" s="37"/>
      <c r="BY639" s="270"/>
      <c r="BZ639" s="270"/>
      <c r="CA639" s="270"/>
      <c r="CB639" s="270"/>
      <c r="CC639" s="270"/>
    </row>
    <row r="640" spans="61:81" ht="15" customHeight="1">
      <c r="BI640" s="54" t="s">
        <v>296</v>
      </c>
      <c r="BJ640" s="283" t="s">
        <v>472</v>
      </c>
      <c r="BK640" s="283"/>
      <c r="BL640" s="283"/>
      <c r="BM640" s="283"/>
      <c r="BN640" s="283"/>
      <c r="BO640" s="283"/>
      <c r="BP640" s="283"/>
      <c r="BQ640" s="283"/>
      <c r="BR640" s="283"/>
      <c r="BS640" s="283"/>
      <c r="BT640" s="283"/>
      <c r="BU640" s="283"/>
      <c r="BW640" s="270"/>
      <c r="BX640" s="270"/>
      <c r="BY640" s="37"/>
      <c r="BZ640" s="37"/>
      <c r="CA640" s="37"/>
      <c r="CB640" s="37"/>
      <c r="CC640" s="37"/>
    </row>
    <row r="641" spans="61:81" ht="15" customHeight="1" thickBot="1">
      <c r="BI641" s="54" t="s">
        <v>300</v>
      </c>
      <c r="BJ641" s="283" t="s">
        <v>473</v>
      </c>
      <c r="BK641" s="283"/>
      <c r="BL641" s="283"/>
      <c r="BM641" s="283"/>
      <c r="BN641" s="283"/>
      <c r="BO641" s="283"/>
      <c r="BP641" s="283"/>
      <c r="BQ641" s="283"/>
      <c r="BR641" s="283"/>
      <c r="BS641" s="283"/>
      <c r="BT641" s="283"/>
      <c r="BU641" s="283"/>
      <c r="BW641" s="37"/>
      <c r="BX641" s="37"/>
      <c r="BY641" s="270"/>
      <c r="BZ641" s="270"/>
      <c r="CA641" s="270"/>
      <c r="CB641" s="270"/>
      <c r="CC641" s="270"/>
    </row>
    <row r="642" spans="61:81" ht="15" customHeight="1" thickBot="1">
      <c r="BI642" s="1443" t="s">
        <v>457</v>
      </c>
      <c r="BJ642" s="1444"/>
      <c r="BK642" s="1445"/>
      <c r="BL642" s="1443" t="s">
        <v>302</v>
      </c>
      <c r="BM642" s="1444"/>
      <c r="BN642" s="1444"/>
      <c r="BO642" s="1444"/>
      <c r="BP642" s="1445"/>
      <c r="BQ642" s="1443" t="s">
        <v>719</v>
      </c>
      <c r="BR642" s="1444"/>
      <c r="BS642" s="1444"/>
      <c r="BT642" s="1444"/>
      <c r="BU642" s="1445"/>
      <c r="BW642" s="1443" t="s">
        <v>303</v>
      </c>
      <c r="BX642" s="1444"/>
      <c r="BY642" s="1444"/>
      <c r="BZ642" s="1444"/>
      <c r="CA642" s="1444"/>
      <c r="CB642" s="1444"/>
      <c r="CC642" s="1445"/>
    </row>
    <row r="643" spans="61:81" ht="15" customHeight="1">
      <c r="BI643" s="636" t="s">
        <v>23</v>
      </c>
      <c r="BJ643" s="636" t="s">
        <v>37</v>
      </c>
      <c r="BK643" s="636" t="s">
        <v>304</v>
      </c>
      <c r="BL643" s="637" t="s">
        <v>305</v>
      </c>
      <c r="BM643" s="637" t="s">
        <v>310</v>
      </c>
      <c r="BN643" s="637" t="s">
        <v>311</v>
      </c>
      <c r="BO643" s="278" t="s">
        <v>312</v>
      </c>
      <c r="BP643" s="637" t="s">
        <v>313</v>
      </c>
      <c r="BQ643" s="637" t="s">
        <v>305</v>
      </c>
      <c r="BR643" s="637" t="s">
        <v>715</v>
      </c>
      <c r="BS643" s="637" t="s">
        <v>716</v>
      </c>
      <c r="BT643" s="278" t="s">
        <v>717</v>
      </c>
      <c r="BU643" s="637" t="s">
        <v>718</v>
      </c>
      <c r="BW643" s="279" t="s">
        <v>314</v>
      </c>
      <c r="BX643" s="279" t="s">
        <v>23</v>
      </c>
      <c r="BY643" s="280" t="s">
        <v>315</v>
      </c>
      <c r="BZ643" s="279" t="s">
        <v>122</v>
      </c>
      <c r="CA643" s="279" t="s">
        <v>316</v>
      </c>
      <c r="CB643" s="279" t="s">
        <v>317</v>
      </c>
      <c r="CC643" s="279" t="s">
        <v>318</v>
      </c>
    </row>
    <row r="644" spans="61:81" ht="15" customHeight="1">
      <c r="BI644" s="638" t="s">
        <v>319</v>
      </c>
      <c r="BJ644" s="638">
        <v>1</v>
      </c>
      <c r="BK644" s="638" t="s">
        <v>320</v>
      </c>
      <c r="BL644" s="857">
        <f>IF(BM644="","",BN644*BM644)</f>
        <v>4.3562499999999998E-4</v>
      </c>
      <c r="BM644" s="689">
        <v>2.214</v>
      </c>
      <c r="BN644" s="847">
        <v>1.9675925925925926E-4</v>
      </c>
      <c r="BO644" s="849">
        <f>IF(SUM(BM644:BM646=0),0,SUM(BL644:BL646)/SUM(BM644:BM646))</f>
        <v>1.5865369911612686E-4</v>
      </c>
      <c r="BP644" s="851">
        <v>6.9444444444444447E-4</v>
      </c>
      <c r="BQ644" s="857">
        <f>IF(BR644="","",BS644*BR644)</f>
        <v>1.9898148148148146E-4</v>
      </c>
      <c r="BR644" s="689">
        <v>2.456</v>
      </c>
      <c r="BS644" s="847">
        <v>8.1018518518518516E-5</v>
      </c>
      <c r="BT644" s="849">
        <f>IF(SUM(BR644:BR646=0),0,SUM(BQ644:BQ646)/SUM(BR644:BR646))</f>
        <v>8.1018518518518516E-5</v>
      </c>
      <c r="BU644" s="851">
        <v>6.9444444444444447E-4</v>
      </c>
      <c r="BW644" s="37"/>
      <c r="BX644" s="642" t="str">
        <f t="shared" ref="BX644:BX655" si="196">TEXT(CONCATENATE(CC644,"/01/20",CB644),"MMM")</f>
        <v>Oct</v>
      </c>
      <c r="BY644" s="643">
        <f>IF(CB644=$CB656,SUMIF($BI644:$BI655,$BX644,$BR644:$BR655),SUMIF($BI644:$BI655,$BX644,$BM644:$BM655))</f>
        <v>2.214</v>
      </c>
      <c r="BZ644" s="877">
        <f>IF(IF(CB644=CB656,SUMIF(BI644:BI655,$BX644,BU644:BU655),SUMIF(BI644:BI655,$BX644,BP644:BP655))=0,NA(),IF(CB644=CB656,SUMIF(BI644:BI655,$BX644,BU644:BU655),SUMIF(BI644:BI655,$BX644,BP644:BP655)))</f>
        <v>6.9444444444444447E-4</v>
      </c>
      <c r="CA644" s="876">
        <f>IF(IF(CB644=CB656,SUMIF(BI644:BI655,$BX644,BS644:BS655),SUMIF(BI644:BI655,$BX644,BN644:BN655))=0,NA(),IF(CB644=CB656,SUMIF(BI644:BI655,$BX644,BS644:BS655),SUMIF(BI644:BI655,$BX644,BN644:BN655)))</f>
        <v>1.9675925925925926E-4</v>
      </c>
      <c r="CB644" s="645">
        <f>CB625</f>
        <v>23</v>
      </c>
      <c r="CC644" s="645">
        <f t="shared" ref="CC644:CC654" si="197">IF(CC645-1&lt;1,CC645+11,CC645-1)</f>
        <v>10</v>
      </c>
    </row>
    <row r="645" spans="61:81" ht="15" customHeight="1">
      <c r="BI645" s="638" t="s">
        <v>321</v>
      </c>
      <c r="BJ645" s="638">
        <v>2</v>
      </c>
      <c r="BK645" s="638" t="s">
        <v>320</v>
      </c>
      <c r="BL645" s="857">
        <f t="shared" ref="BL645:BL654" si="198">IF(BM645="","",BN645*BM645)</f>
        <v>3.4513888888888886E-4</v>
      </c>
      <c r="BM645" s="689">
        <v>2.13</v>
      </c>
      <c r="BN645" s="847">
        <v>1.6203703703703703E-4</v>
      </c>
      <c r="BO645" s="852"/>
      <c r="BP645" s="851">
        <v>6.9444444444444447E-4</v>
      </c>
      <c r="BQ645" s="857" t="str">
        <f t="shared" ref="BQ645:BQ655" si="199">IF(BR645="","",BS645*BR645)</f>
        <v/>
      </c>
      <c r="BR645" s="689"/>
      <c r="BS645" s="847"/>
      <c r="BT645" s="852"/>
      <c r="BU645" s="851">
        <v>6.9444444444444447E-4</v>
      </c>
      <c r="BW645" s="37"/>
      <c r="BX645" s="642" t="str">
        <f t="shared" si="196"/>
        <v>Nov</v>
      </c>
      <c r="BY645" s="643">
        <f>IF(CB645=$CB656,SUMIF($BI644:$BI655,$BX645,$BR644:$BR655),SUMIF($BI644:$BI655,$BX645,$BM644:$BM655))</f>
        <v>2.13</v>
      </c>
      <c r="BZ645" s="877">
        <f>IF(IF(CB645=CB656,SUMIF(BI644:BI655,$BX645,BU644:BU655),SUMIF(BI644:BI655,$BX645,BP644:BP655))=0,NA(),IF(CB645=CB656,SUMIF(BI644:BI655,$BX645,BU644:BU655),SUMIF(BI644:BI655,$BX645,BP644:BP655)))</f>
        <v>6.9444444444444447E-4</v>
      </c>
      <c r="CA645" s="876">
        <f>IF(IF(CB645=CB656,SUMIF(BI644:BI655,$BX645,BS644:BS655),SUMIF(BI644:BI655,$BX645,BN644:BN655))=0,NA(),IF(CB645=CB656,SUMIF(BI644:BI655,$BX645,BS644:BS655),SUMIF(BI644:BI655,$BX645,BN644:BN655)))</f>
        <v>1.6203703703703703E-4</v>
      </c>
      <c r="CB645" s="645">
        <f t="shared" ref="CB645:CB655" si="200">CB626</f>
        <v>23</v>
      </c>
      <c r="CC645" s="645">
        <f t="shared" si="197"/>
        <v>11</v>
      </c>
    </row>
    <row r="646" spans="61:81" ht="15" customHeight="1">
      <c r="BI646" s="638" t="s">
        <v>322</v>
      </c>
      <c r="BJ646" s="638">
        <v>3</v>
      </c>
      <c r="BK646" s="638" t="s">
        <v>320</v>
      </c>
      <c r="BL646" s="857">
        <f t="shared" si="198"/>
        <v>3.7201388888888885E-4</v>
      </c>
      <c r="BM646" s="689">
        <v>2.9220000000000002</v>
      </c>
      <c r="BN646" s="847">
        <v>1.273148148148148E-4</v>
      </c>
      <c r="BO646" s="852"/>
      <c r="BP646" s="851">
        <v>6.9444444444444447E-4</v>
      </c>
      <c r="BQ646" s="857" t="str">
        <f t="shared" si="199"/>
        <v/>
      </c>
      <c r="BR646" s="689"/>
      <c r="BS646" s="847"/>
      <c r="BT646" s="852"/>
      <c r="BU646" s="851">
        <v>6.9444444444444447E-4</v>
      </c>
      <c r="BW646" s="37"/>
      <c r="BX646" s="642" t="str">
        <f t="shared" si="196"/>
        <v>Dec</v>
      </c>
      <c r="BY646" s="643">
        <f>IF(CB646=$CB656,SUMIF($BI644:$BI655,$BX646,$BR644:$BR655),SUMIF($BI644:$BI655,$BX646,$BM644:$BM655))</f>
        <v>2.9220000000000002</v>
      </c>
      <c r="BZ646" s="877">
        <f>IF(IF(CB646=CB656,SUMIF(BI644:BI655,$BX646,BU644:BU655),SUMIF(BI644:BI655,$BX646,BP644:BP655))=0,NA(),IF(CB646=CB656,SUMIF(BI644:BI655,$BX646,BU644:BU655),SUMIF(BI644:BI655,$BX646,BP644:BP655)))</f>
        <v>6.9444444444444447E-4</v>
      </c>
      <c r="CA646" s="876">
        <f>IF(IF(CB646=CB656,SUMIF(BI644:BI655,$BX646,BS644:BS655),SUMIF(BI644:BI655,$BX646,BN644:BN655))=0,NA(),IF(CB646=CB656,SUMIF(BI644:BI655,$BX646,BS644:BS655),SUMIF(BI644:BI655,$BX646,BN644:BN655)))</f>
        <v>1.273148148148148E-4</v>
      </c>
      <c r="CB646" s="645">
        <f t="shared" si="200"/>
        <v>23</v>
      </c>
      <c r="CC646" s="645">
        <f t="shared" si="197"/>
        <v>12</v>
      </c>
    </row>
    <row r="647" spans="61:81" ht="15" customHeight="1">
      <c r="BI647" s="638" t="s">
        <v>323</v>
      </c>
      <c r="BJ647" s="638">
        <v>4</v>
      </c>
      <c r="BK647" s="638" t="s">
        <v>324</v>
      </c>
      <c r="BL647" s="857">
        <f t="shared" si="198"/>
        <v>2.2592592592592591E-4</v>
      </c>
      <c r="BM647" s="689">
        <v>2.44</v>
      </c>
      <c r="BN647" s="847">
        <v>9.2592592592592588E-5</v>
      </c>
      <c r="BO647" s="849">
        <f>IF(SUM(BM647:BM649=0),0,SUM(BL647:BL649)/SUM(BM647:BM649))</f>
        <v>9.2078417171759792E-5</v>
      </c>
      <c r="BP647" s="851">
        <v>6.9444444444444447E-4</v>
      </c>
      <c r="BQ647" s="857" t="str">
        <f t="shared" si="199"/>
        <v/>
      </c>
      <c r="BR647" s="689"/>
      <c r="BS647" s="847"/>
      <c r="BT647" s="849">
        <f>IF(SUM(BR647:BR649=0),0,SUM(BQ647:BQ649)/SUM(BR647:BR649))</f>
        <v>0</v>
      </c>
      <c r="BU647" s="851">
        <v>6.9444444444444447E-4</v>
      </c>
      <c r="BW647" s="37"/>
      <c r="BX647" s="642" t="str">
        <f t="shared" si="196"/>
        <v>Jan</v>
      </c>
      <c r="BY647" s="643">
        <f>IF(CB647=$CB656,SUMIF($BI644:$BI655,$BX647,$BR644:$BR655),SUMIF($BI644:$BI655,$BX647,$BM644:$BM655))</f>
        <v>2.44</v>
      </c>
      <c r="BZ647" s="877">
        <f>IF(IF(CB647=CB656,SUMIF(BI644:BI655,$BX647,BU644:BU655),SUMIF(BI644:BI655,$BX647,BP644:BP655))=0,NA(),IF(CB647=CB656,SUMIF(BI644:BI655,$BX647,BU644:BU655),SUMIF(BI644:BI655,$BX647,BP644:BP655)))</f>
        <v>6.9444444444444447E-4</v>
      </c>
      <c r="CA647" s="876">
        <f>IF(IF(CB647=CB656,SUMIF(BI644:BI655,$BX647,BS644:BS655),SUMIF(BI644:BI655,$BX647,BN644:BN655))=0,NA(),IF(CB647=CB656,SUMIF(BI644:BI655,$BX647,BS644:BS655),SUMIF(BI644:BI655,$BX647,BN644:BN655)))</f>
        <v>9.2592592592592588E-5</v>
      </c>
      <c r="CB647" s="645">
        <f t="shared" si="200"/>
        <v>23</v>
      </c>
      <c r="CC647" s="645">
        <f t="shared" si="197"/>
        <v>1</v>
      </c>
    </row>
    <row r="648" spans="61:81" ht="15" customHeight="1">
      <c r="BI648" s="638" t="s">
        <v>325</v>
      </c>
      <c r="BJ648" s="638">
        <v>5</v>
      </c>
      <c r="BK648" s="638" t="s">
        <v>324</v>
      </c>
      <c r="BL648" s="857">
        <f t="shared" si="198"/>
        <v>2.6614583333333335E-4</v>
      </c>
      <c r="BM648" s="690">
        <v>2.5550000000000002</v>
      </c>
      <c r="BN648" s="848">
        <v>1.0416666666666667E-4</v>
      </c>
      <c r="BO648" s="852"/>
      <c r="BP648" s="851">
        <v>6.9444444444444447E-4</v>
      </c>
      <c r="BQ648" s="857" t="str">
        <f t="shared" si="199"/>
        <v/>
      </c>
      <c r="BR648" s="690"/>
      <c r="BS648" s="848"/>
      <c r="BT648" s="852"/>
      <c r="BU648" s="851">
        <v>6.9444444444444447E-4</v>
      </c>
      <c r="BW648" s="37"/>
      <c r="BX648" s="642" t="str">
        <f t="shared" si="196"/>
        <v>Feb</v>
      </c>
      <c r="BY648" s="643">
        <f>IF(CB648=$CB656,SUMIF($BI644:$BI655,$BX648,$BR644:$BR655),SUMIF($BI644:$BI655,$BX648,$BM644:$BM655))</f>
        <v>2.5550000000000002</v>
      </c>
      <c r="BZ648" s="877">
        <f>IF(IF(CB648=CB656,SUMIF(BI644:BI655,$BX648,BU644:BU655),SUMIF(BI644:BI655,$BX648,BP644:BP655))=0,NA(),IF(CB648=CB656,SUMIF(BI644:BI655,$BX648,BU644:BU655),SUMIF(BI644:BI655,$BX648,BP644:BP655)))</f>
        <v>6.9444444444444447E-4</v>
      </c>
      <c r="CA648" s="876">
        <f>IF(IF(CB648=CB656,SUMIF(BI644:BI655,$BX648,BS644:BS655),SUMIF(BI644:BI655,$BX648,BN644:BN655))=0,NA(),IF(CB648=CB656,SUMIF(BI644:BI655,$BX648,BS644:BS655),SUMIF(BI644:BI655,$BX648,BN644:BN655)))</f>
        <v>1.0416666666666667E-4</v>
      </c>
      <c r="CB648" s="645">
        <f t="shared" si="200"/>
        <v>23</v>
      </c>
      <c r="CC648" s="645">
        <f t="shared" si="197"/>
        <v>2</v>
      </c>
    </row>
    <row r="649" spans="61:81" ht="15" customHeight="1">
      <c r="BI649" s="638" t="s">
        <v>326</v>
      </c>
      <c r="BJ649" s="638">
        <v>6</v>
      </c>
      <c r="BK649" s="638" t="s">
        <v>324</v>
      </c>
      <c r="BL649" s="857">
        <f t="shared" si="198"/>
        <v>2.3543981481481482E-4</v>
      </c>
      <c r="BM649" s="690">
        <v>2.9060000000000001</v>
      </c>
      <c r="BN649" s="848">
        <v>8.1018518518518516E-5</v>
      </c>
      <c r="BO649" s="852"/>
      <c r="BP649" s="851">
        <v>6.9444444444444447E-4</v>
      </c>
      <c r="BQ649" s="857" t="str">
        <f t="shared" si="199"/>
        <v/>
      </c>
      <c r="BR649" s="690"/>
      <c r="BS649" s="848"/>
      <c r="BT649" s="852"/>
      <c r="BU649" s="851">
        <v>6.9444444444444447E-4</v>
      </c>
      <c r="BW649" s="37"/>
      <c r="BX649" s="642" t="str">
        <f t="shared" si="196"/>
        <v>Mar</v>
      </c>
      <c r="BY649" s="643">
        <f>IF(CB649=$CB656,SUMIF($BI644:$BI655,$BX649,$BR644:$BR655),SUMIF($BI644:$BI655,$BX649,$BM644:$BM655))</f>
        <v>2.9060000000000001</v>
      </c>
      <c r="BZ649" s="877">
        <f>IF(IF(CB649=CB656,SUMIF(BI644:BI655,$BX649,BU644:BU655),SUMIF(BI644:BI655,$BX649,BP644:BP655))=0,NA(),IF(CB649=CB656,SUMIF(BI644:BI655,$BX649,BU644:BU655),SUMIF(BI644:BI655,$BX649,BP644:BP655)))</f>
        <v>6.9444444444444447E-4</v>
      </c>
      <c r="CA649" s="876">
        <f>IF(IF(CB649=CB656,SUMIF(BI644:BI655,$BX649,BS644:BS655),SUMIF(BI644:BI655,$BX649,BN644:BN655))=0,NA(),IF(CB649=CB656,SUMIF(BI644:BI655,$BX649,BS644:BS655),SUMIF(BI644:BI655,$BX649,BN644:BN655)))</f>
        <v>8.1018518518518516E-5</v>
      </c>
      <c r="CB649" s="645">
        <f t="shared" si="200"/>
        <v>23</v>
      </c>
      <c r="CC649" s="645">
        <f t="shared" si="197"/>
        <v>3</v>
      </c>
    </row>
    <row r="650" spans="61:81" ht="15" customHeight="1">
      <c r="BI650" s="638" t="s">
        <v>327</v>
      </c>
      <c r="BJ650" s="638">
        <v>7</v>
      </c>
      <c r="BK650" s="638" t="s">
        <v>328</v>
      </c>
      <c r="BL650" s="857">
        <f t="shared" si="198"/>
        <v>1.7097222222222223E-4</v>
      </c>
      <c r="BM650" s="690">
        <v>2.4620000000000002</v>
      </c>
      <c r="BN650" s="848">
        <v>6.9444444444444444E-5</v>
      </c>
      <c r="BO650" s="849">
        <f>IF(SUM(BM650:BM652=0),0,SUM(BL650:BL652)/SUM(BM650:BM652))</f>
        <v>6.9444444444444458E-5</v>
      </c>
      <c r="BP650" s="851">
        <v>6.9444444444444447E-4</v>
      </c>
      <c r="BQ650" s="857" t="str">
        <f t="shared" si="199"/>
        <v/>
      </c>
      <c r="BR650" s="690"/>
      <c r="BS650" s="848"/>
      <c r="BT650" s="849">
        <f>IF(SUM(BR650:BR652=0),0,SUM(BQ650:BQ652)/SUM(BR650:BR652))</f>
        <v>0</v>
      </c>
      <c r="BU650" s="851">
        <v>6.9444444444444447E-4</v>
      </c>
      <c r="BW650" s="37"/>
      <c r="BX650" s="642" t="str">
        <f t="shared" si="196"/>
        <v>Apr</v>
      </c>
      <c r="BY650" s="643">
        <f>IF(CB650=$CB656,SUMIF($BI644:$BI655,$BX650,$BR644:$BR655),SUMIF($BI644:$BI655,$BX650,$BM644:$BM655))</f>
        <v>2.4620000000000002</v>
      </c>
      <c r="BZ650" s="877">
        <f>IF(IF(CB650=CB656,SUMIF(BI644:BI655,$BX650,BU644:BU655),SUMIF(BI644:BI655,$BX650,BP644:BP655))=0,NA(),IF(CB650=CB656,SUMIF(BI644:BI655,$BX650,BU644:BU655),SUMIF(BI644:BI655,$BX650,BP644:BP655)))</f>
        <v>6.9444444444444447E-4</v>
      </c>
      <c r="CA650" s="876">
        <f>IF(IF(CB650=CB656,SUMIF(BI644:BI655,$BX650,BS644:BS655),SUMIF(BI644:BI655,$BX650,BN644:BN655))=0,NA(),IF(CB650=CB656,SUMIF(BI644:BI655,$BX650,BS644:BS655),SUMIF(BI644:BI655,$BX650,BN644:BN655)))</f>
        <v>6.9444444444444444E-5</v>
      </c>
      <c r="CB650" s="645">
        <f t="shared" si="200"/>
        <v>23</v>
      </c>
      <c r="CC650" s="645">
        <f t="shared" si="197"/>
        <v>4</v>
      </c>
    </row>
    <row r="651" spans="61:81" ht="15" customHeight="1">
      <c r="BI651" s="638" t="s">
        <v>329</v>
      </c>
      <c r="BJ651" s="638">
        <v>8</v>
      </c>
      <c r="BK651" s="638" t="s">
        <v>328</v>
      </c>
      <c r="BL651" s="857">
        <f t="shared" si="198"/>
        <v>1.7583333333333334E-4</v>
      </c>
      <c r="BM651" s="690">
        <v>2.532</v>
      </c>
      <c r="BN651" s="848">
        <v>6.9444444444444444E-5</v>
      </c>
      <c r="BO651" s="852"/>
      <c r="BP651" s="851">
        <v>6.9444444444444447E-4</v>
      </c>
      <c r="BQ651" s="857" t="str">
        <f t="shared" si="199"/>
        <v/>
      </c>
      <c r="BR651" s="690"/>
      <c r="BS651" s="848"/>
      <c r="BT651" s="852"/>
      <c r="BU651" s="851">
        <v>6.9444444444444447E-4</v>
      </c>
      <c r="BW651" s="37"/>
      <c r="BX651" s="642" t="str">
        <f t="shared" si="196"/>
        <v>May</v>
      </c>
      <c r="BY651" s="643">
        <f>IF(CB651=$CB656,SUMIF($BI644:$BI655,$BX651,$BR644:$BR655),SUMIF($BI644:$BI655,$BX651,$BM644:$BM655))</f>
        <v>2.532</v>
      </c>
      <c r="BZ651" s="877">
        <f>IF(IF(CB651=CB656,SUMIF(BI644:BI655,$BX651,BU644:BU655),SUMIF(BI644:BI655,$BX651,BP644:BP655))=0,NA(),IF(CB651=CB656,SUMIF(BI644:BI655,$BX651,BU644:BU655),SUMIF(BI644:BI655,$BX651,BP644:BP655)))</f>
        <v>6.9444444444444447E-4</v>
      </c>
      <c r="CA651" s="876">
        <f>IF(IF(CB651=CB656,SUMIF(BI644:BI655,$BX651,BS644:BS655),SUMIF(BI644:BI655,$BX651,BN644:BN655))=0,NA(),IF(CB651=CB656,SUMIF(BI644:BI655,$BX651,BS644:BS655),SUMIF(BI644:BI655,$BX651,BN644:BN655)))</f>
        <v>6.9444444444444444E-5</v>
      </c>
      <c r="CB651" s="645">
        <f t="shared" si="200"/>
        <v>23</v>
      </c>
      <c r="CC651" s="645">
        <f t="shared" si="197"/>
        <v>5</v>
      </c>
    </row>
    <row r="652" spans="61:81" ht="15" customHeight="1">
      <c r="BI652" s="638" t="s">
        <v>331</v>
      </c>
      <c r="BJ652" s="638">
        <v>9</v>
      </c>
      <c r="BK652" s="638" t="s">
        <v>328</v>
      </c>
      <c r="BL652" s="857">
        <f t="shared" si="198"/>
        <v>2.304861111111111E-4</v>
      </c>
      <c r="BM652" s="690">
        <v>3.319</v>
      </c>
      <c r="BN652" s="848">
        <v>6.9444444444444444E-5</v>
      </c>
      <c r="BO652" s="852"/>
      <c r="BP652" s="851">
        <v>6.9444444444444447E-4</v>
      </c>
      <c r="BQ652" s="857" t="str">
        <f t="shared" si="199"/>
        <v/>
      </c>
      <c r="BR652" s="690"/>
      <c r="BS652" s="848"/>
      <c r="BT652" s="852"/>
      <c r="BU652" s="851">
        <v>6.9444444444444447E-4</v>
      </c>
      <c r="BW652" s="37"/>
      <c r="BX652" s="642" t="str">
        <f t="shared" si="196"/>
        <v>Jun</v>
      </c>
      <c r="BY652" s="643">
        <f>IF(CB652=$CB656,SUMIF($BI644:$BI655,$BX652,$BR644:$BR655),SUMIF($BI644:$BI655,$BX652,$BM644:$BM655))</f>
        <v>3.319</v>
      </c>
      <c r="BZ652" s="877">
        <f>IF(IF(CB652=CB656,SUMIF(BI644:BI655,$BX652,BU644:BU655),SUMIF(BI644:BI655,$BX652,BP644:BP655))=0,NA(),IF(CB652=CB656,SUMIF(BI644:BI655,$BX652,BU644:BU655),SUMIF(BI644:BI655,$BX652,BP644:BP655)))</f>
        <v>6.9444444444444447E-4</v>
      </c>
      <c r="CA652" s="876">
        <f>IF(IF(CB652=CB656,SUMIF(BI644:BI655,$BX652,BS644:BS655),SUMIF(BI644:BI655,$BX652,BN644:BN655))=0,NA(),IF(CB652=CB656,SUMIF(BI644:BI655,$BX652,BS644:BS655),SUMIF(BI644:BI655,$BX652,BN644:BN655)))</f>
        <v>6.9444444444444444E-5</v>
      </c>
      <c r="CB652" s="645">
        <f t="shared" si="200"/>
        <v>23</v>
      </c>
      <c r="CC652" s="645">
        <f t="shared" si="197"/>
        <v>6</v>
      </c>
    </row>
    <row r="653" spans="61:81" ht="15" customHeight="1">
      <c r="BI653" s="638" t="s">
        <v>337</v>
      </c>
      <c r="BJ653" s="638">
        <v>10</v>
      </c>
      <c r="BK653" s="638" t="s">
        <v>338</v>
      </c>
      <c r="BL653" s="857">
        <f t="shared" si="198"/>
        <v>2.1040509259259257E-4</v>
      </c>
      <c r="BM653" s="690">
        <v>2.597</v>
      </c>
      <c r="BN653" s="848">
        <v>8.1018518518518516E-5</v>
      </c>
      <c r="BO653" s="849">
        <f>IF(SUM(BM653:BM655=0),0,SUM(BL653:BL655)/SUM(BM653:BM655))</f>
        <v>7.3161717554804366E-5</v>
      </c>
      <c r="BP653" s="851">
        <v>6.9444444444444447E-4</v>
      </c>
      <c r="BQ653" s="857" t="str">
        <f t="shared" si="199"/>
        <v/>
      </c>
      <c r="BR653" s="690"/>
      <c r="BS653" s="848"/>
      <c r="BT653" s="849">
        <f>IF(SUM(BR653:BR655=0),0,SUM(BQ653:BQ655)/SUM(BR653:BR655))</f>
        <v>0</v>
      </c>
      <c r="BU653" s="851">
        <v>6.9444444444444447E-4</v>
      </c>
      <c r="BW653" s="37"/>
      <c r="BX653" s="642" t="str">
        <f t="shared" si="196"/>
        <v>Jul</v>
      </c>
      <c r="BY653" s="643">
        <f>IF(CB653=$CB656,SUMIF($BI644:$BI655,$BX653,$BR644:$BR655),SUMIF($BI644:$BI655,$BX653,$BM644:$BM655))</f>
        <v>2.597</v>
      </c>
      <c r="BZ653" s="877">
        <f>IF(IF(CB653=CB656,SUMIF(BI644:BI655,$BX653,BU644:BU655),SUMIF(BI644:BI655,$BX653,BP644:BP655))=0,NA(),IF(CB653=CB656,SUMIF(BI644:BI655,$BX653,BU644:BU655),SUMIF(BI644:BI655,$BX653,BP644:BP655)))</f>
        <v>6.9444444444444447E-4</v>
      </c>
      <c r="CA653" s="876">
        <f>IF(IF(CB653=CB656,SUMIF(BI644:BI655,$BX653,BS644:BS655),SUMIF(BI644:BI655,$BX653,BN644:BN655))=0,NA(),IF(CB653=CB656,SUMIF(BI644:BI655,$BX653,BS644:BS655),SUMIF(BI644:BI655,$BX653,BN644:BN655)))</f>
        <v>8.1018518518518516E-5</v>
      </c>
      <c r="CB653" s="645">
        <f t="shared" si="200"/>
        <v>23</v>
      </c>
      <c r="CC653" s="645">
        <f t="shared" si="197"/>
        <v>7</v>
      </c>
    </row>
    <row r="654" spans="61:81" ht="15" customHeight="1">
      <c r="BI654" s="638" t="s">
        <v>343</v>
      </c>
      <c r="BJ654" s="638">
        <v>11</v>
      </c>
      <c r="BK654" s="638" t="s">
        <v>338</v>
      </c>
      <c r="BL654" s="857">
        <f t="shared" si="198"/>
        <v>1.7465277777777778E-4</v>
      </c>
      <c r="BM654" s="690">
        <v>2.5150000000000001</v>
      </c>
      <c r="BN654" s="848">
        <v>6.9444444444444444E-5</v>
      </c>
      <c r="BO654" s="852"/>
      <c r="BP654" s="851">
        <v>6.9444444444444447E-4</v>
      </c>
      <c r="BQ654" s="857" t="str">
        <f t="shared" si="199"/>
        <v/>
      </c>
      <c r="BR654" s="690"/>
      <c r="BS654" s="848"/>
      <c r="BT654" s="852"/>
      <c r="BU654" s="851">
        <v>6.9444444444444447E-4</v>
      </c>
      <c r="BW654" s="37"/>
      <c r="BX654" s="642" t="str">
        <f t="shared" si="196"/>
        <v>Aug</v>
      </c>
      <c r="BY654" s="643">
        <f>IF(CB654=$CB656,SUMIF($BI644:$BI655,$BX654,$BR644:$BR655),SUMIF($BI644:$BI655,$BX654,$BM644:$BM655))</f>
        <v>2.5150000000000001</v>
      </c>
      <c r="BZ654" s="877">
        <f>IF(IF(CB654=CB656,SUMIF(BI644:BI655,$BX654,BU644:BU655),SUMIF(BI644:BI655,$BX654,BP644:BP655))=0,NA(),IF(CB654=CB656,SUMIF(BI644:BI655,$BX654,BU644:BU655),SUMIF(BI644:BI655,$BX654,BP644:BP655)))</f>
        <v>6.9444444444444447E-4</v>
      </c>
      <c r="CA654" s="876">
        <f>IF(IF(CB654=CB656,SUMIF(BI644:BI655,$BX654,BS644:BS655),SUMIF(BI644:BI655,$BX654,BN644:BN655))=0,NA(),IF(CB654=CB656,SUMIF(BI644:BI655,$BX654,BS644:BS655),SUMIF(BI644:BI655,$BX654,BN644:BN655)))</f>
        <v>6.9444444444444444E-5</v>
      </c>
      <c r="CB654" s="645">
        <f t="shared" si="200"/>
        <v>23</v>
      </c>
      <c r="CC654" s="645">
        <f t="shared" si="197"/>
        <v>8</v>
      </c>
    </row>
    <row r="655" spans="61:81" ht="15" customHeight="1">
      <c r="BI655" s="638" t="s">
        <v>344</v>
      </c>
      <c r="BJ655" s="638">
        <v>12</v>
      </c>
      <c r="BK655" s="638" t="s">
        <v>338</v>
      </c>
      <c r="BL655" s="857">
        <f>IF(BM655="","",BN655*BM655)</f>
        <v>2.0652777777777778E-4</v>
      </c>
      <c r="BM655" s="690">
        <v>2.9740000000000002</v>
      </c>
      <c r="BN655" s="848">
        <v>6.9444444444444444E-5</v>
      </c>
      <c r="BO655" s="852"/>
      <c r="BP655" s="851">
        <v>6.9444444444444447E-4</v>
      </c>
      <c r="BQ655" s="857" t="str">
        <f t="shared" si="199"/>
        <v/>
      </c>
      <c r="BR655" s="690"/>
      <c r="BS655" s="848"/>
      <c r="BT655" s="852"/>
      <c r="BU655" s="851">
        <v>6.9444444444444447E-4</v>
      </c>
      <c r="BW655" s="37"/>
      <c r="BX655" s="642" t="str">
        <f t="shared" si="196"/>
        <v>Sep</v>
      </c>
      <c r="BY655" s="643">
        <f>IF(CB655=$CB656,SUMIF($BI644:$BI655,$BX655,$BR644:$BR655),SUMIF($BI644:$BI655,$BX655,$BM644:$BM655))</f>
        <v>2.9740000000000002</v>
      </c>
      <c r="BZ655" s="877">
        <f>IF(IF(CB655=CB656,SUMIF(BI644:BI655,$BX655,BU644:BU655),SUMIF(BI644:BI655,$BX655,BP644:BP655))=0,NA(),IF(CB655=CB656,SUMIF(BI644:BI655,$BX655,BU644:BU655),SUMIF(BI644:BI655,$BX655,BP644:BP655)))</f>
        <v>6.9444444444444447E-4</v>
      </c>
      <c r="CA655" s="876">
        <f>IF(IF(CB655=CB656,SUMIF(BI644:BI655,$BX655,BS644:BS655),SUMIF(BI644:BI655,$BX655,BN644:BN655))=0,NA(),IF(CB655=CB656,SUMIF(BI644:BI655,$BX655,BS644:BS655),SUMIF(BI644:BI655,$BX655,BN644:BN655)))</f>
        <v>6.9444444444444444E-5</v>
      </c>
      <c r="CB655" s="645">
        <f t="shared" si="200"/>
        <v>23</v>
      </c>
      <c r="CC655" s="645">
        <f>IF(CC656-1&lt;1,CC656+11,CC656-1)</f>
        <v>9</v>
      </c>
    </row>
    <row r="656" spans="61:81" ht="15" customHeight="1">
      <c r="BJ656" s="277"/>
      <c r="BK656" s="277"/>
      <c r="BL656" s="277"/>
      <c r="BM656" s="277"/>
      <c r="BN656" s="277"/>
      <c r="BO656" s="277"/>
      <c r="BP656" s="277"/>
      <c r="BQ656" s="277"/>
      <c r="BR656" s="277"/>
      <c r="BS656" s="277"/>
      <c r="BT656" s="277"/>
      <c r="BW656" s="647" t="str">
        <f>Cover!$M$34</f>
        <v>OCT FY-24</v>
      </c>
      <c r="BX656" s="642" t="str">
        <f>TEXT(CONCATENATE(CC656,"/01/20",CB656),"MMM")</f>
        <v>Oct</v>
      </c>
      <c r="BY656" s="643">
        <f>SUMIF($BI644:$BI655,$BX656,$BR644:$BR655)</f>
        <v>2.456</v>
      </c>
      <c r="BZ656" s="877">
        <f>IF(IF(CB656=CB656,SUMIF(BI644:BI655,$BX656,BU644:BU655),SUMIF(BI644:BI655,$BX656,BP644:BP655))=0,NA(),IF(CB656=CB656,SUMIF(BI644:BI655,$BX656,BU644:BU655),SUMIF(BI644:BI655,$BX656,BP644:BP655)))</f>
        <v>6.9444444444444447E-4</v>
      </c>
      <c r="CA656" s="876">
        <f>IF(SUMIF($BI644:$BI655,$BX656,$BS644:$BS655)=0,NA(),SUMIF($BI644:$BI655,$BX656,$BS644:$BS655))</f>
        <v>8.1018518518518516E-5</v>
      </c>
      <c r="CB656" s="645">
        <f>CB637</f>
        <v>24</v>
      </c>
      <c r="CC656" s="645">
        <f>MONTH(DATEVALUE(LEFT(BW656,3)&amp;" 1"))</f>
        <v>10</v>
      </c>
    </row>
    <row r="657" spans="61:81" ht="15" customHeight="1">
      <c r="BI657" s="37"/>
      <c r="BJ657" s="37"/>
      <c r="BK657" s="37"/>
      <c r="BL657" s="37"/>
      <c r="BM657" s="37"/>
      <c r="BN657" s="37"/>
      <c r="BO657" s="37"/>
      <c r="BP657" s="37"/>
      <c r="BQ657" s="37"/>
      <c r="BR657" s="37"/>
      <c r="BS657" s="37"/>
      <c r="BT657" s="37"/>
      <c r="BU657" s="37"/>
      <c r="BV657" s="37"/>
      <c r="BW657" s="37"/>
      <c r="BX657" s="37"/>
      <c r="BY657" s="37"/>
      <c r="BZ657" s="37"/>
      <c r="CA657" s="37"/>
      <c r="CB657" s="37"/>
      <c r="CC657" s="37"/>
    </row>
    <row r="658" spans="61:81" ht="15" customHeight="1">
      <c r="BI658" s="54" t="s">
        <v>292</v>
      </c>
      <c r="BJ658" s="287" t="s">
        <v>478</v>
      </c>
      <c r="BK658" s="287"/>
      <c r="BL658" s="287"/>
      <c r="BM658" s="287"/>
      <c r="BN658" s="287"/>
      <c r="BO658" s="287"/>
      <c r="BP658" s="287"/>
      <c r="BQ658" s="287"/>
      <c r="BR658" s="287"/>
      <c r="BS658" s="287"/>
      <c r="BT658" s="287"/>
      <c r="BU658" s="287"/>
      <c r="BW658" s="37"/>
      <c r="BX658" s="37"/>
      <c r="BY658" s="37"/>
      <c r="BZ658" s="37"/>
      <c r="CA658" s="37"/>
      <c r="CB658" s="37"/>
      <c r="CC658" s="37"/>
    </row>
    <row r="659" spans="61:81" ht="15" customHeight="1">
      <c r="BI659" s="54" t="s">
        <v>296</v>
      </c>
      <c r="BJ659" s="283" t="s">
        <v>475</v>
      </c>
      <c r="BK659" s="283"/>
      <c r="BL659" s="283"/>
      <c r="BM659" s="283"/>
      <c r="BN659" s="283"/>
      <c r="BO659" s="283"/>
      <c r="BP659" s="283"/>
      <c r="BQ659" s="283"/>
      <c r="BR659" s="283"/>
      <c r="BS659" s="283"/>
      <c r="BT659" s="283"/>
      <c r="BU659" s="283"/>
      <c r="BW659" s="37"/>
      <c r="BX659" s="37"/>
      <c r="BY659" s="37"/>
      <c r="BZ659" s="37"/>
      <c r="CA659" s="37"/>
      <c r="CB659" s="37"/>
      <c r="CC659" s="37"/>
    </row>
    <row r="660" spans="61:81" ht="15" customHeight="1" thickBot="1">
      <c r="BI660" s="54" t="s">
        <v>300</v>
      </c>
      <c r="BJ660" s="283" t="s">
        <v>476</v>
      </c>
      <c r="BK660" s="283"/>
      <c r="BL660" s="283"/>
      <c r="BM660" s="283"/>
      <c r="BN660" s="283"/>
      <c r="BO660" s="283"/>
      <c r="BP660" s="283"/>
      <c r="BQ660" s="283"/>
      <c r="BR660" s="283"/>
      <c r="BS660" s="283"/>
      <c r="BT660" s="283"/>
      <c r="BU660" s="283"/>
      <c r="BW660" s="37"/>
      <c r="BX660" s="37"/>
      <c r="BY660" s="37"/>
      <c r="BZ660" s="37"/>
      <c r="CA660" s="37"/>
      <c r="CB660" s="37"/>
      <c r="CC660" s="37"/>
    </row>
    <row r="661" spans="61:81" ht="15" customHeight="1" thickBot="1">
      <c r="BI661" s="1443" t="s">
        <v>457</v>
      </c>
      <c r="BJ661" s="1444"/>
      <c r="BK661" s="1445"/>
      <c r="BL661" s="1443" t="s">
        <v>302</v>
      </c>
      <c r="BM661" s="1444"/>
      <c r="BN661" s="1444"/>
      <c r="BO661" s="1444"/>
      <c r="BP661" s="1445"/>
      <c r="BQ661" s="1443" t="s">
        <v>719</v>
      </c>
      <c r="BR661" s="1444"/>
      <c r="BS661" s="1444"/>
      <c r="BT661" s="1444"/>
      <c r="BU661" s="1445"/>
      <c r="BW661" s="1443" t="s">
        <v>303</v>
      </c>
      <c r="BX661" s="1444"/>
      <c r="BY661" s="1444"/>
      <c r="BZ661" s="1444"/>
      <c r="CA661" s="1444"/>
      <c r="CB661" s="1444"/>
      <c r="CC661" s="1445"/>
    </row>
    <row r="662" spans="61:81" ht="15" customHeight="1">
      <c r="BI662" s="636" t="s">
        <v>23</v>
      </c>
      <c r="BJ662" s="636" t="s">
        <v>37</v>
      </c>
      <c r="BK662" s="636" t="s">
        <v>304</v>
      </c>
      <c r="BL662" s="637" t="s">
        <v>305</v>
      </c>
      <c r="BM662" s="637" t="s">
        <v>310</v>
      </c>
      <c r="BN662" s="637" t="s">
        <v>311</v>
      </c>
      <c r="BO662" s="278" t="s">
        <v>312</v>
      </c>
      <c r="BP662" s="637" t="s">
        <v>313</v>
      </c>
      <c r="BQ662" s="637" t="s">
        <v>305</v>
      </c>
      <c r="BR662" s="637" t="s">
        <v>715</v>
      </c>
      <c r="BS662" s="637" t="s">
        <v>716</v>
      </c>
      <c r="BT662" s="278" t="s">
        <v>717</v>
      </c>
      <c r="BU662" s="637" t="s">
        <v>718</v>
      </c>
      <c r="BW662" s="279" t="s">
        <v>314</v>
      </c>
      <c r="BX662" s="279" t="s">
        <v>23</v>
      </c>
      <c r="BY662" s="280" t="s">
        <v>315</v>
      </c>
      <c r="BZ662" s="279" t="s">
        <v>122</v>
      </c>
      <c r="CA662" s="279" t="s">
        <v>316</v>
      </c>
      <c r="CB662" s="279" t="s">
        <v>317</v>
      </c>
      <c r="CC662" s="279" t="s">
        <v>318</v>
      </c>
    </row>
    <row r="663" spans="61:81" ht="15" customHeight="1">
      <c r="BI663" s="638" t="s">
        <v>319</v>
      </c>
      <c r="BJ663" s="638">
        <v>1</v>
      </c>
      <c r="BK663" s="638" t="s">
        <v>320</v>
      </c>
      <c r="BL663" s="690">
        <v>6.8000000000000005E-2</v>
      </c>
      <c r="BM663" s="689">
        <v>2.3149999999999999</v>
      </c>
      <c r="BN663" s="653">
        <f>IF(BM663="","",BL663/BM663)</f>
        <v>2.9373650107991364E-2</v>
      </c>
      <c r="BO663" s="289">
        <f>IF(SUM(BM663:BM665=0),0,SUM(BL663:BL665)/SUM(BM663:BM665))</f>
        <v>2.5244514935236585E-2</v>
      </c>
      <c r="BP663" s="821">
        <v>0.05</v>
      </c>
      <c r="BQ663" s="690">
        <v>4.2000000000000003E-2</v>
      </c>
      <c r="BR663" s="689">
        <v>2.512</v>
      </c>
      <c r="BS663" s="842">
        <f>IF(BR663="","",BQ663/BR663)</f>
        <v>1.6719745222929936E-2</v>
      </c>
      <c r="BT663" s="289">
        <f>IF(SUM(BR663:BR665=0),0,SUM(BQ663:BQ665)/SUM(BR663:BR665))</f>
        <v>1.6719745222929936E-2</v>
      </c>
      <c r="BU663" s="821">
        <v>0.05</v>
      </c>
      <c r="BW663" s="37"/>
      <c r="BX663" s="642" t="str">
        <f t="shared" ref="BX663:BX674" si="201">TEXT(CONCATENATE(CC663,"/01/20",CB663),"MMM")</f>
        <v>Oct</v>
      </c>
      <c r="BY663" s="643">
        <f>IF(CB663=$CB675,SUMIF($BI663:$BI674,$BX663,$BR663:$BR674),SUMIF($BI663:$BI674,$BX663,$BM663:$BM674))</f>
        <v>2.3149999999999999</v>
      </c>
      <c r="BZ663" s="821">
        <f>IF(IF(CB663=CB675,SUMIF(BI663:BI674,$BX663,BU663:BU674),SUMIF(BI663:BI674,$BX663,BP663:BP674))=0,NA(),IF(CB663=CB675,SUMIF(BI663:BI674,$BX663,BU663:BU674),SUMIF(BI663:BI674,$BX663,BP663:BP674)))</f>
        <v>0.05</v>
      </c>
      <c r="CA663" s="644">
        <f>IF(IF(CB663=CB675,SUMIF(BI663:BI674,$BX663,BS663:BS674),SUMIF(BI663:BI674,$BX663,BN663:BN674))=0,NA(),IF(CB663=CB675,SUMIF(BI663:BI674,$BX663,BS663:BS674),SUMIF(BI663:BI674,$BX663,BN663:BN674)))</f>
        <v>2.9373650107991364E-2</v>
      </c>
      <c r="CB663" s="645">
        <f>CB644</f>
        <v>23</v>
      </c>
      <c r="CC663" s="645">
        <f t="shared" ref="CC663:CC673" si="202">IF(CC664-1&lt;1,CC664+11,CC664-1)</f>
        <v>10</v>
      </c>
    </row>
    <row r="664" spans="61:81" ht="15" customHeight="1">
      <c r="BI664" s="638" t="s">
        <v>321</v>
      </c>
      <c r="BJ664" s="638">
        <v>2</v>
      </c>
      <c r="BK664" s="638" t="s">
        <v>320</v>
      </c>
      <c r="BL664" s="690">
        <v>7.0000000000000007E-2</v>
      </c>
      <c r="BM664" s="689">
        <v>2.2269999999999999</v>
      </c>
      <c r="BN664" s="653">
        <f t="shared" ref="BN664:BN674" si="203">IF(BM664="","",BL664/BM664)</f>
        <v>3.1432420296362826E-2</v>
      </c>
      <c r="BO664" s="855"/>
      <c r="BP664" s="821">
        <v>0.05</v>
      </c>
      <c r="BQ664" s="690"/>
      <c r="BR664" s="689"/>
      <c r="BS664" s="842" t="str">
        <f t="shared" ref="BS664:BS674" si="204">IF(BR664="","",BQ664/BR664)</f>
        <v/>
      </c>
      <c r="BT664" s="855"/>
      <c r="BU664" s="821">
        <v>0.05</v>
      </c>
      <c r="BW664" s="37"/>
      <c r="BX664" s="642" t="str">
        <f t="shared" si="201"/>
        <v>Nov</v>
      </c>
      <c r="BY664" s="643">
        <f>IF(CB664=$CB675,SUMIF($BI663:$BI674,$BX664,$BR663:$BR674),SUMIF($BI663:$BI674,$BX664,$BM663:$BM674))</f>
        <v>2.2269999999999999</v>
      </c>
      <c r="BZ664" s="821">
        <f>IF(IF(CB664=CB675,SUMIF(BI663:BI674,$BX664,BU663:BU674),SUMIF(BI663:BI674,$BX664,BP663:BP674))=0,NA(),IF(CB664=CB675,SUMIF(BI663:BI674,$BX664,BU663:BU674),SUMIF(BI663:BI674,$BX664,BP663:BP674)))</f>
        <v>0.05</v>
      </c>
      <c r="CA664" s="644">
        <f>IF(IF(CB664=CB675,SUMIF(BI663:BI674,$BX664,BS663:BS674),SUMIF(BI663:BI674,$BX664,BN663:BN674))=0,NA(),IF(CB664=CB675,SUMIF(BI663:BI674,$BX664,BS663:BS674),SUMIF(BI663:BI674,$BX664,BN663:BN674)))</f>
        <v>3.1432420296362826E-2</v>
      </c>
      <c r="CB664" s="645">
        <f t="shared" ref="CB664:CB675" si="205">CB645</f>
        <v>23</v>
      </c>
      <c r="CC664" s="645">
        <f t="shared" si="202"/>
        <v>11</v>
      </c>
    </row>
    <row r="665" spans="61:81" ht="15" customHeight="1">
      <c r="BI665" s="638" t="s">
        <v>322</v>
      </c>
      <c r="BJ665" s="638">
        <v>3</v>
      </c>
      <c r="BK665" s="638" t="s">
        <v>320</v>
      </c>
      <c r="BL665" s="690">
        <v>5.2999999999999999E-2</v>
      </c>
      <c r="BM665" s="689">
        <v>3.024</v>
      </c>
      <c r="BN665" s="653">
        <f t="shared" si="203"/>
        <v>1.7526455026455025E-2</v>
      </c>
      <c r="BO665" s="855"/>
      <c r="BP665" s="821">
        <v>0.05</v>
      </c>
      <c r="BQ665" s="690"/>
      <c r="BR665" s="689"/>
      <c r="BS665" s="842" t="str">
        <f t="shared" si="204"/>
        <v/>
      </c>
      <c r="BT665" s="855"/>
      <c r="BU665" s="821">
        <v>0.05</v>
      </c>
      <c r="BW665" s="37"/>
      <c r="BX665" s="642" t="str">
        <f t="shared" si="201"/>
        <v>Dec</v>
      </c>
      <c r="BY665" s="643">
        <f>IF(CB665=$CB675,SUMIF($BI663:$BI674,$BX665,$BR663:$BR674),SUMIF($BI663:$BI674,$BX665,$BM663:$BM674))</f>
        <v>3.024</v>
      </c>
      <c r="BZ665" s="821">
        <f>IF(IF(CB665=CB675,SUMIF(BI663:BI674,$BX665,BU663:BU674),SUMIF(BI663:BI674,$BX665,BP663:BP674))=0,NA(),IF(CB665=CB675,SUMIF(BI663:BI674,$BX665,BU663:BU674),SUMIF(BI663:BI674,$BX665,BP663:BP674)))</f>
        <v>0.05</v>
      </c>
      <c r="CA665" s="644">
        <f>IF(IF(CB665=CB675,SUMIF(BI663:BI674,$BX665,BS663:BS674),SUMIF(BI663:BI674,$BX665,BN663:BN674))=0,NA(),IF(CB665=CB675,SUMIF(BI663:BI674,$BX665,BS663:BS674),SUMIF(BI663:BI674,$BX665,BN663:BN674)))</f>
        <v>1.7526455026455025E-2</v>
      </c>
      <c r="CB665" s="645">
        <f t="shared" si="205"/>
        <v>23</v>
      </c>
      <c r="CC665" s="645">
        <f t="shared" si="202"/>
        <v>12</v>
      </c>
    </row>
    <row r="666" spans="61:81" ht="15" customHeight="1">
      <c r="BI666" s="638" t="s">
        <v>323</v>
      </c>
      <c r="BJ666" s="638">
        <v>4</v>
      </c>
      <c r="BK666" s="638" t="s">
        <v>324</v>
      </c>
      <c r="BL666" s="690">
        <v>4.1000000000000002E-2</v>
      </c>
      <c r="BM666" s="689">
        <v>2.5070000000000001</v>
      </c>
      <c r="BN666" s="653">
        <f t="shared" si="203"/>
        <v>1.6354208216992423E-2</v>
      </c>
      <c r="BO666" s="289">
        <f>IF(SUM(BM666:BM668=0),0,SUM(BL666:BL668)/SUM(BM666:BM668))</f>
        <v>1.4614812979935598E-2</v>
      </c>
      <c r="BP666" s="821">
        <v>0.05</v>
      </c>
      <c r="BQ666" s="690"/>
      <c r="BR666" s="689"/>
      <c r="BS666" s="842" t="str">
        <f t="shared" si="204"/>
        <v/>
      </c>
      <c r="BT666" s="289">
        <f>IF(SUM(BR666:BR668=0),0,SUM(BQ666:BQ668)/SUM(BR666:BR668))</f>
        <v>0</v>
      </c>
      <c r="BU666" s="821">
        <v>0.05</v>
      </c>
      <c r="BW666" s="37"/>
      <c r="BX666" s="642" t="str">
        <f t="shared" si="201"/>
        <v>Jan</v>
      </c>
      <c r="BY666" s="643">
        <f>IF(CB666=$CB675,SUMIF($BI663:$BI674,$BX666,$BR663:$BR674),SUMIF($BI663:$BI674,$BX666,$BM663:$BM674))</f>
        <v>2.5070000000000001</v>
      </c>
      <c r="BZ666" s="821">
        <f>IF(IF(CB666=CB675,SUMIF(BI663:BI674,$BX666,BU663:BU674),SUMIF(BI663:BI674,$BX666,BP663:BP674))=0,NA(),IF(CB666=CB675,SUMIF(BI663:BI674,$BX666,BU663:BU674),SUMIF(BI663:BI674,$BX666,BP663:BP674)))</f>
        <v>0.05</v>
      </c>
      <c r="CA666" s="644">
        <f>IF(IF(CB666=CB675,SUMIF(BI663:BI674,$BX666,BS663:BS674),SUMIF(BI663:BI674,$BX666,BN663:BN674))=0,NA(),IF(CB666=CB675,SUMIF(BI663:BI674,$BX666,BS663:BS674),SUMIF(BI663:BI674,$BX666,BN663:BN674)))</f>
        <v>1.6354208216992423E-2</v>
      </c>
      <c r="CB666" s="645">
        <f t="shared" si="205"/>
        <v>23</v>
      </c>
      <c r="CC666" s="645">
        <f t="shared" si="202"/>
        <v>1</v>
      </c>
    </row>
    <row r="667" spans="61:81" ht="15" customHeight="1">
      <c r="BI667" s="638" t="s">
        <v>325</v>
      </c>
      <c r="BJ667" s="638">
        <v>5</v>
      </c>
      <c r="BK667" s="638" t="s">
        <v>324</v>
      </c>
      <c r="BL667" s="690">
        <v>3.4000000000000002E-2</v>
      </c>
      <c r="BM667" s="690">
        <v>2.61</v>
      </c>
      <c r="BN667" s="653">
        <f t="shared" si="203"/>
        <v>1.3026819923371648E-2</v>
      </c>
      <c r="BO667" s="855"/>
      <c r="BP667" s="821">
        <v>0.05</v>
      </c>
      <c r="BQ667" s="690"/>
      <c r="BR667" s="690"/>
      <c r="BS667" s="842" t="str">
        <f t="shared" si="204"/>
        <v/>
      </c>
      <c r="BT667" s="855"/>
      <c r="BU667" s="821">
        <v>0.05</v>
      </c>
      <c r="BW667" s="37"/>
      <c r="BX667" s="642" t="str">
        <f t="shared" si="201"/>
        <v>Feb</v>
      </c>
      <c r="BY667" s="643">
        <f>IF(CB667=$CB675,SUMIF($BI663:$BI674,$BX667,$BR663:$BR674),SUMIF($BI663:$BI674,$BX667,$BM663:$BM674))</f>
        <v>2.61</v>
      </c>
      <c r="BZ667" s="821">
        <f>IF(IF(CB667=CB675,SUMIF(BI663:BI674,$BX667,BU663:BU674),SUMIF(BI663:BI674,$BX667,BP663:BP674))=0,NA(),IF(CB667=CB675,SUMIF(BI663:BI674,$BX667,BU663:BU674),SUMIF(BI663:BI674,$BX667,BP663:BP674)))</f>
        <v>0.05</v>
      </c>
      <c r="CA667" s="644">
        <f>IF(IF(CB667=CB675,SUMIF(BI663:BI674,$BX667,BS663:BS674),SUMIF(BI663:BI674,$BX667,BN663:BN674))=0,NA(),IF(CB667=CB675,SUMIF(BI663:BI674,$BX667,BS663:BS674),SUMIF(BI663:BI674,$BX667,BN663:BN674)))</f>
        <v>1.3026819923371648E-2</v>
      </c>
      <c r="CB667" s="645">
        <f t="shared" si="205"/>
        <v>23</v>
      </c>
      <c r="CC667" s="645">
        <f t="shared" si="202"/>
        <v>2</v>
      </c>
    </row>
    <row r="668" spans="61:81" ht="15" customHeight="1">
      <c r="BI668" s="638" t="s">
        <v>326</v>
      </c>
      <c r="BJ668" s="638">
        <v>6</v>
      </c>
      <c r="BK668" s="638" t="s">
        <v>324</v>
      </c>
      <c r="BL668" s="690">
        <v>4.2999999999999997E-2</v>
      </c>
      <c r="BM668" s="690">
        <v>2.9569999999999999</v>
      </c>
      <c r="BN668" s="653">
        <f t="shared" si="203"/>
        <v>1.4541765302671626E-2</v>
      </c>
      <c r="BO668" s="855"/>
      <c r="BP668" s="821">
        <v>0.05</v>
      </c>
      <c r="BQ668" s="690"/>
      <c r="BR668" s="690"/>
      <c r="BS668" s="842" t="str">
        <f t="shared" si="204"/>
        <v/>
      </c>
      <c r="BT668" s="855"/>
      <c r="BU668" s="821">
        <v>0.05</v>
      </c>
      <c r="BW668" s="37"/>
      <c r="BX668" s="642" t="str">
        <f t="shared" si="201"/>
        <v>Mar</v>
      </c>
      <c r="BY668" s="643">
        <f>IF(CB668=$CB675,SUMIF($BI663:$BI674,$BX668,$BR663:$BR674),SUMIF($BI663:$BI674,$BX668,$BM663:$BM674))</f>
        <v>2.9569999999999999</v>
      </c>
      <c r="BZ668" s="821">
        <f>IF(IF(CB668=CB675,SUMIF(BI663:BI674,$BX668,BU663:BU674),SUMIF(BI663:BI674,$BX668,BP663:BP674))=0,NA(),IF(CB668=CB675,SUMIF(BI663:BI674,$BX668,BU663:BU674),SUMIF(BI663:BI674,$BX668,BP663:BP674)))</f>
        <v>0.05</v>
      </c>
      <c r="CA668" s="644">
        <f>IF(IF(CB668=CB675,SUMIF(BI663:BI674,$BX668,BS663:BS674),SUMIF(BI663:BI674,$BX668,BN663:BN674))=0,NA(),IF(CB668=CB675,SUMIF(BI663:BI674,$BX668,BS663:BS674),SUMIF(BI663:BI674,$BX668,BN663:BN674)))</f>
        <v>1.4541765302671626E-2</v>
      </c>
      <c r="CB668" s="645">
        <f t="shared" si="205"/>
        <v>23</v>
      </c>
      <c r="CC668" s="645">
        <f t="shared" si="202"/>
        <v>3</v>
      </c>
    </row>
    <row r="669" spans="61:81" ht="15" customHeight="1">
      <c r="BI669" s="638" t="s">
        <v>327</v>
      </c>
      <c r="BJ669" s="638">
        <v>7</v>
      </c>
      <c r="BK669" s="638" t="s">
        <v>328</v>
      </c>
      <c r="BL669" s="690">
        <v>3.5999999999999997E-2</v>
      </c>
      <c r="BM669" s="690">
        <v>2.5059999999999998</v>
      </c>
      <c r="BN669" s="653">
        <f t="shared" si="203"/>
        <v>1.4365522745411015E-2</v>
      </c>
      <c r="BO669" s="289">
        <f>IF(SUM(BM669:BM671=0),0,SUM(BL669:BL671)/SUM(BM669:BM671))</f>
        <v>1.0801186943620178E-2</v>
      </c>
      <c r="BP669" s="821">
        <v>0.05</v>
      </c>
      <c r="BQ669" s="690"/>
      <c r="BR669" s="690"/>
      <c r="BS669" s="842" t="str">
        <f t="shared" si="204"/>
        <v/>
      </c>
      <c r="BT669" s="289">
        <f>IF(SUM(BR669:BR671=0),0,SUM(BQ669:BQ671)/SUM(BR669:BR671))</f>
        <v>0</v>
      </c>
      <c r="BU669" s="821">
        <v>0.05</v>
      </c>
      <c r="BW669" s="37"/>
      <c r="BX669" s="642" t="str">
        <f t="shared" si="201"/>
        <v>Apr</v>
      </c>
      <c r="BY669" s="643">
        <f>IF(CB669=$CB675,SUMIF($BI663:$BI674,$BX669,$BR663:$BR674),SUMIF($BI663:$BI674,$BX669,$BM663:$BM674))</f>
        <v>2.5059999999999998</v>
      </c>
      <c r="BZ669" s="821">
        <f>IF(IF(CB669=CB675,SUMIF(BI663:BI674,$BX669,BU663:BU674),SUMIF(BI663:BI674,$BX669,BP663:BP674))=0,NA(),IF(CB669=CB675,SUMIF(BI663:BI674,$BX669,BU663:BU674),SUMIF(BI663:BI674,$BX669,BP663:BP674)))</f>
        <v>0.05</v>
      </c>
      <c r="CA669" s="644">
        <f>IF(IF(CB669=CB675,SUMIF(BI663:BI674,$BX669,BS663:BS674),SUMIF(BI663:BI674,$BX669,BN663:BN674))=0,NA(),IF(CB669=CB675,SUMIF(BI663:BI674,$BX669,BS663:BS674),SUMIF(BI663:BI674,$BX669,BN663:BN674)))</f>
        <v>1.4365522745411015E-2</v>
      </c>
      <c r="CB669" s="645">
        <f t="shared" si="205"/>
        <v>23</v>
      </c>
      <c r="CC669" s="645">
        <f t="shared" si="202"/>
        <v>4</v>
      </c>
    </row>
    <row r="670" spans="61:81" ht="15" customHeight="1">
      <c r="BI670" s="638" t="s">
        <v>329</v>
      </c>
      <c r="BJ670" s="638">
        <v>8</v>
      </c>
      <c r="BK670" s="638" t="s">
        <v>328</v>
      </c>
      <c r="BL670" s="690">
        <v>2.3E-2</v>
      </c>
      <c r="BM670" s="690">
        <v>2.5630000000000002</v>
      </c>
      <c r="BN670" s="653">
        <f t="shared" si="203"/>
        <v>8.9738587592664842E-3</v>
      </c>
      <c r="BO670" s="855"/>
      <c r="BP670" s="821">
        <v>0.05</v>
      </c>
      <c r="BQ670" s="690"/>
      <c r="BR670" s="690"/>
      <c r="BS670" s="842" t="str">
        <f t="shared" si="204"/>
        <v/>
      </c>
      <c r="BT670" s="855"/>
      <c r="BU670" s="821">
        <v>0.05</v>
      </c>
      <c r="BW670" s="37"/>
      <c r="BX670" s="642" t="str">
        <f t="shared" si="201"/>
        <v>May</v>
      </c>
      <c r="BY670" s="643">
        <f>IF(CB670=$CB675,SUMIF($BI663:$BI674,$BX670,$BR663:$BR674),SUMIF($BI663:$BI674,$BX670,$BM663:$BM674))</f>
        <v>2.5630000000000002</v>
      </c>
      <c r="BZ670" s="821">
        <f>IF(IF(CB670=CB675,SUMIF(BI663:BI674,$BX670,BU663:BU674),SUMIF(BI663:BI674,$BX670,BP663:BP674))=0,NA(),IF(CB670=CB675,SUMIF(BI663:BI674,$BX670,BU663:BU674),SUMIF(BI663:BI674,$BX670,BP663:BP674)))</f>
        <v>0.05</v>
      </c>
      <c r="CA670" s="644">
        <f>IF(IF(CB670=CB675,SUMIF(BI663:BI674,$BX670,BS663:BS674),SUMIF(BI663:BI674,$BX670,BN663:BN674))=0,NA(),IF(CB670=CB675,SUMIF(BI663:BI674,$BX670,BS663:BS674),SUMIF(BI663:BI674,$BX670,BN663:BN674)))</f>
        <v>8.9738587592664842E-3</v>
      </c>
      <c r="CB670" s="645">
        <f t="shared" si="205"/>
        <v>23</v>
      </c>
      <c r="CC670" s="645">
        <f t="shared" si="202"/>
        <v>5</v>
      </c>
    </row>
    <row r="671" spans="61:81" ht="15" customHeight="1">
      <c r="BI671" s="638" t="s">
        <v>331</v>
      </c>
      <c r="BJ671" s="638">
        <v>9</v>
      </c>
      <c r="BK671" s="638" t="s">
        <v>328</v>
      </c>
      <c r="BL671" s="690">
        <v>3.2000000000000001E-2</v>
      </c>
      <c r="BM671" s="690">
        <v>3.3559999999999999</v>
      </c>
      <c r="BN671" s="653">
        <f t="shared" si="203"/>
        <v>9.5351609058402873E-3</v>
      </c>
      <c r="BO671" s="855"/>
      <c r="BP671" s="821">
        <v>0.05</v>
      </c>
      <c r="BQ671" s="690"/>
      <c r="BR671" s="690"/>
      <c r="BS671" s="842" t="str">
        <f t="shared" si="204"/>
        <v/>
      </c>
      <c r="BT671" s="855"/>
      <c r="BU671" s="821">
        <v>0.05</v>
      </c>
      <c r="BW671" s="37"/>
      <c r="BX671" s="642" t="str">
        <f t="shared" si="201"/>
        <v>Jun</v>
      </c>
      <c r="BY671" s="643">
        <f>IF(CB671=$CB675,SUMIF($BI663:$BI674,$BX671,$BR663:$BR674),SUMIF($BI663:$BI674,$BX671,$BM663:$BM674))</f>
        <v>3.3559999999999999</v>
      </c>
      <c r="BZ671" s="821">
        <f>IF(IF(CB671=CB675,SUMIF(BI663:BI674,$BX671,BU663:BU674),SUMIF(BI663:BI674,$BX671,BP663:BP674))=0,NA(),IF(CB671=CB675,SUMIF(BI663:BI674,$BX671,BU663:BU674),SUMIF(BI663:BI674,$BX671,BP663:BP674)))</f>
        <v>0.05</v>
      </c>
      <c r="CA671" s="644">
        <f>IF(IF(CB671=CB675,SUMIF(BI663:BI674,$BX671,BS663:BS674),SUMIF(BI663:BI674,$BX671,BN663:BN674))=0,NA(),IF(CB671=CB675,SUMIF(BI663:BI674,$BX671,BS663:BS674),SUMIF(BI663:BI674,$BX671,BN663:BN674)))</f>
        <v>9.5351609058402873E-3</v>
      </c>
      <c r="CB671" s="645">
        <f t="shared" si="205"/>
        <v>23</v>
      </c>
      <c r="CC671" s="645">
        <f t="shared" si="202"/>
        <v>6</v>
      </c>
    </row>
    <row r="672" spans="61:81" ht="15" customHeight="1">
      <c r="BI672" s="638" t="s">
        <v>337</v>
      </c>
      <c r="BJ672" s="638">
        <v>10</v>
      </c>
      <c r="BK672" s="638" t="s">
        <v>338</v>
      </c>
      <c r="BL672" s="690">
        <v>2.8000000000000001E-2</v>
      </c>
      <c r="BM672" s="690">
        <v>2.6320000000000001</v>
      </c>
      <c r="BN672" s="653">
        <f t="shared" si="203"/>
        <v>1.0638297872340425E-2</v>
      </c>
      <c r="BO672" s="289">
        <f>IF(SUM(BM672:BM674=0),0,SUM(BL672:BL674)/SUM(BM672:BM674))</f>
        <v>1.2195121951219511E-2</v>
      </c>
      <c r="BP672" s="821">
        <v>0.05</v>
      </c>
      <c r="BQ672" s="690"/>
      <c r="BR672" s="690"/>
      <c r="BS672" s="842" t="str">
        <f t="shared" si="204"/>
        <v/>
      </c>
      <c r="BT672" s="289">
        <f>IF(SUM(BR672:BR674=0),0,SUM(BQ672:BQ674)/SUM(BR672:BR674))</f>
        <v>0</v>
      </c>
      <c r="BU672" s="821">
        <v>0.05</v>
      </c>
      <c r="BW672" s="37"/>
      <c r="BX672" s="642" t="str">
        <f t="shared" si="201"/>
        <v>Jul</v>
      </c>
      <c r="BY672" s="643">
        <f>IF(CB672=$CB675,SUMIF($BI663:$BI674,$BX672,$BR663:$BR674),SUMIF($BI663:$BI674,$BX672,$BM663:$BM674))</f>
        <v>2.6320000000000001</v>
      </c>
      <c r="BZ672" s="821">
        <f>IF(IF(CB672=CB675,SUMIF(BI663:BI674,$BX672,BU663:BU674),SUMIF(BI663:BI674,$BX672,BP663:BP674))=0,NA(),IF(CB672=CB675,SUMIF(BI663:BI674,$BX672,BU663:BU674),SUMIF(BI663:BI674,$BX672,BP663:BP674)))</f>
        <v>0.05</v>
      </c>
      <c r="CA672" s="644">
        <f>IF(IF(CB672=CB675,SUMIF(BI663:BI674,$BX672,BS663:BS674),SUMIF(BI663:BI674,$BX672,BN663:BN674))=0,NA(),IF(CB672=CB675,SUMIF(BI663:BI674,$BX672,BS663:BS674),SUMIF(BI663:BI674,$BX672,BN663:BN674)))</f>
        <v>1.0638297872340425E-2</v>
      </c>
      <c r="CB672" s="645">
        <f t="shared" si="205"/>
        <v>23</v>
      </c>
      <c r="CC672" s="645">
        <f t="shared" si="202"/>
        <v>7</v>
      </c>
    </row>
    <row r="673" spans="61:81" ht="15" customHeight="1">
      <c r="BI673" s="638" t="s">
        <v>343</v>
      </c>
      <c r="BJ673" s="638">
        <v>11</v>
      </c>
      <c r="BK673" s="638" t="s">
        <v>338</v>
      </c>
      <c r="BL673" s="690">
        <v>3.7999999999999999E-2</v>
      </c>
      <c r="BM673" s="690">
        <v>2.5529999999999999</v>
      </c>
      <c r="BN673" s="653">
        <f t="shared" si="203"/>
        <v>1.4884449667058363E-2</v>
      </c>
      <c r="BO673" s="855"/>
      <c r="BP673" s="821">
        <v>0.05</v>
      </c>
      <c r="BQ673" s="690"/>
      <c r="BR673" s="690"/>
      <c r="BS673" s="842" t="str">
        <f t="shared" si="204"/>
        <v/>
      </c>
      <c r="BT673" s="855"/>
      <c r="BU673" s="821">
        <v>0.05</v>
      </c>
      <c r="BW673" s="37"/>
      <c r="BX673" s="642" t="str">
        <f t="shared" si="201"/>
        <v>Aug</v>
      </c>
      <c r="BY673" s="643">
        <f>IF(CB673=$CB675,SUMIF($BI663:$BI674,$BX673,$BR663:$BR674),SUMIF($BI663:$BI674,$BX673,$BM663:$BM674))</f>
        <v>2.5529999999999999</v>
      </c>
      <c r="BZ673" s="821">
        <f>IF(IF(CB673=CB675,SUMIF(BI663:BI674,$BX673,BU663:BU674),SUMIF(BI663:BI674,$BX673,BP663:BP674))=0,NA(),IF(CB673=CB675,SUMIF(BI663:BI674,$BX673,BU663:BU674),SUMIF(BI663:BI674,$BX673,BP663:BP674)))</f>
        <v>0.05</v>
      </c>
      <c r="CA673" s="644">
        <f>IF(IF(CB673=CB675,SUMIF(BI663:BI674,$BX673,BS663:BS674),SUMIF(BI663:BI674,$BX673,BN663:BN674))=0,NA(),IF(CB673=CB675,SUMIF(BI663:BI674,$BX673,BS663:BS674),SUMIF(BI663:BI674,$BX673,BN663:BN674)))</f>
        <v>1.4884449667058363E-2</v>
      </c>
      <c r="CB673" s="645">
        <f t="shared" si="205"/>
        <v>23</v>
      </c>
      <c r="CC673" s="645">
        <f t="shared" si="202"/>
        <v>8</v>
      </c>
    </row>
    <row r="674" spans="61:81" ht="15" customHeight="1">
      <c r="BI674" s="638" t="s">
        <v>344</v>
      </c>
      <c r="BJ674" s="638">
        <v>12</v>
      </c>
      <c r="BK674" s="638" t="s">
        <v>338</v>
      </c>
      <c r="BL674" s="690">
        <v>3.4000000000000002E-2</v>
      </c>
      <c r="BM674" s="690">
        <v>3.0150000000000001</v>
      </c>
      <c r="BN674" s="653">
        <f t="shared" si="203"/>
        <v>1.1276948590381426E-2</v>
      </c>
      <c r="BO674" s="855"/>
      <c r="BP674" s="821">
        <v>0.05</v>
      </c>
      <c r="BQ674" s="690"/>
      <c r="BR674" s="690"/>
      <c r="BS674" s="842" t="str">
        <f t="shared" si="204"/>
        <v/>
      </c>
      <c r="BT674" s="855"/>
      <c r="BU674" s="821">
        <v>0.05</v>
      </c>
      <c r="BW674" s="37"/>
      <c r="BX674" s="642" t="str">
        <f t="shared" si="201"/>
        <v>Sep</v>
      </c>
      <c r="BY674" s="643">
        <f>IF(CB674=$CB675,SUMIF($BI663:$BI674,$BX674,$BR663:$BR674),SUMIF($BI663:$BI674,$BX674,$BM663:$BM674))</f>
        <v>3.0150000000000001</v>
      </c>
      <c r="BZ674" s="821">
        <f>IF(IF(CB674=CB675,SUMIF(BI663:BI674,$BX674,BU663:BU674),SUMIF(BI663:BI674,$BX674,BP663:BP674))=0,NA(),IF(CB674=CB675,SUMIF(BI663:BI674,$BX674,BU663:BU674),SUMIF(BI663:BI674,$BX674,BP663:BP674)))</f>
        <v>0.05</v>
      </c>
      <c r="CA674" s="644">
        <f>IF(IF(CB674=CB675,SUMIF(BI663:BI674,$BX674,BS663:BS674),SUMIF(BI663:BI674,$BX674,BN663:BN674))=0,NA(),IF(CB674=CB675,SUMIF(BI663:BI674,$BX674,BS663:BS674),SUMIF(BI663:BI674,$BX674,BN663:BN674)))</f>
        <v>1.1276948590381426E-2</v>
      </c>
      <c r="CB674" s="645">
        <f t="shared" si="205"/>
        <v>23</v>
      </c>
      <c r="CC674" s="645">
        <f>IF(CC675-1&lt;1,CC675+11,CC675-1)</f>
        <v>9</v>
      </c>
    </row>
    <row r="675" spans="61:81" ht="15" customHeight="1">
      <c r="BI675" s="37"/>
      <c r="BJ675" s="37"/>
      <c r="BK675" s="37"/>
      <c r="BL675" s="37"/>
      <c r="BM675" s="37"/>
      <c r="BN675" s="37"/>
      <c r="BO675" s="37"/>
      <c r="BP675" s="37"/>
      <c r="BQ675" s="37"/>
      <c r="BR675" s="37"/>
      <c r="BS675" s="37"/>
      <c r="BT675" s="37"/>
      <c r="BU675" s="37"/>
      <c r="BW675" s="647" t="str">
        <f>Cover!$M$34</f>
        <v>OCT FY-24</v>
      </c>
      <c r="BX675" s="642" t="str">
        <f>TEXT(CONCATENATE(CC675,"/01/20",CB675),"MMM")</f>
        <v>Oct</v>
      </c>
      <c r="BY675" s="643">
        <f>SUMIF($BI663:$BI674,$BX675,$BR663:$BR674)</f>
        <v>2.512</v>
      </c>
      <c r="BZ675" s="821">
        <f>IF(IF(CB675=CB675,SUMIF(BI663:BI674,$BX675,BU663:BU674),SUMIF(BI663:BI674,$BX675,BP663:BP674))=0,NA(),IF(CB675=CB675,SUMIF(BI663:BI674,$BX675,BU663:BU674),SUMIF(BI663:BI674,$BX675,BP663:BP674)))</f>
        <v>0.05</v>
      </c>
      <c r="CA675" s="644">
        <f>IF(SUMIF($BI663:$BI674,$BX675,$BS663:$BS674)=0,NA(),SUMIF($BI663:$BI674,$BX675,$BS663:$BS674))</f>
        <v>1.6719745222929936E-2</v>
      </c>
      <c r="CB675" s="645">
        <f t="shared" si="205"/>
        <v>24</v>
      </c>
      <c r="CC675" s="645">
        <f>MONTH(DATEVALUE(LEFT(BW675,3)&amp;" 1"))</f>
        <v>10</v>
      </c>
    </row>
    <row r="676" spans="61:81" ht="15" customHeight="1">
      <c r="BJ676" s="37"/>
      <c r="BK676" s="37"/>
      <c r="BL676" s="37"/>
      <c r="BM676" s="37"/>
      <c r="BN676" s="37"/>
      <c r="BO676" s="37"/>
      <c r="BP676" s="37"/>
      <c r="BQ676" s="37"/>
      <c r="BR676" s="37"/>
      <c r="BS676" s="37"/>
      <c r="BT676" s="37"/>
      <c r="BU676" s="37"/>
      <c r="BW676" s="37"/>
      <c r="BX676" s="37"/>
      <c r="BY676" s="37"/>
      <c r="BZ676" s="37"/>
      <c r="CA676" s="37"/>
      <c r="CB676" s="37"/>
      <c r="CC676" s="37"/>
    </row>
    <row r="677" spans="61:81" ht="15" customHeight="1">
      <c r="BI677" s="54" t="s">
        <v>292</v>
      </c>
      <c r="BJ677" s="287" t="s">
        <v>157</v>
      </c>
      <c r="BK677" s="287"/>
      <c r="BL677" s="287"/>
      <c r="BM677" s="287"/>
      <c r="BN677" s="287"/>
      <c r="BO677" s="287"/>
      <c r="BP677" s="287"/>
      <c r="BQ677" s="287"/>
      <c r="BR677" s="287"/>
      <c r="BS677" s="287"/>
      <c r="BT677" s="287"/>
      <c r="BU677" s="287"/>
      <c r="BW677" s="37"/>
      <c r="BX677" s="37"/>
      <c r="BY677" s="37"/>
      <c r="BZ677" s="37"/>
      <c r="CA677" s="37"/>
      <c r="CB677" s="37"/>
      <c r="CC677" s="37"/>
    </row>
    <row r="678" spans="61:81" ht="15" customHeight="1">
      <c r="BI678" s="54" t="s">
        <v>296</v>
      </c>
      <c r="BJ678" s="283" t="s">
        <v>156</v>
      </c>
      <c r="BK678" s="283"/>
      <c r="BL678" s="283"/>
      <c r="BM678" s="283"/>
      <c r="BN678" s="283"/>
      <c r="BO678" s="283"/>
      <c r="BP678" s="283"/>
      <c r="BQ678" s="283"/>
      <c r="BR678" s="283"/>
      <c r="BS678" s="283"/>
      <c r="BT678" s="283"/>
      <c r="BU678" s="283"/>
      <c r="BW678" s="37"/>
      <c r="BX678" s="37"/>
      <c r="BY678" s="37"/>
      <c r="BZ678" s="37"/>
      <c r="CA678" s="37"/>
      <c r="CB678" s="37"/>
      <c r="CC678" s="37"/>
    </row>
    <row r="679" spans="61:81" ht="15" customHeight="1" thickBot="1">
      <c r="BI679" s="54" t="s">
        <v>300</v>
      </c>
      <c r="BJ679" s="283" t="s">
        <v>472</v>
      </c>
      <c r="BK679" s="283"/>
      <c r="BL679" s="283"/>
      <c r="BM679" s="283"/>
      <c r="BN679" s="283"/>
      <c r="BO679" s="283"/>
      <c r="BP679" s="283"/>
      <c r="BQ679" s="283"/>
      <c r="BR679" s="283"/>
      <c r="BS679" s="283"/>
      <c r="BT679" s="283"/>
      <c r="BU679" s="283"/>
      <c r="BW679" s="37"/>
      <c r="BX679" s="37"/>
      <c r="BY679" s="37"/>
      <c r="BZ679" s="37"/>
      <c r="CA679" s="37"/>
      <c r="CB679" s="37"/>
      <c r="CC679" s="37"/>
    </row>
    <row r="680" spans="61:81" ht="15" customHeight="1" thickBot="1">
      <c r="BI680" s="1443" t="s">
        <v>457</v>
      </c>
      <c r="BJ680" s="1444"/>
      <c r="BK680" s="1445"/>
      <c r="BL680" s="1443" t="s">
        <v>302</v>
      </c>
      <c r="BM680" s="1444"/>
      <c r="BN680" s="1444"/>
      <c r="BO680" s="1444"/>
      <c r="BP680" s="1445"/>
      <c r="BQ680" s="1443" t="s">
        <v>719</v>
      </c>
      <c r="BR680" s="1444"/>
      <c r="BS680" s="1444"/>
      <c r="BT680" s="1444"/>
      <c r="BU680" s="1445"/>
      <c r="BW680" s="1443" t="s">
        <v>303</v>
      </c>
      <c r="BX680" s="1444"/>
      <c r="BY680" s="1444"/>
      <c r="BZ680" s="1444"/>
      <c r="CA680" s="1444"/>
      <c r="CB680" s="1444"/>
      <c r="CC680" s="1445"/>
    </row>
    <row r="681" spans="61:81" ht="15" customHeight="1">
      <c r="BI681" s="636" t="s">
        <v>23</v>
      </c>
      <c r="BJ681" s="636" t="s">
        <v>37</v>
      </c>
      <c r="BK681" s="636" t="s">
        <v>304</v>
      </c>
      <c r="BL681" s="637" t="s">
        <v>305</v>
      </c>
      <c r="BM681" s="637" t="s">
        <v>310</v>
      </c>
      <c r="BN681" s="637" t="s">
        <v>311</v>
      </c>
      <c r="BO681" s="278" t="s">
        <v>312</v>
      </c>
      <c r="BP681" s="637" t="s">
        <v>313</v>
      </c>
      <c r="BQ681" s="637" t="s">
        <v>305</v>
      </c>
      <c r="BR681" s="637" t="s">
        <v>715</v>
      </c>
      <c r="BS681" s="637" t="s">
        <v>716</v>
      </c>
      <c r="BT681" s="278" t="s">
        <v>717</v>
      </c>
      <c r="BU681" s="637" t="s">
        <v>718</v>
      </c>
      <c r="BW681" s="279" t="s">
        <v>314</v>
      </c>
      <c r="BX681" s="279" t="s">
        <v>23</v>
      </c>
      <c r="BY681" s="280" t="s">
        <v>315</v>
      </c>
      <c r="BZ681" s="279" t="s">
        <v>122</v>
      </c>
      <c r="CA681" s="279" t="s">
        <v>316</v>
      </c>
      <c r="CB681" s="279" t="s">
        <v>317</v>
      </c>
      <c r="CC681" s="279" t="s">
        <v>318</v>
      </c>
    </row>
    <row r="682" spans="61:81" ht="15" customHeight="1">
      <c r="BI682" s="638" t="s">
        <v>319</v>
      </c>
      <c r="BJ682" s="638">
        <v>1</v>
      </c>
      <c r="BK682" s="638" t="s">
        <v>320</v>
      </c>
      <c r="BL682" s="690">
        <v>2.0609999999999999</v>
      </c>
      <c r="BM682" s="869">
        <f>IF(BM644="","",BM644)</f>
        <v>2.214</v>
      </c>
      <c r="BN682" s="653">
        <f>IF(BM682="","",BL682/BM682)</f>
        <v>0.93089430894308944</v>
      </c>
      <c r="BO682" s="289">
        <f>IF(SUM(BM682:BM684=0),0,SUM(BL682:BL684)/SUM(BM682:BM684))</f>
        <v>0.94357280484448114</v>
      </c>
      <c r="BP682" s="819">
        <v>0.8</v>
      </c>
      <c r="BQ682" s="690">
        <v>2.411</v>
      </c>
      <c r="BR682" s="869">
        <f>IF(BR644="","",BR644)</f>
        <v>2.456</v>
      </c>
      <c r="BS682" s="842">
        <f>IF(BR682="","",BQ682/BR682)</f>
        <v>0.98167752442996747</v>
      </c>
      <c r="BT682" s="289">
        <f>IF(SUM(BR682:BR684=""),0,SUM(BQ682:BQ684)/SUM(BR682:BR684))</f>
        <v>0.98167752442996747</v>
      </c>
      <c r="BU682" s="821">
        <v>0.8</v>
      </c>
      <c r="BW682" s="37"/>
      <c r="BX682" s="642" t="str">
        <f t="shared" ref="BX682:BX693" si="206">TEXT(CONCATENATE(CC682,"/01/20",CB682),"MMM")</f>
        <v>Oct</v>
      </c>
      <c r="BY682" s="643">
        <f>IF(CB682=$CB694,SUMIF($BI682:$BI693,$BX682,$BR682:$BR693),SUMIF($BI682:$BI693,$BX682,$BM682:$BM693))</f>
        <v>2.214</v>
      </c>
      <c r="BZ682" s="821">
        <f>IF(IF(CB682=CB694,SUMIF(BI682:BI693,$BX682,BU682:BU693),SUMIF(BI682:BI693,$BX682,BP682:BP693))=0,NA(),IF(CB682=CB694,SUMIF(BI682:BI693,$BX682,BU682:BU693),SUMIF(BI682:BI693,$BX682,BP682:BP693)))</f>
        <v>0.8</v>
      </c>
      <c r="CA682" s="644">
        <f>IF(IF(CB682=CB694,SUMIF(BI682:BI693,$BX682,BS682:BS693),SUMIF(BI682:BI693,$BX682,BN682:BN693))=0,NA(),IF(CB682=CB694,SUMIF(BI682:BI693,$BX682,BS682:BS693),SUMIF(BI682:BI693,$BX682,BN682:BN693)))</f>
        <v>0.93089430894308944</v>
      </c>
      <c r="CB682" s="645">
        <f>CB663</f>
        <v>23</v>
      </c>
      <c r="CC682" s="645">
        <f t="shared" ref="CC682:CC692" si="207">IF(CC683-1&lt;1,CC683+11,CC683-1)</f>
        <v>10</v>
      </c>
    </row>
    <row r="683" spans="61:81" ht="15" customHeight="1">
      <c r="BI683" s="638" t="s">
        <v>321</v>
      </c>
      <c r="BJ683" s="638">
        <v>2</v>
      </c>
      <c r="BK683" s="638" t="s">
        <v>320</v>
      </c>
      <c r="BL683" s="690">
        <v>2.004</v>
      </c>
      <c r="BM683" s="869">
        <f t="shared" ref="BM683:BM693" si="208">IF(BM645="","",BM645)</f>
        <v>2.13</v>
      </c>
      <c r="BN683" s="653">
        <f t="shared" ref="BN683:BN693" si="209">IF(BM683="","",BL683/BM683)</f>
        <v>0.94084507042253529</v>
      </c>
      <c r="BO683" s="855"/>
      <c r="BP683" s="819">
        <v>0.8</v>
      </c>
      <c r="BQ683" s="690"/>
      <c r="BR683" s="869" t="str">
        <f t="shared" ref="BR683:BR692" si="210">IF(BR645="","",BR645)</f>
        <v/>
      </c>
      <c r="BS683" s="842" t="str">
        <f t="shared" ref="BS683:BS693" si="211">IF(BR683="","",BQ683/BR683)</f>
        <v/>
      </c>
      <c r="BT683" s="855"/>
      <c r="BU683" s="821">
        <v>0.8</v>
      </c>
      <c r="BW683" s="37"/>
      <c r="BX683" s="642" t="str">
        <f t="shared" si="206"/>
        <v>Nov</v>
      </c>
      <c r="BY683" s="643">
        <f>IF(CB683=$CB694,SUMIF($BI682:$BI693,$BX683,$BR682:$BR693),SUMIF($BI682:$BI693,$BX683,$BM682:$BM693))</f>
        <v>2.13</v>
      </c>
      <c r="BZ683" s="821">
        <f>IF(IF(CB683=CB694,SUMIF(BI682:BI693,$BX683,BU682:BU693),SUMIF(BI682:BI693,$BX683,BP682:BP693))=0,NA(),IF(CB683=CB694,SUMIF(BI682:BI693,$BX683,BU682:BU693),SUMIF(BI682:BI693,$BX683,BP682:BP693)))</f>
        <v>0.8</v>
      </c>
      <c r="CA683" s="644">
        <f>IF(IF(CB683=CB694,SUMIF(BI682:BI693,$BX683,BS682:BS693),SUMIF(BI682:BI693,$BX683,BN682:BN693))=0,NA(),IF(CB683=CB694,SUMIF(BI682:BI693,$BX683,BS682:BS693),SUMIF(BI682:BI693,$BX683,BN682:BN693)))</f>
        <v>0.94084507042253529</v>
      </c>
      <c r="CB683" s="645">
        <f t="shared" ref="CB683:CB694" si="212">CB664</f>
        <v>23</v>
      </c>
      <c r="CC683" s="645">
        <f t="shared" si="207"/>
        <v>11</v>
      </c>
    </row>
    <row r="684" spans="61:81" ht="15" customHeight="1">
      <c r="BI684" s="638" t="s">
        <v>322</v>
      </c>
      <c r="BJ684" s="638">
        <v>3</v>
      </c>
      <c r="BK684" s="638" t="s">
        <v>320</v>
      </c>
      <c r="BL684" s="690">
        <v>2.7909999999999999</v>
      </c>
      <c r="BM684" s="869">
        <f t="shared" si="208"/>
        <v>2.9220000000000002</v>
      </c>
      <c r="BN684" s="653">
        <f t="shared" si="209"/>
        <v>0.95516769336071172</v>
      </c>
      <c r="BO684" s="855"/>
      <c r="BP684" s="819">
        <v>0.8</v>
      </c>
      <c r="BQ684" s="690"/>
      <c r="BR684" s="869" t="str">
        <f t="shared" si="210"/>
        <v/>
      </c>
      <c r="BS684" s="842" t="str">
        <f t="shared" si="211"/>
        <v/>
      </c>
      <c r="BT684" s="855"/>
      <c r="BU684" s="821">
        <v>0.8</v>
      </c>
      <c r="BW684" s="37"/>
      <c r="BX684" s="642" t="str">
        <f t="shared" si="206"/>
        <v>Dec</v>
      </c>
      <c r="BY684" s="643">
        <f>IF(CB684=$CB694,SUMIF($BI682:$BI693,$BX684,$BR682:$BR693),SUMIF($BI682:$BI693,$BX684,$BM682:$BM693))</f>
        <v>2.9220000000000002</v>
      </c>
      <c r="BZ684" s="821">
        <f>IF(IF(CB684=CB694,SUMIF(BI682:BI693,$BX684,BU682:BU693),SUMIF(BI682:BI693,$BX684,BP682:BP693))=0,NA(),IF(CB684=CB694,SUMIF(BI682:BI693,$BX684,BU682:BU693),SUMIF(BI682:BI693,$BX684,BP682:BP693)))</f>
        <v>0.8</v>
      </c>
      <c r="CA684" s="644">
        <f>IF(IF(CB684=CB694,SUMIF(BI682:BI693,$BX684,BS682:BS693),SUMIF(BI682:BI693,$BX684,BN682:BN693))=0,NA(),IF(CB684=CB694,SUMIF(BI682:BI693,$BX684,BS682:BS693),SUMIF(BI682:BI693,$BX684,BN682:BN693)))</f>
        <v>0.95516769336071172</v>
      </c>
      <c r="CB684" s="645">
        <f t="shared" si="212"/>
        <v>23</v>
      </c>
      <c r="CC684" s="645">
        <f t="shared" si="207"/>
        <v>12</v>
      </c>
    </row>
    <row r="685" spans="61:81" ht="15" customHeight="1">
      <c r="BI685" s="638" t="s">
        <v>323</v>
      </c>
      <c r="BJ685" s="638">
        <v>4</v>
      </c>
      <c r="BK685" s="638" t="s">
        <v>324</v>
      </c>
      <c r="BL685" s="690">
        <v>2.367</v>
      </c>
      <c r="BM685" s="869">
        <f t="shared" si="208"/>
        <v>2.44</v>
      </c>
      <c r="BN685" s="653">
        <f t="shared" si="209"/>
        <v>0.97008196721311479</v>
      </c>
      <c r="BO685" s="289">
        <f>IF(SUM(BM685:BM687=0),0,SUM(BL685:BL687)/SUM(BM685:BM687))</f>
        <v>0.97025692950259468</v>
      </c>
      <c r="BP685" s="819">
        <v>0.8</v>
      </c>
      <c r="BQ685" s="690"/>
      <c r="BR685" s="869" t="str">
        <f t="shared" si="210"/>
        <v/>
      </c>
      <c r="BS685" s="842" t="str">
        <f t="shared" si="211"/>
        <v/>
      </c>
      <c r="BT685" s="289">
        <f>IF(SUM(BR685:BR687=""),0,SUM(BQ685:BQ687)/SUM(BR685:BR687))</f>
        <v>0</v>
      </c>
      <c r="BU685" s="821">
        <v>0.8</v>
      </c>
      <c r="BW685" s="37"/>
      <c r="BX685" s="642" t="str">
        <f t="shared" si="206"/>
        <v>Jan</v>
      </c>
      <c r="BY685" s="643">
        <f>IF(CB685=$CB694,SUMIF($BI682:$BI693,$BX685,$BR682:$BR693),SUMIF($BI682:$BI693,$BX685,$BM682:$BM693))</f>
        <v>2.44</v>
      </c>
      <c r="BZ685" s="821">
        <f>IF(IF(CB685=CB694,SUMIF(BI682:BI693,$BX685,BU682:BU693),SUMIF(BI682:BI693,$BX685,BP682:BP693))=0,NA(),IF(CB685=CB694,SUMIF(BI682:BI693,$BX685,BU682:BU693),SUMIF(BI682:BI693,$BX685,BP682:BP693)))</f>
        <v>0.8</v>
      </c>
      <c r="CA685" s="644">
        <f>IF(IF(CB685=CB694,SUMIF(BI682:BI693,$BX685,BS682:BS693),SUMIF(BI682:BI693,$BX685,BN682:BN693))=0,NA(),IF(CB685=CB694,SUMIF(BI682:BI693,$BX685,BS682:BS693),SUMIF(BI682:BI693,$BX685,BN682:BN693)))</f>
        <v>0.97008196721311479</v>
      </c>
      <c r="CB685" s="645">
        <f t="shared" si="212"/>
        <v>23</v>
      </c>
      <c r="CC685" s="645">
        <f t="shared" si="207"/>
        <v>1</v>
      </c>
    </row>
    <row r="686" spans="61:81" ht="15" customHeight="1">
      <c r="BI686" s="638" t="s">
        <v>325</v>
      </c>
      <c r="BJ686" s="638">
        <v>5</v>
      </c>
      <c r="BK686" s="638" t="s">
        <v>324</v>
      </c>
      <c r="BL686" s="690">
        <v>2.4649999999999999</v>
      </c>
      <c r="BM686" s="869">
        <f>IF(BM648="","",BM648)</f>
        <v>2.5550000000000002</v>
      </c>
      <c r="BN686" s="653">
        <f t="shared" si="209"/>
        <v>0.96477495107632083</v>
      </c>
      <c r="BO686" s="855"/>
      <c r="BP686" s="819">
        <v>0.8</v>
      </c>
      <c r="BQ686" s="690"/>
      <c r="BR686" s="869" t="str">
        <f t="shared" si="210"/>
        <v/>
      </c>
      <c r="BS686" s="842" t="str">
        <f t="shared" si="211"/>
        <v/>
      </c>
      <c r="BT686" s="855"/>
      <c r="BU686" s="821">
        <v>0.8</v>
      </c>
      <c r="BW686" s="37"/>
      <c r="BX686" s="642" t="str">
        <f t="shared" si="206"/>
        <v>Feb</v>
      </c>
      <c r="BY686" s="643">
        <f>IF(CB686=$CB694,SUMIF($BI682:$BI693,$BX686,$BR682:$BR693),SUMIF($BI682:$BI693,$BX686,$BM682:$BM693))</f>
        <v>2.5550000000000002</v>
      </c>
      <c r="BZ686" s="821">
        <f>IF(IF(CB686=CB694,SUMIF(BI682:BI693,$BX686,BU682:BU693),SUMIF(BI682:BI693,$BX686,BP682:BP693))=0,NA(),IF(CB686=CB694,SUMIF(BI682:BI693,$BX686,BU682:BU693),SUMIF(BI682:BI693,$BX686,BP682:BP693)))</f>
        <v>0.8</v>
      </c>
      <c r="CA686" s="644">
        <f>IF(IF(CB686=CB694,SUMIF(BI682:BI693,$BX686,BS682:BS693),SUMIF(BI682:BI693,$BX686,BN682:BN693))=0,NA(),IF(CB686=CB694,SUMIF(BI682:BI693,$BX686,BS682:BS693),SUMIF(BI682:BI693,$BX686,BN682:BN693)))</f>
        <v>0.96477495107632083</v>
      </c>
      <c r="CB686" s="645">
        <f t="shared" si="212"/>
        <v>23</v>
      </c>
      <c r="CC686" s="645">
        <f t="shared" si="207"/>
        <v>2</v>
      </c>
    </row>
    <row r="687" spans="61:81" ht="15" customHeight="1">
      <c r="BI687" s="638" t="s">
        <v>326</v>
      </c>
      <c r="BJ687" s="638">
        <v>6</v>
      </c>
      <c r="BK687" s="638" t="s">
        <v>324</v>
      </c>
      <c r="BL687" s="690">
        <v>2.8340000000000001</v>
      </c>
      <c r="BM687" s="869">
        <f t="shared" si="208"/>
        <v>2.9060000000000001</v>
      </c>
      <c r="BN687" s="653">
        <f t="shared" si="209"/>
        <v>0.97522367515485198</v>
      </c>
      <c r="BO687" s="855"/>
      <c r="BP687" s="819">
        <v>0.8</v>
      </c>
      <c r="BQ687" s="690"/>
      <c r="BR687" s="869" t="str">
        <f t="shared" si="210"/>
        <v/>
      </c>
      <c r="BS687" s="842" t="str">
        <f t="shared" si="211"/>
        <v/>
      </c>
      <c r="BT687" s="855"/>
      <c r="BU687" s="821">
        <v>0.8</v>
      </c>
      <c r="BW687" s="37"/>
      <c r="BX687" s="642" t="str">
        <f t="shared" si="206"/>
        <v>Mar</v>
      </c>
      <c r="BY687" s="643">
        <f>IF(CB687=$CB694,SUMIF($BI682:$BI693,$BX687,$BR682:$BR693),SUMIF($BI682:$BI693,$BX687,$BM682:$BM693))</f>
        <v>2.9060000000000001</v>
      </c>
      <c r="BZ687" s="821">
        <f>IF(IF(CB687=CB694,SUMIF(BI682:BI693,$BX687,BU682:BU693),SUMIF(BI682:BI693,$BX687,BP682:BP693))=0,NA(),IF(CB687=CB694,SUMIF(BI682:BI693,$BX687,BU682:BU693),SUMIF(BI682:BI693,$BX687,BP682:BP693)))</f>
        <v>0.8</v>
      </c>
      <c r="CA687" s="644">
        <f>IF(IF(CB687=CB694,SUMIF(BI682:BI693,$BX687,BS682:BS693),SUMIF(BI682:BI693,$BX687,BN682:BN693))=0,NA(),IF(CB687=CB694,SUMIF(BI682:BI693,$BX687,BS682:BS693),SUMIF(BI682:BI693,$BX687,BN682:BN693)))</f>
        <v>0.97522367515485198</v>
      </c>
      <c r="CB687" s="645">
        <f t="shared" si="212"/>
        <v>23</v>
      </c>
      <c r="CC687" s="645">
        <f t="shared" si="207"/>
        <v>3</v>
      </c>
    </row>
    <row r="688" spans="61:81" ht="15" customHeight="1">
      <c r="BI688" s="638" t="s">
        <v>327</v>
      </c>
      <c r="BJ688" s="638">
        <v>7</v>
      </c>
      <c r="BK688" s="638" t="s">
        <v>328</v>
      </c>
      <c r="BL688" s="690">
        <v>2.4140000000000001</v>
      </c>
      <c r="BM688" s="869">
        <f t="shared" si="208"/>
        <v>2.4620000000000002</v>
      </c>
      <c r="BN688" s="653">
        <f t="shared" si="209"/>
        <v>0.98050365556458163</v>
      </c>
      <c r="BO688" s="289">
        <f>IF(SUM(BM688:BM690=0),0,SUM(BL688:BL690)/SUM(BM688:BM690))</f>
        <v>0.98448213641284765</v>
      </c>
      <c r="BP688" s="819">
        <v>0.8</v>
      </c>
      <c r="BQ688" s="690"/>
      <c r="BR688" s="869" t="str">
        <f t="shared" si="210"/>
        <v/>
      </c>
      <c r="BS688" s="842" t="str">
        <f t="shared" si="211"/>
        <v/>
      </c>
      <c r="BT688" s="289">
        <f>IF(SUM(BR688:BR690=""),0,SUM(BQ688:BQ690)/SUM(BR688:BR690))</f>
        <v>0</v>
      </c>
      <c r="BU688" s="821">
        <v>0.8</v>
      </c>
      <c r="BW688" s="37"/>
      <c r="BX688" s="642" t="str">
        <f t="shared" si="206"/>
        <v>Apr</v>
      </c>
      <c r="BY688" s="643">
        <f>IF(CB688=$CB694,SUMIF($BI682:$BI693,$BX688,$BR682:$BR693),SUMIF($BI682:$BI693,$BX688,$BM682:$BM693))</f>
        <v>2.4620000000000002</v>
      </c>
      <c r="BZ688" s="821">
        <f>IF(IF(CB688=CB694,SUMIF(BI682:BI693,$BX688,BU682:BU693),SUMIF(BI682:BI693,$BX688,BP682:BP693))=0,NA(),IF(CB688=CB694,SUMIF(BI682:BI693,$BX688,BU682:BU693),SUMIF(BI682:BI693,$BX688,BP682:BP693)))</f>
        <v>0.8</v>
      </c>
      <c r="CA688" s="644">
        <f>IF(IF(CB688=CB694,SUMIF(BI682:BI693,$BX688,BS682:BS693),SUMIF(BI682:BI693,$BX688,BN682:BN693))=0,NA(),IF(CB688=CB694,SUMIF(BI682:BI693,$BX688,BS682:BS693),SUMIF(BI682:BI693,$BX688,BN682:BN693)))</f>
        <v>0.98050365556458163</v>
      </c>
      <c r="CB688" s="645">
        <f t="shared" si="212"/>
        <v>23</v>
      </c>
      <c r="CC688" s="645">
        <f t="shared" si="207"/>
        <v>4</v>
      </c>
    </row>
    <row r="689" spans="61:81" ht="15" customHeight="1">
      <c r="BI689" s="638" t="s">
        <v>329</v>
      </c>
      <c r="BJ689" s="638">
        <v>8</v>
      </c>
      <c r="BK689" s="638" t="s">
        <v>328</v>
      </c>
      <c r="BL689" s="690">
        <v>2.4990000000000001</v>
      </c>
      <c r="BM689" s="869">
        <f t="shared" si="208"/>
        <v>2.532</v>
      </c>
      <c r="BN689" s="653">
        <f t="shared" si="209"/>
        <v>0.98696682464454977</v>
      </c>
      <c r="BO689" s="855"/>
      <c r="BP689" s="819">
        <v>0.8</v>
      </c>
      <c r="BQ689" s="690"/>
      <c r="BR689" s="869" t="str">
        <f>IF(BR651="","",BR651)</f>
        <v/>
      </c>
      <c r="BS689" s="842" t="str">
        <f t="shared" si="211"/>
        <v/>
      </c>
      <c r="BT689" s="855"/>
      <c r="BU689" s="821">
        <v>0.8</v>
      </c>
      <c r="BW689" s="37"/>
      <c r="BX689" s="642" t="str">
        <f t="shared" si="206"/>
        <v>May</v>
      </c>
      <c r="BY689" s="643">
        <f>IF(CB689=$CB694,SUMIF($BI682:$BI693,$BX689,$BR682:$BR693),SUMIF($BI682:$BI693,$BX689,$BM682:$BM693))</f>
        <v>2.532</v>
      </c>
      <c r="BZ689" s="821">
        <f>IF(IF(CB689=CB694,SUMIF(BI682:BI693,$BX689,BU682:BU693),SUMIF(BI682:BI693,$BX689,BP682:BP693))=0,NA(),IF(CB689=CB694,SUMIF(BI682:BI693,$BX689,BU682:BU693),SUMIF(BI682:BI693,$BX689,BP682:BP693)))</f>
        <v>0.8</v>
      </c>
      <c r="CA689" s="644">
        <f>IF(IF(CB689=CB694,SUMIF(BI682:BI693,$BX689,BS682:BS693),SUMIF(BI682:BI693,$BX689,BN682:BN693))=0,NA(),IF(CB689=CB694,SUMIF(BI682:BI693,$BX689,BS682:BS693),SUMIF(BI682:BI693,$BX689,BN682:BN693)))</f>
        <v>0.98696682464454977</v>
      </c>
      <c r="CB689" s="645">
        <f t="shared" si="212"/>
        <v>23</v>
      </c>
      <c r="CC689" s="645">
        <f t="shared" si="207"/>
        <v>5</v>
      </c>
    </row>
    <row r="690" spans="61:81" ht="15" customHeight="1">
      <c r="BI690" s="638" t="s">
        <v>331</v>
      </c>
      <c r="BJ690" s="638">
        <v>9</v>
      </c>
      <c r="BK690" s="638" t="s">
        <v>328</v>
      </c>
      <c r="BL690" s="690">
        <v>3.2709999999999999</v>
      </c>
      <c r="BM690" s="869">
        <f t="shared" si="208"/>
        <v>3.319</v>
      </c>
      <c r="BN690" s="653">
        <f t="shared" si="209"/>
        <v>0.98553781259415485</v>
      </c>
      <c r="BO690" s="855"/>
      <c r="BP690" s="819">
        <v>0.8</v>
      </c>
      <c r="BQ690" s="690"/>
      <c r="BR690" s="869" t="str">
        <f t="shared" si="210"/>
        <v/>
      </c>
      <c r="BS690" s="842" t="str">
        <f t="shared" si="211"/>
        <v/>
      </c>
      <c r="BT690" s="855"/>
      <c r="BU690" s="821">
        <v>0.8</v>
      </c>
      <c r="BW690" s="37"/>
      <c r="BX690" s="642" t="str">
        <f t="shared" si="206"/>
        <v>Jun</v>
      </c>
      <c r="BY690" s="643">
        <f>IF(CB690=$CB694,SUMIF($BI682:$BI693,$BX690,$BR682:$BR693),SUMIF($BI682:$BI693,$BX690,$BM682:$BM693))</f>
        <v>3.319</v>
      </c>
      <c r="BZ690" s="821">
        <f>IF(IF(CB690=CB694,SUMIF(BI682:BI693,$BX690,BU682:BU693),SUMIF(BI682:BI693,$BX690,BP682:BP693))=0,NA(),IF(CB690=CB694,SUMIF(BI682:BI693,$BX690,BU682:BU693),SUMIF(BI682:BI693,$BX690,BP682:BP693)))</f>
        <v>0.8</v>
      </c>
      <c r="CA690" s="644">
        <f>IF(IF(CB690=CB694,SUMIF(BI682:BI693,$BX690,BS682:BS693),SUMIF(BI682:BI693,$BX690,BN682:BN693))=0,NA(),IF(CB690=CB694,SUMIF(BI682:BI693,$BX690,BS682:BS693),SUMIF(BI682:BI693,$BX690,BN682:BN693)))</f>
        <v>0.98553781259415485</v>
      </c>
      <c r="CB690" s="645">
        <f t="shared" si="212"/>
        <v>23</v>
      </c>
      <c r="CC690" s="645">
        <f t="shared" si="207"/>
        <v>6</v>
      </c>
    </row>
    <row r="691" spans="61:81" ht="15" customHeight="1">
      <c r="BI691" s="638" t="s">
        <v>337</v>
      </c>
      <c r="BJ691" s="638">
        <v>10</v>
      </c>
      <c r="BK691" s="638" t="s">
        <v>338</v>
      </c>
      <c r="BL691" s="690">
        <v>2.5499999999999998</v>
      </c>
      <c r="BM691" s="869">
        <f t="shared" si="208"/>
        <v>2.597</v>
      </c>
      <c r="BN691" s="653">
        <f t="shared" si="209"/>
        <v>0.98190219484020014</v>
      </c>
      <c r="BO691" s="289">
        <f>IF(SUM(BM691:BM693=0),0,SUM(BL691:BL693)/SUM(BM691:BM693))</f>
        <v>0.98318080633193183</v>
      </c>
      <c r="BP691" s="819">
        <v>0.8</v>
      </c>
      <c r="BQ691" s="690"/>
      <c r="BR691" s="869" t="str">
        <f t="shared" si="210"/>
        <v/>
      </c>
      <c r="BS691" s="842" t="str">
        <f t="shared" si="211"/>
        <v/>
      </c>
      <c r="BT691" s="289">
        <f>IF(SUM(BR691:BR693=""),0,SUM(BQ691:BQ693)/SUM(BR691:BR693))</f>
        <v>0</v>
      </c>
      <c r="BU691" s="821">
        <v>0.8</v>
      </c>
      <c r="BW691" s="37"/>
      <c r="BX691" s="642" t="str">
        <f t="shared" si="206"/>
        <v>Jul</v>
      </c>
      <c r="BY691" s="643">
        <f>IF(CB691=$CB694,SUMIF($BI682:$BI693,$BX691,$BR682:$BR693),SUMIF($BI682:$BI693,$BX691,$BM682:$BM693))</f>
        <v>2.597</v>
      </c>
      <c r="BZ691" s="821">
        <f>IF(IF(CB691=CB694,SUMIF(BI682:BI693,$BX691,BU682:BU693),SUMIF(BI682:BI693,$BX691,BP682:BP693))=0,NA(),IF(CB691=CB694,SUMIF(BI682:BI693,$BX691,BU682:BU693),SUMIF(BI682:BI693,$BX691,BP682:BP693)))</f>
        <v>0.8</v>
      </c>
      <c r="CA691" s="644">
        <f>IF(IF(CB691=CB694,SUMIF(BI682:BI693,$BX691,BS682:BS693),SUMIF(BI682:BI693,$BX691,BN682:BN693))=0,NA(),IF(CB691=CB694,SUMIF(BI682:BI693,$BX691,BS682:BS693),SUMIF(BI682:BI693,$BX691,BN682:BN693)))</f>
        <v>0.98190219484020014</v>
      </c>
      <c r="CB691" s="645">
        <f t="shared" si="212"/>
        <v>23</v>
      </c>
      <c r="CC691" s="645">
        <f t="shared" si="207"/>
        <v>7</v>
      </c>
    </row>
    <row r="692" spans="61:81" ht="15" customHeight="1">
      <c r="BI692" s="638" t="s">
        <v>343</v>
      </c>
      <c r="BJ692" s="638">
        <v>11</v>
      </c>
      <c r="BK692" s="638" t="s">
        <v>338</v>
      </c>
      <c r="BL692" s="690">
        <v>2.4780000000000002</v>
      </c>
      <c r="BM692" s="869">
        <f t="shared" si="208"/>
        <v>2.5150000000000001</v>
      </c>
      <c r="BN692" s="653">
        <f t="shared" si="209"/>
        <v>0.98528827037773359</v>
      </c>
      <c r="BO692" s="855"/>
      <c r="BP692" s="819">
        <v>0.8</v>
      </c>
      <c r="BQ692" s="690"/>
      <c r="BR692" s="869" t="str">
        <f t="shared" si="210"/>
        <v/>
      </c>
      <c r="BS692" s="842" t="str">
        <f t="shared" si="211"/>
        <v/>
      </c>
      <c r="BT692" s="855"/>
      <c r="BU692" s="821">
        <v>0.8</v>
      </c>
      <c r="BW692" s="37"/>
      <c r="BX692" s="642" t="str">
        <f t="shared" si="206"/>
        <v>Aug</v>
      </c>
      <c r="BY692" s="643">
        <f>IF(CB692=$CB694,SUMIF($BI682:$BI693,$BX692,$BR682:$BR693),SUMIF($BI682:$BI693,$BX692,$BM682:$BM693))</f>
        <v>2.5150000000000001</v>
      </c>
      <c r="BZ692" s="821">
        <f>IF(IF(CB692=CB694,SUMIF(BI682:BI693,$BX692,BU682:BU693),SUMIF(BI682:BI693,$BX692,BP682:BP693))=0,NA(),IF(CB692=CB694,SUMIF(BI682:BI693,$BX692,BU682:BU693),SUMIF(BI682:BI693,$BX692,BP682:BP693)))</f>
        <v>0.8</v>
      </c>
      <c r="CA692" s="644">
        <f>IF(IF(CB692=CB694,SUMIF(BI682:BI693,$BX692,BS682:BS693),SUMIF(BI682:BI693,$BX692,BN682:BN693))=0,NA(),IF(CB692=CB694,SUMIF(BI682:BI693,$BX692,BS682:BS693),SUMIF(BI682:BI693,$BX692,BN682:BN693)))</f>
        <v>0.98528827037773359</v>
      </c>
      <c r="CB692" s="645">
        <f t="shared" si="212"/>
        <v>23</v>
      </c>
      <c r="CC692" s="645">
        <f t="shared" si="207"/>
        <v>8</v>
      </c>
    </row>
    <row r="693" spans="61:81" ht="15" customHeight="1">
      <c r="BI693" s="638" t="s">
        <v>344</v>
      </c>
      <c r="BJ693" s="638">
        <v>12</v>
      </c>
      <c r="BK693" s="638" t="s">
        <v>338</v>
      </c>
      <c r="BL693" s="690">
        <v>2.9220000000000002</v>
      </c>
      <c r="BM693" s="869">
        <f t="shared" si="208"/>
        <v>2.9740000000000002</v>
      </c>
      <c r="BN693" s="653">
        <f t="shared" si="209"/>
        <v>0.98251513113651645</v>
      </c>
      <c r="BO693" s="855"/>
      <c r="BP693" s="819">
        <v>0.8</v>
      </c>
      <c r="BQ693" s="690"/>
      <c r="BR693" s="869" t="str">
        <f>IF(BR655="","",BR655)</f>
        <v/>
      </c>
      <c r="BS693" s="842" t="str">
        <f t="shared" si="211"/>
        <v/>
      </c>
      <c r="BT693" s="855"/>
      <c r="BU693" s="821">
        <v>0.8</v>
      </c>
      <c r="BW693" s="37"/>
      <c r="BX693" s="642" t="str">
        <f t="shared" si="206"/>
        <v>Sep</v>
      </c>
      <c r="BY693" s="643">
        <f>IF(CB693=$CB694,SUMIF($BI682:$BI693,$BX693,$BR682:$BR693),SUMIF($BI682:$BI693,$BX693,$BM682:$BM693))</f>
        <v>2.9740000000000002</v>
      </c>
      <c r="BZ693" s="821">
        <f>IF(IF(CB693=CB694,SUMIF(BI682:BI693,$BX693,BU682:BU693),SUMIF(BI682:BI693,$BX693,BP682:BP693))=0,NA(),IF(CB693=CB694,SUMIF(BI682:BI693,$BX693,BU682:BU693),SUMIF(BI682:BI693,$BX693,BP682:BP693)))</f>
        <v>0.8</v>
      </c>
      <c r="CA693" s="644">
        <f>IF(IF(CB693=CB694,SUMIF(BI682:BI693,$BX693,BS682:BS693),SUMIF(BI682:BI693,$BX693,BN682:BN693))=0,NA(),IF(CB693=CB694,SUMIF(BI682:BI693,$BX693,BS682:BS693),SUMIF(BI682:BI693,$BX693,BN682:BN693)))</f>
        <v>0.98251513113651645</v>
      </c>
      <c r="CB693" s="645">
        <f t="shared" si="212"/>
        <v>23</v>
      </c>
      <c r="CC693" s="645">
        <f>IF(CC694-1&lt;1,CC694+11,CC694-1)</f>
        <v>9</v>
      </c>
    </row>
    <row r="694" spans="61:81" ht="15" customHeight="1">
      <c r="BW694" s="647" t="str">
        <f>Cover!$M$34</f>
        <v>OCT FY-24</v>
      </c>
      <c r="BX694" s="642" t="str">
        <f>TEXT(CONCATENATE(CC694,"/01/20",CB694),"MMM")</f>
        <v>Oct</v>
      </c>
      <c r="BY694" s="643">
        <f>SUMIF($BI682:$BI693,$BX694,$BR682:$BR693)</f>
        <v>2.456</v>
      </c>
      <c r="BZ694" s="821">
        <f>IF(IF(CB694=CB694,SUMIF(BI682:BI693,$BX694,BU682:BU693),SUMIF(BI682:BI693,$BX694,BP682:BP693))=0,NA(),IF(CB694=CB694,SUMIF(BI682:BI693,$BX694,BU682:BU693),SUMIF(BI682:BI693,$BX694,BP682:BP693)))</f>
        <v>0.8</v>
      </c>
      <c r="CA694" s="644">
        <f>IF(SUMIF($BI682:$BI693,$BX694,$BS682:$BS693)=0,NA(),SUMIF($BI682:$BI693,$BX694,$BS682:$BS693))</f>
        <v>0.98167752442996747</v>
      </c>
      <c r="CB694" s="645">
        <f t="shared" si="212"/>
        <v>24</v>
      </c>
      <c r="CC694" s="645">
        <f>MONTH(DATEVALUE(LEFT(BW694,3)&amp;" 1"))</f>
        <v>10</v>
      </c>
    </row>
    <row r="695" spans="61:81" ht="15" customHeight="1">
      <c r="BJ695" s="37"/>
      <c r="BK695" s="37"/>
      <c r="BL695" s="37"/>
      <c r="BM695" s="37"/>
      <c r="BN695" s="37"/>
      <c r="BO695" s="37"/>
      <c r="BP695" s="37"/>
      <c r="BQ695" s="37"/>
      <c r="BR695" s="37"/>
      <c r="BS695" s="37"/>
      <c r="BT695" s="37"/>
      <c r="BU695" s="37"/>
      <c r="BW695" s="37"/>
      <c r="BX695" s="37"/>
      <c r="BY695" s="37"/>
      <c r="BZ695" s="37"/>
      <c r="CA695" s="37"/>
      <c r="CB695" s="37"/>
      <c r="CC695" s="37"/>
    </row>
    <row r="696" spans="61:81" ht="15" customHeight="1">
      <c r="BI696" s="54" t="s">
        <v>292</v>
      </c>
      <c r="BJ696" s="1116" t="s">
        <v>465</v>
      </c>
      <c r="BK696" s="1116"/>
      <c r="BL696" s="1116"/>
      <c r="BM696" s="1116"/>
      <c r="BN696" s="1116"/>
      <c r="BO696" s="1116"/>
      <c r="BP696" s="1116"/>
      <c r="BQ696" s="1116"/>
      <c r="BR696" s="1116"/>
      <c r="BS696" s="1116"/>
      <c r="BT696" s="1116"/>
      <c r="BU696" s="1116"/>
      <c r="BW696" s="37"/>
      <c r="BX696" s="37"/>
      <c r="BY696" s="270"/>
      <c r="BZ696" s="270"/>
      <c r="CA696" s="270"/>
      <c r="CB696" s="270"/>
      <c r="CC696" s="270"/>
    </row>
    <row r="697" spans="61:81" ht="15" customHeight="1">
      <c r="BI697" s="54" t="s">
        <v>296</v>
      </c>
      <c r="BJ697" s="283" t="s">
        <v>472</v>
      </c>
      <c r="BK697" s="283"/>
      <c r="BL697" s="283"/>
      <c r="BM697" s="283"/>
      <c r="BN697" s="283"/>
      <c r="BO697" s="283"/>
      <c r="BP697" s="283"/>
      <c r="BQ697" s="283"/>
      <c r="BR697" s="283"/>
      <c r="BS697" s="283"/>
      <c r="BT697" s="283"/>
      <c r="BU697" s="283"/>
      <c r="BW697" s="270"/>
      <c r="BX697" s="270"/>
      <c r="BY697" s="37"/>
      <c r="BZ697" s="37"/>
      <c r="CA697" s="37"/>
      <c r="CB697" s="37"/>
      <c r="CC697" s="37"/>
    </row>
    <row r="698" spans="61:81" ht="15" customHeight="1" thickBot="1">
      <c r="BI698" s="54" t="s">
        <v>300</v>
      </c>
      <c r="BJ698" s="283" t="s">
        <v>473</v>
      </c>
      <c r="BK698" s="283"/>
      <c r="BL698" s="283"/>
      <c r="BM698" s="283"/>
      <c r="BN698" s="283"/>
      <c r="BO698" s="283"/>
      <c r="BP698" s="283"/>
      <c r="BQ698" s="283"/>
      <c r="BR698" s="283"/>
      <c r="BS698" s="283"/>
      <c r="BT698" s="283"/>
      <c r="BU698" s="283"/>
      <c r="BW698" s="37"/>
      <c r="BX698" s="37"/>
      <c r="BY698" s="270"/>
      <c r="BZ698" s="270"/>
      <c r="CA698" s="270"/>
      <c r="CB698" s="270"/>
      <c r="CC698" s="270"/>
    </row>
    <row r="699" spans="61:81" ht="15" customHeight="1" thickBot="1">
      <c r="BI699" s="1402" t="s">
        <v>458</v>
      </c>
      <c r="BJ699" s="1403"/>
      <c r="BK699" s="1404"/>
      <c r="BL699" s="1402" t="s">
        <v>302</v>
      </c>
      <c r="BM699" s="1403"/>
      <c r="BN699" s="1403"/>
      <c r="BO699" s="1403"/>
      <c r="BP699" s="1404"/>
      <c r="BQ699" s="1402" t="s">
        <v>719</v>
      </c>
      <c r="BR699" s="1403"/>
      <c r="BS699" s="1403"/>
      <c r="BT699" s="1403"/>
      <c r="BU699" s="1404"/>
      <c r="BW699" s="1402" t="s">
        <v>303</v>
      </c>
      <c r="BX699" s="1403"/>
      <c r="BY699" s="1403"/>
      <c r="BZ699" s="1403"/>
      <c r="CA699" s="1403"/>
      <c r="CB699" s="1403"/>
      <c r="CC699" s="1404"/>
    </row>
    <row r="700" spans="61:81" ht="15" customHeight="1">
      <c r="BI700" s="636" t="s">
        <v>23</v>
      </c>
      <c r="BJ700" s="636" t="s">
        <v>37</v>
      </c>
      <c r="BK700" s="636" t="s">
        <v>304</v>
      </c>
      <c r="BL700" s="637" t="s">
        <v>305</v>
      </c>
      <c r="BM700" s="637" t="s">
        <v>310</v>
      </c>
      <c r="BN700" s="637" t="s">
        <v>311</v>
      </c>
      <c r="BO700" s="278" t="s">
        <v>312</v>
      </c>
      <c r="BP700" s="637" t="s">
        <v>313</v>
      </c>
      <c r="BQ700" s="637" t="s">
        <v>305</v>
      </c>
      <c r="BR700" s="637" t="s">
        <v>715</v>
      </c>
      <c r="BS700" s="637" t="s">
        <v>716</v>
      </c>
      <c r="BT700" s="278" t="s">
        <v>717</v>
      </c>
      <c r="BU700" s="637" t="s">
        <v>718</v>
      </c>
      <c r="BW700" s="279" t="s">
        <v>314</v>
      </c>
      <c r="BX700" s="279" t="s">
        <v>23</v>
      </c>
      <c r="BY700" s="280" t="s">
        <v>315</v>
      </c>
      <c r="BZ700" s="279" t="s">
        <v>122</v>
      </c>
      <c r="CA700" s="279" t="s">
        <v>316</v>
      </c>
      <c r="CB700" s="279" t="s">
        <v>317</v>
      </c>
      <c r="CC700" s="279" t="s">
        <v>318</v>
      </c>
    </row>
    <row r="701" spans="61:81" ht="15" customHeight="1">
      <c r="BI701" s="638" t="s">
        <v>319</v>
      </c>
      <c r="BJ701" s="638">
        <v>1</v>
      </c>
      <c r="BK701" s="638" t="s">
        <v>320</v>
      </c>
      <c r="BL701" s="857">
        <f>IF(BM701="","",BN701*BM701)</f>
        <v>2.1446759259259259E-5</v>
      </c>
      <c r="BM701" s="689">
        <v>0.109</v>
      </c>
      <c r="BN701" s="862">
        <v>1.9675925925925926E-4</v>
      </c>
      <c r="BO701" s="849">
        <f>IF(SUM(BM701:BM703=0),0,SUM(BL701:BL703)/SUM(BM701:BM703))</f>
        <v>1.6194268317230273E-4</v>
      </c>
      <c r="BP701" s="851">
        <v>6.9444444444444447E-4</v>
      </c>
      <c r="BQ701" s="857">
        <f>IF(BR701="","",BS701*BR701)</f>
        <v>2.974537037037037E-5</v>
      </c>
      <c r="BR701" s="689">
        <v>0.25700000000000001</v>
      </c>
      <c r="BS701" s="847">
        <v>1.1574074074074073E-4</v>
      </c>
      <c r="BT701" s="849">
        <f>IF(SUM(BR701:BR703=0),0,SUM(BQ701:BQ703)/SUM(BR701:BR703))</f>
        <v>1.1574074074074073E-4</v>
      </c>
      <c r="BU701" s="851">
        <v>6.9444444444444447E-4</v>
      </c>
      <c r="BW701" s="37"/>
      <c r="BX701" s="642" t="str">
        <f>TEXT(CONCATENATE(CC701,"/01/20",CB701),"MMM")</f>
        <v>Oct</v>
      </c>
      <c r="BY701" s="643">
        <f>IF(CB701=$CB713,SUMIF($BI701:$BI712,$BX701,$BR701:$BR712),SUMIF($BI701:$BI712,$BX701,$BM701:$BM712))</f>
        <v>0.109</v>
      </c>
      <c r="BZ701" s="877">
        <f>IF(IF(CB701=CB713,SUMIF(BI701:BI712,$BX701,BU701:BU712),SUMIF(BI701:BI712,$BX701,BP701:BP712))=0,NA(),IF(CB701=CB713,SUMIF(BI701:BI712,$BX701,BU701:BU712),SUMIF(BI701:BI712,$BX701,BP701:BP712)))</f>
        <v>6.9444444444444447E-4</v>
      </c>
      <c r="CA701" s="876">
        <f>IF(IF(CB701=CB713,SUMIF(BI701:BI712,$BX701,BS701:BS712),SUMIF(BI701:BI712,$BX701,BN701:BN712))=0,NA(),IF(CB701=CB713,SUMIF(BI701:BI712,$BX701,BS701:BS712),SUMIF(BI701:BI712,$BX701,BN701:BN712)))</f>
        <v>1.9675925925925926E-4</v>
      </c>
      <c r="CB701" s="645">
        <f>CB682</f>
        <v>23</v>
      </c>
      <c r="CC701" s="645">
        <f t="shared" ref="CC701:CC711" si="213">IF(CC702-1&lt;1,CC702+11,CC702-1)</f>
        <v>10</v>
      </c>
    </row>
    <row r="702" spans="61:81" ht="15" customHeight="1">
      <c r="BI702" s="638" t="s">
        <v>321</v>
      </c>
      <c r="BJ702" s="638">
        <v>2</v>
      </c>
      <c r="BK702" s="638" t="s">
        <v>320</v>
      </c>
      <c r="BL702" s="857">
        <f t="shared" ref="BL702:BL712" si="214">IF(BM702="","",BN702*BM702)</f>
        <v>1.4004629629629628E-5</v>
      </c>
      <c r="BM702" s="689">
        <v>0.11</v>
      </c>
      <c r="BN702" s="862">
        <v>1.273148148148148E-4</v>
      </c>
      <c r="BO702" s="852"/>
      <c r="BP702" s="851">
        <v>6.9444444444444447E-4</v>
      </c>
      <c r="BQ702" s="857" t="str">
        <f t="shared" ref="BQ702:BQ712" si="215">IF(BR702="","",BS702*BR702)</f>
        <v/>
      </c>
      <c r="BR702" s="689"/>
      <c r="BS702" s="847"/>
      <c r="BT702" s="852"/>
      <c r="BU702" s="851">
        <v>6.9444444444444447E-4</v>
      </c>
      <c r="BW702" s="37"/>
      <c r="BX702" s="642" t="str">
        <f t="shared" ref="BX702:BX712" si="216">TEXT(CONCATENATE(CC702,"/01/20",CB702),"MMM")</f>
        <v>Nov</v>
      </c>
      <c r="BY702" s="643">
        <f>IF(CB702=$CB713,SUMIF($BI701:$BI712,$BX702,$BR701:$BR712),SUMIF($BI701:$BI712,$BX702,$BM701:$BM712))</f>
        <v>0.11</v>
      </c>
      <c r="BZ702" s="877">
        <f>IF(IF(CB702=CB713,SUMIF(BI701:BI712,$BX702,BU701:BU712),SUMIF(BI701:BI712,$BX702,BP701:BP712))=0,NA(),IF(CB702=CB713,SUMIF(BI701:BI712,$BX702,BU701:BU712),SUMIF(BI701:BI712,$BX702,BP701:BP712)))</f>
        <v>6.9444444444444447E-4</v>
      </c>
      <c r="CA702" s="876">
        <f>IF(IF(CB702=CB713,SUMIF(BI701:BI712,$BX702,BS701:BS712),SUMIF(BI701:BI712,$BX702,BN701:BN712))=0,NA(),IF(CB702=CB713,SUMIF(BI701:BI712,$BX702,BS701:BS712),SUMIF(BI701:BI712,$BX702,BN701:BN712)))</f>
        <v>1.273148148148148E-4</v>
      </c>
      <c r="CB702" s="645">
        <f t="shared" ref="CB702:CB713" si="217">CB683</f>
        <v>23</v>
      </c>
      <c r="CC702" s="645">
        <f t="shared" si="213"/>
        <v>11</v>
      </c>
    </row>
    <row r="703" spans="61:81" ht="15" customHeight="1">
      <c r="BI703" s="638" t="s">
        <v>322</v>
      </c>
      <c r="BJ703" s="638">
        <v>3</v>
      </c>
      <c r="BK703" s="638" t="s">
        <v>320</v>
      </c>
      <c r="BL703" s="857">
        <f t="shared" si="214"/>
        <v>2.4143518518518516E-5</v>
      </c>
      <c r="BM703" s="689">
        <v>0.14899999999999999</v>
      </c>
      <c r="BN703" s="862">
        <v>1.6203703703703703E-4</v>
      </c>
      <c r="BO703" s="852"/>
      <c r="BP703" s="851">
        <v>6.9444444444444447E-4</v>
      </c>
      <c r="BQ703" s="857" t="str">
        <f t="shared" si="215"/>
        <v/>
      </c>
      <c r="BR703" s="689"/>
      <c r="BS703" s="847"/>
      <c r="BT703" s="852"/>
      <c r="BU703" s="851">
        <v>6.9444444444444447E-4</v>
      </c>
      <c r="BW703" s="37"/>
      <c r="BX703" s="642" t="str">
        <f t="shared" si="216"/>
        <v>Dec</v>
      </c>
      <c r="BY703" s="643">
        <f>IF(CB703=$CB713,SUMIF($BI701:$BI712,$BX703,$BR701:$BR712),SUMIF($BI701:$BI712,$BX703,$BM701:$BM712))</f>
        <v>0.14899999999999999</v>
      </c>
      <c r="BZ703" s="877">
        <f>IF(IF(CB703=CB713,SUMIF(BI701:BI712,$BX703,BU701:BU712),SUMIF(BI701:BI712,$BX703,BP701:BP712))=0,NA(),IF(CB703=CB713,SUMIF(BI701:BI712,$BX703,BU701:BU712),SUMIF(BI701:BI712,$BX703,BP701:BP712)))</f>
        <v>6.9444444444444447E-4</v>
      </c>
      <c r="CA703" s="876">
        <f>IF(IF(CB703=CB713,SUMIF(BI701:BI712,$BX703,BS701:BS712),SUMIF(BI701:BI712,$BX703,BN701:BN712))=0,NA(),IF(CB703=CB713,SUMIF(BI701:BI712,$BX703,BS701:BS712),SUMIF(BI701:BI712,$BX703,BN701:BN712)))</f>
        <v>1.6203703703703703E-4</v>
      </c>
      <c r="CB703" s="645">
        <f t="shared" si="217"/>
        <v>23</v>
      </c>
      <c r="CC703" s="645">
        <f t="shared" si="213"/>
        <v>12</v>
      </c>
    </row>
    <row r="704" spans="61:81" ht="15" customHeight="1">
      <c r="BI704" s="638" t="s">
        <v>323</v>
      </c>
      <c r="BJ704" s="638">
        <v>4</v>
      </c>
      <c r="BK704" s="638" t="s">
        <v>324</v>
      </c>
      <c r="BL704" s="857">
        <f t="shared" si="214"/>
        <v>6.6550925925925921E-6</v>
      </c>
      <c r="BM704" s="689">
        <v>0.115</v>
      </c>
      <c r="BN704" s="862">
        <v>5.7870370370370366E-5</v>
      </c>
      <c r="BO704" s="849">
        <f>IF(SUM(BM704:BM706=0),0,SUM(BL704:BL706)/SUM(BM704:BM706))</f>
        <v>7.8765158964274004E-5</v>
      </c>
      <c r="BP704" s="851">
        <v>6.9444444444444447E-4</v>
      </c>
      <c r="BQ704" s="857" t="str">
        <f t="shared" si="215"/>
        <v/>
      </c>
      <c r="BR704" s="689"/>
      <c r="BS704" s="847"/>
      <c r="BT704" s="849">
        <f>IF(SUM(BR704:BR706=0),0,SUM(BQ704:BQ706)/SUM(BR704:BR706))</f>
        <v>0</v>
      </c>
      <c r="BU704" s="851">
        <v>6.9444444444444447E-4</v>
      </c>
      <c r="BW704" s="37"/>
      <c r="BX704" s="642" t="str">
        <f t="shared" si="216"/>
        <v>Jan</v>
      </c>
      <c r="BY704" s="643">
        <f>IF(CB704=$CB713,SUMIF($BI701:$BI712,$BX704,$BR701:$BR712),SUMIF($BI701:$BI712,$BX704,$BM701:$BM712))</f>
        <v>0.115</v>
      </c>
      <c r="BZ704" s="877">
        <f>IF(IF(CB704=CB713,SUMIF(BI701:BI712,$BX704,BU701:BU712),SUMIF(BI701:BI712,$BX704,BP701:BP712))=0,NA(),IF(CB704=CB713,SUMIF(BI701:BI712,$BX704,BU701:BU712),SUMIF(BI701:BI712,$BX704,BP701:BP712)))</f>
        <v>6.9444444444444447E-4</v>
      </c>
      <c r="CA704" s="876">
        <f>IF(IF(CB704=CB713,SUMIF(BI701:BI712,$BX704,BS701:BS712),SUMIF(BI701:BI712,$BX704,BN701:BN712))=0,NA(),IF(CB704=CB713,SUMIF(BI701:BI712,$BX704,BS701:BS712),SUMIF(BI701:BI712,$BX704,BN701:BN712)))</f>
        <v>5.7870370370370366E-5</v>
      </c>
      <c r="CB704" s="645">
        <f t="shared" si="217"/>
        <v>23</v>
      </c>
      <c r="CC704" s="645">
        <f t="shared" si="213"/>
        <v>1</v>
      </c>
    </row>
    <row r="705" spans="60:81" ht="15" customHeight="1">
      <c r="BI705" s="638" t="s">
        <v>325</v>
      </c>
      <c r="BJ705" s="638">
        <v>5</v>
      </c>
      <c r="BK705" s="638" t="s">
        <v>324</v>
      </c>
      <c r="BL705" s="857">
        <f t="shared" si="214"/>
        <v>1.3148148148148146E-5</v>
      </c>
      <c r="BM705" s="690">
        <v>0.14199999999999999</v>
      </c>
      <c r="BN705" s="863">
        <v>9.2592592592592588E-5</v>
      </c>
      <c r="BO705" s="852"/>
      <c r="BP705" s="851">
        <v>6.9444444444444447E-4</v>
      </c>
      <c r="BQ705" s="857" t="str">
        <f t="shared" si="215"/>
        <v/>
      </c>
      <c r="BR705" s="690"/>
      <c r="BS705" s="848"/>
      <c r="BT705" s="852"/>
      <c r="BU705" s="851">
        <v>6.9444444444444447E-4</v>
      </c>
      <c r="BW705" s="37"/>
      <c r="BX705" s="642" t="str">
        <f t="shared" si="216"/>
        <v>Feb</v>
      </c>
      <c r="BY705" s="643">
        <f>IF(CB705=$CB713,SUMIF($BI701:$BI712,$BX705,$BR701:$BR712),SUMIF($BI701:$BI712,$BX705,$BM701:$BM712))</f>
        <v>0.14199999999999999</v>
      </c>
      <c r="BZ705" s="877">
        <f>IF(IF(CB705=CB713,SUMIF(BI701:BI712,$BX705,BU701:BU712),SUMIF(BI701:BI712,$BX705,BP701:BP712))=0,NA(),IF(CB705=CB713,SUMIF(BI701:BI712,$BX705,BU701:BU712),SUMIF(BI701:BI712,$BX705,BP701:BP712)))</f>
        <v>6.9444444444444447E-4</v>
      </c>
      <c r="CA705" s="876">
        <f>IF(IF(CB705=CB713,SUMIF(BI701:BI712,$BX705,BS701:BS712),SUMIF(BI701:BI712,$BX705,BN701:BN712))=0,NA(),IF(CB705=CB713,SUMIF(BI701:BI712,$BX705,BS701:BS712),SUMIF(BI701:BI712,$BX705,BN701:BN712)))</f>
        <v>9.2592592592592588E-5</v>
      </c>
      <c r="CB705" s="645">
        <f t="shared" si="217"/>
        <v>23</v>
      </c>
      <c r="CC705" s="645">
        <f t="shared" si="213"/>
        <v>2</v>
      </c>
    </row>
    <row r="706" spans="60:81" ht="15" customHeight="1">
      <c r="BI706" s="638" t="s">
        <v>326</v>
      </c>
      <c r="BJ706" s="638">
        <v>6</v>
      </c>
      <c r="BK706" s="638" t="s">
        <v>324</v>
      </c>
      <c r="BL706" s="857">
        <f t="shared" si="214"/>
        <v>1.579861111111111E-5</v>
      </c>
      <c r="BM706" s="690">
        <v>0.19500000000000001</v>
      </c>
      <c r="BN706" s="863">
        <v>8.1018518518518516E-5</v>
      </c>
      <c r="BO706" s="852"/>
      <c r="BP706" s="851">
        <v>6.9444444444444447E-4</v>
      </c>
      <c r="BQ706" s="857" t="str">
        <f t="shared" si="215"/>
        <v/>
      </c>
      <c r="BR706" s="690"/>
      <c r="BS706" s="848"/>
      <c r="BT706" s="852"/>
      <c r="BU706" s="851">
        <v>6.9444444444444447E-4</v>
      </c>
      <c r="BW706" s="37"/>
      <c r="BX706" s="642" t="str">
        <f t="shared" si="216"/>
        <v>Mar</v>
      </c>
      <c r="BY706" s="643">
        <f>IF(CB706=$CB713,SUMIF($BI701:$BI712,$BX706,$BR701:$BR712),SUMIF($BI701:$BI712,$BX706,$BM701:$BM712))</f>
        <v>0.19500000000000001</v>
      </c>
      <c r="BZ706" s="877">
        <f>IF(IF(CB706=CB713,SUMIF(BI701:BI712,$BX706,BU701:BU712),SUMIF(BI701:BI712,$BX706,BP701:BP712))=0,NA(),IF(CB706=CB713,SUMIF(BI701:BI712,$BX706,BU701:BU712),SUMIF(BI701:BI712,$BX706,BP701:BP712)))</f>
        <v>6.9444444444444447E-4</v>
      </c>
      <c r="CA706" s="876">
        <f>IF(IF(CB706=CB713,SUMIF(BI701:BI712,$BX706,BS701:BS712),SUMIF(BI701:BI712,$BX706,BN701:BN712))=0,NA(),IF(CB706=CB713,SUMIF(BI701:BI712,$BX706,BS701:BS712),SUMIF(BI701:BI712,$BX706,BN701:BN712)))</f>
        <v>8.1018518518518516E-5</v>
      </c>
      <c r="CB706" s="645">
        <f t="shared" si="217"/>
        <v>23</v>
      </c>
      <c r="CC706" s="645">
        <f t="shared" si="213"/>
        <v>3</v>
      </c>
    </row>
    <row r="707" spans="60:81" ht="15" customHeight="1">
      <c r="BI707" s="638" t="s">
        <v>327</v>
      </c>
      <c r="BJ707" s="638">
        <v>7</v>
      </c>
      <c r="BK707" s="638" t="s">
        <v>328</v>
      </c>
      <c r="BL707" s="857">
        <f t="shared" si="214"/>
        <v>7.2337962962962957E-6</v>
      </c>
      <c r="BM707" s="690">
        <v>0.125</v>
      </c>
      <c r="BN707" s="863">
        <v>5.7870370370370366E-5</v>
      </c>
      <c r="BO707" s="849">
        <f>IF(SUM(BM707:BM709=0),0,SUM(BL707:BL709)/SUM(BM707:BM709))</f>
        <v>6.943308617744338E-5</v>
      </c>
      <c r="BP707" s="851">
        <v>6.9444444444444447E-4</v>
      </c>
      <c r="BQ707" s="857" t="str">
        <f t="shared" si="215"/>
        <v/>
      </c>
      <c r="BR707" s="690"/>
      <c r="BS707" s="848"/>
      <c r="BT707" s="849">
        <f>IF(SUM(BR707:BR709=0),0,SUM(BQ707:BQ709)/SUM(BR707:BR709))</f>
        <v>0</v>
      </c>
      <c r="BU707" s="851">
        <v>6.9444444444444447E-4</v>
      </c>
      <c r="BW707" s="37"/>
      <c r="BX707" s="642" t="str">
        <f t="shared" si="216"/>
        <v>Apr</v>
      </c>
      <c r="BY707" s="643">
        <f>IF(CB707=$CB713,SUMIF($BI701:$BI712,$BX707,$BR701:$BR712),SUMIF($BI701:$BI712,$BX707,$BM701:$BM712))</f>
        <v>0.125</v>
      </c>
      <c r="BZ707" s="877">
        <f>IF(IF(CB707=CB713,SUMIF(BI701:BI712,$BX707,BU701:BU712),SUMIF(BI701:BI712,$BX707,BP701:BP712))=0,NA(),IF(CB707=CB713,SUMIF(BI701:BI712,$BX707,BU701:BU712),SUMIF(BI701:BI712,$BX707,BP701:BP712)))</f>
        <v>6.9444444444444447E-4</v>
      </c>
      <c r="CA707" s="876">
        <f>IF(IF(CB707=CB713,SUMIF(BI701:BI712,$BX707,BS701:BS712),SUMIF(BI701:BI712,$BX707,BN701:BN712))=0,NA(),IF(CB707=CB713,SUMIF(BI701:BI712,$BX707,BS701:BS712),SUMIF(BI701:BI712,$BX707,BN701:BN712)))</f>
        <v>5.7870370370370366E-5</v>
      </c>
      <c r="CB707" s="645">
        <f t="shared" si="217"/>
        <v>23</v>
      </c>
      <c r="CC707" s="645">
        <f t="shared" si="213"/>
        <v>4</v>
      </c>
    </row>
    <row r="708" spans="60:81" ht="15" customHeight="1">
      <c r="BI708" s="638" t="s">
        <v>329</v>
      </c>
      <c r="BJ708" s="638">
        <v>8</v>
      </c>
      <c r="BK708" s="638" t="s">
        <v>328</v>
      </c>
      <c r="BL708" s="857">
        <f t="shared" si="214"/>
        <v>5.3472222222222224E-5</v>
      </c>
      <c r="BM708" s="690">
        <v>0.77</v>
      </c>
      <c r="BN708" s="863">
        <v>6.9444444444444444E-5</v>
      </c>
      <c r="BO708" s="852"/>
      <c r="BP708" s="851">
        <v>6.9444444444444447E-4</v>
      </c>
      <c r="BQ708" s="857" t="str">
        <f>IF(BR708="","",BS708*BR708)</f>
        <v/>
      </c>
      <c r="BR708" s="690"/>
      <c r="BS708" s="848"/>
      <c r="BT708" s="852"/>
      <c r="BU708" s="851">
        <v>6.9444444444444447E-4</v>
      </c>
      <c r="BW708" s="37"/>
      <c r="BX708" s="642" t="str">
        <f t="shared" si="216"/>
        <v>May</v>
      </c>
      <c r="BY708" s="643">
        <f>IF(CB708=$CB713,SUMIF($BI701:$BI712,$BX708,$BR701:$BR712),SUMIF($BI701:$BI712,$BX708,$BM701:$BM712))</f>
        <v>0.77</v>
      </c>
      <c r="BZ708" s="877">
        <f>IF(IF(CB708=CB713,SUMIF(BI701:BI712,$BX708,BU701:BU712),SUMIF(BI701:BI712,$BX708,BP701:BP712))=0,NA(),IF(CB708=CB713,SUMIF(BI701:BI712,$BX708,BU701:BU712),SUMIF(BI701:BI712,$BX708,BP701:BP712)))</f>
        <v>6.9444444444444447E-4</v>
      </c>
      <c r="CA708" s="876">
        <f>IF(IF(CB708=CB713,SUMIF(BI701:BI712,$BX708,BS701:BS712),SUMIF(BI701:BI712,$BX708,BN701:BN712))=0,NA(),IF(CB708=CB713,SUMIF(BI701:BI712,$BX708,BS701:BS712),SUMIF(BI701:BI712,$BX708,BN701:BN712)))</f>
        <v>6.9444444444444444E-5</v>
      </c>
      <c r="CB708" s="645">
        <f t="shared" si="217"/>
        <v>23</v>
      </c>
      <c r="CC708" s="645">
        <f t="shared" si="213"/>
        <v>5</v>
      </c>
    </row>
    <row r="709" spans="60:81" ht="15" customHeight="1">
      <c r="BI709" s="638" t="s">
        <v>331</v>
      </c>
      <c r="BJ709" s="638">
        <v>9</v>
      </c>
      <c r="BK709" s="638" t="s">
        <v>328</v>
      </c>
      <c r="BL709" s="857">
        <f t="shared" si="214"/>
        <v>1.0046296296296295E-5</v>
      </c>
      <c r="BM709" s="690">
        <v>0.124</v>
      </c>
      <c r="BN709" s="863">
        <v>8.1018518518518516E-5</v>
      </c>
      <c r="BO709" s="852"/>
      <c r="BP709" s="851">
        <v>6.9444444444444447E-4</v>
      </c>
      <c r="BQ709" s="857" t="str">
        <f t="shared" si="215"/>
        <v/>
      </c>
      <c r="BR709" s="690"/>
      <c r="BS709" s="848"/>
      <c r="BT709" s="852"/>
      <c r="BU709" s="851">
        <v>6.9444444444444447E-4</v>
      </c>
      <c r="BW709" s="37"/>
      <c r="BX709" s="642" t="str">
        <f t="shared" si="216"/>
        <v>Jun</v>
      </c>
      <c r="BY709" s="643">
        <f>IF(CB709=$CB713,SUMIF($BI701:$BI712,$BX709,$BR701:$BR712),SUMIF($BI701:$BI712,$BX709,$BM701:$BM712))</f>
        <v>0.124</v>
      </c>
      <c r="BZ709" s="877">
        <f>IF(IF(CB709=CB713,SUMIF(BI701:BI712,$BX709,BU701:BU712),SUMIF(BI701:BI712,$BX709,BP701:BP712))=0,NA(),IF(CB709=CB713,SUMIF(BI701:BI712,$BX709,BU701:BU712),SUMIF(BI701:BI712,$BX709,BP701:BP712)))</f>
        <v>6.9444444444444447E-4</v>
      </c>
      <c r="CA709" s="876">
        <f>IF(IF(CB709=CB713,SUMIF(BI701:BI712,$BX709,BS701:BS712),SUMIF(BI701:BI712,$BX709,BN701:BN712))=0,NA(),IF(CB709=CB713,SUMIF(BI701:BI712,$BX709,BS701:BS712),SUMIF(BI701:BI712,$BX709,BN701:BN712)))</f>
        <v>8.1018518518518516E-5</v>
      </c>
      <c r="CB709" s="645">
        <f t="shared" si="217"/>
        <v>23</v>
      </c>
      <c r="CC709" s="645">
        <f t="shared" si="213"/>
        <v>6</v>
      </c>
    </row>
    <row r="710" spans="60:81" ht="15" customHeight="1">
      <c r="BI710" s="638" t="s">
        <v>337</v>
      </c>
      <c r="BJ710" s="638">
        <v>10</v>
      </c>
      <c r="BK710" s="638" t="s">
        <v>338</v>
      </c>
      <c r="BL710" s="857">
        <f t="shared" si="214"/>
        <v>9.8611111111111101E-6</v>
      </c>
      <c r="BM710" s="690">
        <v>0.14199999999999999</v>
      </c>
      <c r="BN710" s="863">
        <v>6.9444444444444444E-5</v>
      </c>
      <c r="BO710" s="849">
        <f>IF(SUM(BM710:BM712=0),0,SUM(BL710:BL712)/SUM(BM710:BM712))</f>
        <v>7.1690554709961083E-5</v>
      </c>
      <c r="BP710" s="851">
        <v>6.9444444444444447E-4</v>
      </c>
      <c r="BQ710" s="857" t="str">
        <f t="shared" si="215"/>
        <v/>
      </c>
      <c r="BR710" s="690"/>
      <c r="BS710" s="848"/>
      <c r="BT710" s="849">
        <f>IF(SUM(BR710:BR712=0),0,SUM(BQ710:BQ712)/SUM(BR710:BR712))</f>
        <v>0</v>
      </c>
      <c r="BU710" s="851">
        <v>6.9444444444444447E-4</v>
      </c>
      <c r="BW710" s="37"/>
      <c r="BX710" s="642" t="str">
        <f t="shared" si="216"/>
        <v>Jul</v>
      </c>
      <c r="BY710" s="643">
        <f>IF(CB710=$CB713,SUMIF($BI701:$BI712,$BX710,$BR701:$BR712),SUMIF($BI701:$BI712,$BX710,$BM701:$BM712))</f>
        <v>0.14199999999999999</v>
      </c>
      <c r="BZ710" s="877">
        <f>IF(IF(CB710=CB713,SUMIF(BI701:BI712,$BX710,BU701:BU712),SUMIF(BI701:BI712,$BX710,BP701:BP712))=0,NA(),IF(CB710=CB713,SUMIF(BI701:BI712,$BX710,BU701:BU712),SUMIF(BI701:BI712,$BX710,BP701:BP712)))</f>
        <v>6.9444444444444447E-4</v>
      </c>
      <c r="CA710" s="876">
        <f>IF(IF(CB710=CB713,SUMIF(BI701:BI712,$BX710,BS701:BS712),SUMIF(BI701:BI712,$BX710,BN701:BN712))=0,NA(),IF(CB710=CB713,SUMIF(BI701:BI712,$BX710,BS701:BS712),SUMIF(BI701:BI712,$BX710,BN701:BN712)))</f>
        <v>6.9444444444444444E-5</v>
      </c>
      <c r="CB710" s="645">
        <f t="shared" si="217"/>
        <v>23</v>
      </c>
      <c r="CC710" s="645">
        <f t="shared" si="213"/>
        <v>7</v>
      </c>
    </row>
    <row r="711" spans="60:81" ht="15" customHeight="1">
      <c r="BI711" s="638" t="s">
        <v>343</v>
      </c>
      <c r="BJ711" s="638">
        <v>11</v>
      </c>
      <c r="BK711" s="638" t="s">
        <v>338</v>
      </c>
      <c r="BL711" s="857">
        <f t="shared" si="214"/>
        <v>1.1759259259259259E-5</v>
      </c>
      <c r="BM711" s="690">
        <v>0.127</v>
      </c>
      <c r="BN711" s="863">
        <v>9.2592592592592588E-5</v>
      </c>
      <c r="BO711" s="852"/>
      <c r="BP711" s="851">
        <v>6.9444444444444447E-4</v>
      </c>
      <c r="BQ711" s="857" t="str">
        <f t="shared" si="215"/>
        <v/>
      </c>
      <c r="BR711" s="690"/>
      <c r="BS711" s="848"/>
      <c r="BT711" s="852"/>
      <c r="BU711" s="851">
        <v>6.9444444444444447E-4</v>
      </c>
      <c r="BW711" s="37"/>
      <c r="BX711" s="642" t="str">
        <f t="shared" si="216"/>
        <v>Aug</v>
      </c>
      <c r="BY711" s="643">
        <f>IF(CB711=$CB713,SUMIF($BI701:$BI712,$BX711,$BR701:$BR712),SUMIF($BI701:$BI712,$BX711,$BM701:$BM712))</f>
        <v>0.127</v>
      </c>
      <c r="BZ711" s="877">
        <f>IF(IF(CB711=CB713,SUMIF(BI701:BI712,$BX711,BU701:BU712),SUMIF(BI701:BI712,$BX711,BP701:BP712))=0,NA(),IF(CB711=CB713,SUMIF(BI701:BI712,$BX711,BU701:BU712),SUMIF(BI701:BI712,$BX711,BP701:BP712)))</f>
        <v>6.9444444444444447E-4</v>
      </c>
      <c r="CA711" s="876">
        <f>IF(IF(CB711=CB713,SUMIF(BI701:BI712,$BX711,BS701:BS712),SUMIF(BI701:BI712,$BX711,BN701:BN712))=0,NA(),IF(CB711=CB713,SUMIF(BI701:BI712,$BX711,BS701:BS712),SUMIF(BI701:BI712,$BX711,BN701:BN712)))</f>
        <v>9.2592592592592588E-5</v>
      </c>
      <c r="CB711" s="645">
        <f t="shared" si="217"/>
        <v>23</v>
      </c>
      <c r="CC711" s="645">
        <f t="shared" si="213"/>
        <v>8</v>
      </c>
    </row>
    <row r="712" spans="60:81" ht="15" customHeight="1">
      <c r="BI712" s="638" t="s">
        <v>344</v>
      </c>
      <c r="BJ712" s="638">
        <v>12</v>
      </c>
      <c r="BK712" s="638" t="s">
        <v>338</v>
      </c>
      <c r="BL712" s="857">
        <f t="shared" si="214"/>
        <v>9.7800925925925927E-6</v>
      </c>
      <c r="BM712" s="690">
        <v>0.16900000000000001</v>
      </c>
      <c r="BN712" s="863">
        <v>5.7870370370370366E-5</v>
      </c>
      <c r="BO712" s="852"/>
      <c r="BP712" s="851">
        <v>6.9444444444444447E-4</v>
      </c>
      <c r="BQ712" s="857" t="str">
        <f t="shared" si="215"/>
        <v/>
      </c>
      <c r="BR712" s="690"/>
      <c r="BS712" s="848"/>
      <c r="BT712" s="852"/>
      <c r="BU712" s="851">
        <v>6.9444444444444447E-4</v>
      </c>
      <c r="BW712" s="37"/>
      <c r="BX712" s="642" t="str">
        <f t="shared" si="216"/>
        <v>Sep</v>
      </c>
      <c r="BY712" s="643">
        <f>IF(CB712=$CB713,SUMIF($BI701:$BI712,$BX712,$BR701:$BR712),SUMIF($BI701:$BI712,$BX712,$BM701:$BM712))</f>
        <v>0.16900000000000001</v>
      </c>
      <c r="BZ712" s="877">
        <f>IF(IF(CB712=CB713,SUMIF(BI701:BI712,$BX712,BU701:BU712),SUMIF(BI701:BI712,$BX712,BP701:BP712))=0,NA(),IF(CB712=CB713,SUMIF(BI701:BI712,$BX712,BU701:BU712),SUMIF(BI701:BI712,$BX712,BP701:BP712)))</f>
        <v>6.9444444444444447E-4</v>
      </c>
      <c r="CA712" s="876">
        <f>IF(IF(CB712=CB713,SUMIF(BI701:BI712,$BX712,BS701:BS712),SUMIF(BI701:BI712,$BX712,BN701:BN712))=0,NA(),IF(CB712=CB713,SUMIF(BI701:BI712,$BX712,BS701:BS712),SUMIF(BI701:BI712,$BX712,BN701:BN712)))</f>
        <v>5.7870370370370366E-5</v>
      </c>
      <c r="CB712" s="645">
        <f t="shared" si="217"/>
        <v>23</v>
      </c>
      <c r="CC712" s="645">
        <f>IF(CC713-1&lt;1,CC713+11,CC713-1)</f>
        <v>9</v>
      </c>
    </row>
    <row r="713" spans="60:81" ht="15" customHeight="1">
      <c r="BJ713" s="277"/>
      <c r="BK713" s="277"/>
      <c r="BL713" s="277"/>
      <c r="BM713" s="277"/>
      <c r="BN713" s="277"/>
      <c r="BO713" s="277"/>
      <c r="BP713" s="277"/>
      <c r="BQ713" s="277"/>
      <c r="BR713" s="277"/>
      <c r="BS713" s="277"/>
      <c r="BT713" s="277"/>
      <c r="BW713" s="647" t="str">
        <f>Cover!$M$34</f>
        <v>OCT FY-24</v>
      </c>
      <c r="BX713" s="642" t="str">
        <f>TEXT(CONCATENATE(CC713,"/01/20",CB713),"MMM")</f>
        <v>Oct</v>
      </c>
      <c r="BY713" s="643">
        <f>SUMIF($BI701:$BI712,$BX713,$BR701:$BR712)</f>
        <v>0.25700000000000001</v>
      </c>
      <c r="BZ713" s="877">
        <f>IF(IF(CB713=CB713,SUMIF(BI701:BI712,$BX713,BU701:BU712),SUMIF(BI701:BI712,$BX713,BP701:BP712))=0,NA(),IF(CB713=CB713,SUMIF(BI701:BI712,$BX713,BU701:BU712),SUMIF(BI701:BI712,$BX713,BP701:BP712)))</f>
        <v>6.9444444444444447E-4</v>
      </c>
      <c r="CA713" s="876">
        <f>IF(SUMIF($BI701:$BI712,$BX713,$BS701:$BS712)=0,NA(),SUMIF($BI701:$BI712,$BX713,$BS701:$BS712))</f>
        <v>1.1574074074074073E-4</v>
      </c>
      <c r="CB713" s="645">
        <f t="shared" si="217"/>
        <v>24</v>
      </c>
      <c r="CC713" s="645">
        <f>MONTH(DATEVALUE(LEFT(BW713,3)&amp;" 1"))</f>
        <v>10</v>
      </c>
    </row>
    <row r="714" spans="60:81" ht="15" customHeight="1">
      <c r="BJ714" s="37"/>
      <c r="BK714" s="37"/>
      <c r="BL714" s="37"/>
      <c r="BM714" s="37"/>
      <c r="BN714" s="37"/>
      <c r="BO714" s="37"/>
      <c r="BP714" s="37"/>
      <c r="BQ714" s="37"/>
      <c r="BR714" s="37"/>
      <c r="BS714" s="37"/>
      <c r="BT714" s="37"/>
      <c r="BU714" s="37"/>
      <c r="BW714" s="37"/>
      <c r="BX714" s="37"/>
      <c r="BY714" s="37"/>
      <c r="BZ714" s="37"/>
      <c r="CA714" s="37"/>
      <c r="CB714" s="37"/>
      <c r="CC714" s="37"/>
    </row>
    <row r="715" spans="60:81" ht="15" customHeight="1">
      <c r="BH715" s="182"/>
      <c r="BI715" s="54" t="s">
        <v>292</v>
      </c>
      <c r="BJ715" s="287" t="s">
        <v>478</v>
      </c>
      <c r="BK715" s="287"/>
      <c r="BL715" s="287"/>
      <c r="BM715" s="287"/>
      <c r="BN715" s="287"/>
      <c r="BO715" s="287"/>
      <c r="BP715" s="287"/>
      <c r="BQ715" s="287"/>
      <c r="BR715" s="287"/>
      <c r="BS715" s="287"/>
      <c r="BT715" s="287"/>
      <c r="BU715" s="287"/>
      <c r="BW715" s="37"/>
      <c r="BX715" s="37"/>
      <c r="BY715" s="37"/>
      <c r="BZ715" s="37"/>
      <c r="CA715" s="37"/>
      <c r="CB715" s="37"/>
      <c r="CC715" s="37"/>
    </row>
    <row r="716" spans="60:81" ht="15" customHeight="1">
      <c r="BI716" s="54" t="s">
        <v>296</v>
      </c>
      <c r="BJ716" s="283" t="s">
        <v>475</v>
      </c>
      <c r="BK716" s="283"/>
      <c r="BL716" s="283"/>
      <c r="BM716" s="283"/>
      <c r="BN716" s="283"/>
      <c r="BO716" s="283"/>
      <c r="BP716" s="283"/>
      <c r="BQ716" s="283"/>
      <c r="BR716" s="283"/>
      <c r="BS716" s="283"/>
      <c r="BT716" s="283"/>
      <c r="BU716" s="283"/>
      <c r="BW716" s="37"/>
      <c r="BX716" s="37"/>
      <c r="BY716" s="37"/>
      <c r="BZ716" s="37"/>
      <c r="CA716" s="37"/>
      <c r="CB716" s="37"/>
      <c r="CC716" s="37"/>
    </row>
    <row r="717" spans="60:81" ht="15" customHeight="1" thickBot="1">
      <c r="BI717" s="54" t="s">
        <v>300</v>
      </c>
      <c r="BJ717" s="283" t="s">
        <v>476</v>
      </c>
      <c r="BK717" s="283"/>
      <c r="BL717" s="283"/>
      <c r="BM717" s="283"/>
      <c r="BN717" s="283"/>
      <c r="BO717" s="283"/>
      <c r="BP717" s="283"/>
      <c r="BQ717" s="283"/>
      <c r="BR717" s="283"/>
      <c r="BS717" s="283"/>
      <c r="BT717" s="283"/>
      <c r="BU717" s="283"/>
      <c r="BW717" s="37"/>
      <c r="BX717" s="37"/>
      <c r="BY717" s="37"/>
      <c r="BZ717" s="37"/>
      <c r="CA717" s="37"/>
      <c r="CB717" s="37"/>
      <c r="CC717" s="37"/>
    </row>
    <row r="718" spans="60:81" ht="15" customHeight="1" thickBot="1">
      <c r="BI718" s="1402" t="s">
        <v>458</v>
      </c>
      <c r="BJ718" s="1403"/>
      <c r="BK718" s="1404"/>
      <c r="BL718" s="1402" t="s">
        <v>302</v>
      </c>
      <c r="BM718" s="1403"/>
      <c r="BN718" s="1403"/>
      <c r="BO718" s="1403"/>
      <c r="BP718" s="1404"/>
      <c r="BQ718" s="1402" t="s">
        <v>719</v>
      </c>
      <c r="BR718" s="1403"/>
      <c r="BS718" s="1403"/>
      <c r="BT718" s="1403"/>
      <c r="BU718" s="1404"/>
      <c r="BW718" s="1402" t="s">
        <v>303</v>
      </c>
      <c r="BX718" s="1403"/>
      <c r="BY718" s="1403"/>
      <c r="BZ718" s="1403"/>
      <c r="CA718" s="1403"/>
      <c r="CB718" s="1403"/>
      <c r="CC718" s="1404"/>
    </row>
    <row r="719" spans="60:81" ht="15" customHeight="1">
      <c r="BI719" s="636" t="s">
        <v>23</v>
      </c>
      <c r="BJ719" s="636" t="s">
        <v>37</v>
      </c>
      <c r="BK719" s="636" t="s">
        <v>304</v>
      </c>
      <c r="BL719" s="637" t="s">
        <v>305</v>
      </c>
      <c r="BM719" s="637" t="s">
        <v>310</v>
      </c>
      <c r="BN719" s="637" t="s">
        <v>311</v>
      </c>
      <c r="BO719" s="278" t="s">
        <v>312</v>
      </c>
      <c r="BP719" s="637" t="s">
        <v>313</v>
      </c>
      <c r="BQ719" s="637" t="s">
        <v>305</v>
      </c>
      <c r="BR719" s="637" t="s">
        <v>715</v>
      </c>
      <c r="BS719" s="637" t="s">
        <v>716</v>
      </c>
      <c r="BT719" s="278" t="s">
        <v>717</v>
      </c>
      <c r="BU719" s="637" t="s">
        <v>718</v>
      </c>
      <c r="BW719" s="279" t="s">
        <v>314</v>
      </c>
      <c r="BX719" s="279" t="s">
        <v>23</v>
      </c>
      <c r="BY719" s="280" t="s">
        <v>315</v>
      </c>
      <c r="BZ719" s="279" t="s">
        <v>122</v>
      </c>
      <c r="CA719" s="279" t="s">
        <v>316</v>
      </c>
      <c r="CB719" s="279" t="s">
        <v>317</v>
      </c>
      <c r="CC719" s="279" t="s">
        <v>318</v>
      </c>
    </row>
    <row r="720" spans="60:81" ht="15" customHeight="1">
      <c r="BI720" s="638" t="s">
        <v>319</v>
      </c>
      <c r="BJ720" s="638">
        <v>1</v>
      </c>
      <c r="BK720" s="638" t="s">
        <v>320</v>
      </c>
      <c r="BL720" s="690">
        <v>3.0000000000000001E-3</v>
      </c>
      <c r="BM720" s="689">
        <v>0.112</v>
      </c>
      <c r="BN720" s="653">
        <f>IF(BM720="","",BL720/BM720)</f>
        <v>2.6785714285714284E-2</v>
      </c>
      <c r="BO720" s="289">
        <f>IF(SUM(BM720:BM722=0),0,SUM(BL720:BL722)/SUM(BM720:BM722))</f>
        <v>3.91644908616188E-2</v>
      </c>
      <c r="BP720" s="821">
        <v>0.05</v>
      </c>
      <c r="BQ720" s="687">
        <v>1.7000000000000001E-2</v>
      </c>
      <c r="BR720" s="685">
        <v>0.27500000000000002</v>
      </c>
      <c r="BS720" s="842">
        <f>IF(BR720="","",BQ720/BR720)</f>
        <v>6.1818181818181821E-2</v>
      </c>
      <c r="BT720" s="289">
        <f>IF(SUM(BR720:BR722=0),0,SUM(BQ720:BQ722)/SUM(BR720:BR722))</f>
        <v>6.1818181818181821E-2</v>
      </c>
      <c r="BU720" s="821">
        <v>0.05</v>
      </c>
      <c r="BW720" s="37"/>
      <c r="BX720" s="642" t="str">
        <f t="shared" ref="BX720:BX731" si="218">TEXT(CONCATENATE(CC720,"/01/20",CB720),"MMM")</f>
        <v>Oct</v>
      </c>
      <c r="BY720" s="643">
        <f>IF(CB720=$CB732,SUMIF($BI720:$BI731,$BX720,$BR720:$BR731),SUMIF($BI720:$BI731,$BX720,$BM720:$BM731))</f>
        <v>0.112</v>
      </c>
      <c r="BZ720" s="821">
        <f>IF(IF(CB720=CB732,SUMIF(BI720:BI731,$BX720,BU720:BU731),SUMIF(BI720:BI731,$BX720,BP720:BP731))=0,NA(),IF(CB720=CB732,SUMIF(BI720:BI731,$BX720,BU720:BU731),SUMIF(BI720:BI731,$BX720,BP720:BP731)))</f>
        <v>0.05</v>
      </c>
      <c r="CA720" s="644">
        <f>IF(IF(CB720=CB732,SUMIF(BI720:BI731,$BX720,BS720:BS731),SUMIF(BI720:BI731,$BX720,BN720:BN731))=0,0,IF(CB720=CB732,SUMIF(BI720:BI731,$BX720,BS720:BS731),SUMIF(BI720:BI731,$BX720,BN720:BN731)))</f>
        <v>2.6785714285714284E-2</v>
      </c>
      <c r="CB720" s="645">
        <f>CB701</f>
        <v>23</v>
      </c>
      <c r="CC720" s="645">
        <f t="shared" ref="CC720:CC730" si="219">IF(CC721-1&lt;1,CC721+11,CC721-1)</f>
        <v>10</v>
      </c>
    </row>
    <row r="721" spans="61:81" ht="15" customHeight="1">
      <c r="BI721" s="638" t="s">
        <v>321</v>
      </c>
      <c r="BJ721" s="638">
        <v>2</v>
      </c>
      <c r="BK721" s="638" t="s">
        <v>320</v>
      </c>
      <c r="BL721" s="690">
        <v>6.0000000000000001E-3</v>
      </c>
      <c r="BM721" s="689">
        <v>0.11600000000000001</v>
      </c>
      <c r="BN721" s="653">
        <f t="shared" ref="BN721:BN731" si="220">IF(BM721="","",BL721/BM721)</f>
        <v>5.1724137931034482E-2</v>
      </c>
      <c r="BO721" s="855"/>
      <c r="BP721" s="821">
        <v>0.05</v>
      </c>
      <c r="BQ721" s="685"/>
      <c r="BR721" s="685"/>
      <c r="BS721" s="842" t="str">
        <f t="shared" ref="BS721:BS731" si="221">IF(BR721="","",BQ721/BR721)</f>
        <v/>
      </c>
      <c r="BT721" s="855"/>
      <c r="BU721" s="821">
        <v>0.05</v>
      </c>
      <c r="BW721" s="37"/>
      <c r="BX721" s="642" t="str">
        <f t="shared" si="218"/>
        <v>Nov</v>
      </c>
      <c r="BY721" s="643">
        <f>IF(CB721=$CB732,SUMIF($BI720:$BI731,$BX721,$BR720:$BR731),SUMIF($BI720:$BI731,$BX721,$BM720:$BM731))</f>
        <v>0.11600000000000001</v>
      </c>
      <c r="BZ721" s="821">
        <f>IF(IF(CB721=CB732,SUMIF(BI720:BI731,$BX721,BU720:BU731),SUMIF(BI720:BI731,$BX721,BP720:BP731))=0,NA(),IF(CB721=CB732,SUMIF(BI720:BI731,$BX721,BU720:BU731),SUMIF(BI720:BI731,$BX721,BP720:BP731)))</f>
        <v>0.05</v>
      </c>
      <c r="CA721" s="644">
        <f>IF(IF(CB721=CB732,SUMIF(BI720:BI731,$BX721,BS720:BS731),SUMIF(BI720:BI731,$BX721,BN720:BN731))=0,NA(),IF(CB721=CB732,SUMIF(BI720:BI731,$BX721,BS720:BS731),SUMIF(BI720:BI731,$BX721,BN720:BN731)))</f>
        <v>5.1724137931034482E-2</v>
      </c>
      <c r="CB721" s="645">
        <f t="shared" ref="CB721:CB732" si="222">CB702</f>
        <v>23</v>
      </c>
      <c r="CC721" s="645">
        <f t="shared" si="219"/>
        <v>11</v>
      </c>
    </row>
    <row r="722" spans="61:81" ht="15" customHeight="1">
      <c r="BI722" s="638" t="s">
        <v>322</v>
      </c>
      <c r="BJ722" s="638">
        <v>3</v>
      </c>
      <c r="BK722" s="638" t="s">
        <v>320</v>
      </c>
      <c r="BL722" s="690">
        <v>6.0000000000000001E-3</v>
      </c>
      <c r="BM722" s="689">
        <v>0.155</v>
      </c>
      <c r="BN722" s="653">
        <f t="shared" si="220"/>
        <v>3.870967741935484E-2</v>
      </c>
      <c r="BO722" s="855"/>
      <c r="BP722" s="821">
        <v>0.05</v>
      </c>
      <c r="BQ722" s="687"/>
      <c r="BR722" s="685"/>
      <c r="BS722" s="842" t="str">
        <f t="shared" si="221"/>
        <v/>
      </c>
      <c r="BT722" s="855"/>
      <c r="BU722" s="821">
        <v>0.05</v>
      </c>
      <c r="BW722" s="37"/>
      <c r="BX722" s="642" t="str">
        <f t="shared" si="218"/>
        <v>Dec</v>
      </c>
      <c r="BY722" s="643">
        <f>IF(CB722=$CB732,SUMIF($BI720:$BI731,$BX722,$BR720:$BR731),SUMIF($BI720:$BI731,$BX722,$BM720:$BM731))</f>
        <v>0.155</v>
      </c>
      <c r="BZ722" s="821">
        <f>IF(IF(CB722=CB732,SUMIF(BI720:BI731,$BX722,BU720:BU731),SUMIF(BI720:BI731,$BX722,BP720:BP731))=0,NA(),IF(CB722=CB732,SUMIF(BI720:BI731,$BX722,BU720:BU731),SUMIF(BI720:BI731,$BX722,BP720:BP731)))</f>
        <v>0.05</v>
      </c>
      <c r="CA722" s="644">
        <f>IF(IF(CB722=CB732,SUMIF(BI720:BI731,$BX722,BS720:BS731),SUMIF(BI720:BI731,$BX722,BN720:BN731))=0,NA(),IF(CB722=CB732,SUMIF(BI720:BI731,$BX722,BS720:BS731),SUMIF(BI720:BI731,$BX722,BN720:BN731)))</f>
        <v>3.870967741935484E-2</v>
      </c>
      <c r="CB722" s="645">
        <f t="shared" si="222"/>
        <v>23</v>
      </c>
      <c r="CC722" s="645">
        <f t="shared" si="219"/>
        <v>12</v>
      </c>
    </row>
    <row r="723" spans="61:81" ht="15" customHeight="1">
      <c r="BI723" s="638" t="s">
        <v>323</v>
      </c>
      <c r="BJ723" s="638">
        <v>4</v>
      </c>
      <c r="BK723" s="638" t="s">
        <v>324</v>
      </c>
      <c r="BL723" s="690">
        <v>5.0000000000000001E-3</v>
      </c>
      <c r="BM723" s="689">
        <v>0.12</v>
      </c>
      <c r="BN723" s="653">
        <f t="shared" si="220"/>
        <v>4.1666666666666671E-2</v>
      </c>
      <c r="BO723" s="289">
        <f>IF(SUM(BM723:BM725=0),0,SUM(BL723:BL725)/SUM(BM723:BM725))</f>
        <v>4.0339702760084924E-2</v>
      </c>
      <c r="BP723" s="821">
        <v>0.05</v>
      </c>
      <c r="BQ723" s="687"/>
      <c r="BR723" s="685"/>
      <c r="BS723" s="842" t="str">
        <f t="shared" si="221"/>
        <v/>
      </c>
      <c r="BT723" s="289">
        <f>IF(SUM(BR723:BR725=0),0,SUM(BQ723:BQ725)/SUM(BR723:BR725))</f>
        <v>0</v>
      </c>
      <c r="BU723" s="821">
        <v>0.05</v>
      </c>
      <c r="BW723" s="37"/>
      <c r="BX723" s="642" t="str">
        <f t="shared" si="218"/>
        <v>Jan</v>
      </c>
      <c r="BY723" s="643">
        <f>IF(CB723=$CB732,SUMIF($BI720:$BI731,$BX723,$BR720:$BR731),SUMIF($BI720:$BI731,$BX723,$BM720:$BM731))</f>
        <v>0.12</v>
      </c>
      <c r="BZ723" s="821">
        <f>IF(IF(CB723=CB732,SUMIF(BI720:BI731,$BX723,BU720:BU731),SUMIF(BI720:BI731,$BX723,BP720:BP731))=0,NA(),IF(CB723=CB732,SUMIF(BI720:BI731,$BX723,BU720:BU731),SUMIF(BI720:BI731,$BX723,BP720:BP731)))</f>
        <v>0.05</v>
      </c>
      <c r="CA723" s="644">
        <f>IF(IF(CB723=CB732,SUMIF(BI720:BI731,$BX723,BS720:BS731),SUMIF(BI720:BI731,$BX723,BN720:BN731))=0,NA(),IF(CB723=CB732,SUMIF(BI720:BI731,$BX723,BS720:BS731),SUMIF(BI720:BI731,$BX723,BN720:BN731)))</f>
        <v>4.1666666666666671E-2</v>
      </c>
      <c r="CB723" s="645">
        <f t="shared" si="222"/>
        <v>23</v>
      </c>
      <c r="CC723" s="645">
        <f t="shared" si="219"/>
        <v>1</v>
      </c>
    </row>
    <row r="724" spans="61:81" ht="15" customHeight="1">
      <c r="BI724" s="638" t="s">
        <v>325</v>
      </c>
      <c r="BJ724" s="638">
        <v>5</v>
      </c>
      <c r="BK724" s="638" t="s">
        <v>324</v>
      </c>
      <c r="BL724" s="690">
        <v>7.0000000000000001E-3</v>
      </c>
      <c r="BM724" s="690">
        <v>0.14899999999999999</v>
      </c>
      <c r="BN724" s="653">
        <f t="shared" si="220"/>
        <v>4.6979865771812082E-2</v>
      </c>
      <c r="BO724" s="855"/>
      <c r="BP724" s="821">
        <v>0.05</v>
      </c>
      <c r="BQ724" s="687"/>
      <c r="BR724" s="687"/>
      <c r="BS724" s="842" t="str">
        <f t="shared" si="221"/>
        <v/>
      </c>
      <c r="BT724" s="855"/>
      <c r="BU724" s="821">
        <v>0.05</v>
      </c>
      <c r="BW724" s="37"/>
      <c r="BX724" s="642" t="str">
        <f t="shared" si="218"/>
        <v>Feb</v>
      </c>
      <c r="BY724" s="643">
        <f>IF(CB724=$CB732,SUMIF($BI720:$BI731,$BX724,$BR720:$BR731),SUMIF($BI720:$BI731,$BX724,$BM720:$BM731))</f>
        <v>0.14899999999999999</v>
      </c>
      <c r="BZ724" s="821">
        <f>IF(IF(CB724=CB732,SUMIF(BI720:BI731,$BX724,BU720:BU731),SUMIF(BI720:BI731,$BX724,BP720:BP731))=0,NA(),IF(CB724=CB732,SUMIF(BI720:BI731,$BX724,BU720:BU731),SUMIF(BI720:BI731,$BX724,BP720:BP731)))</f>
        <v>0.05</v>
      </c>
      <c r="CA724" s="644">
        <f>IF(IF(CB724=CB732,SUMIF(BI720:BI731,$BX724,BS720:BS731),SUMIF(BI720:BI731,$BX724,BN720:BN731))=0,NA(),IF(CB724=CB732,SUMIF(BI720:BI731,$BX724,BS720:BS731),SUMIF(BI720:BI731,$BX724,BN720:BN731)))</f>
        <v>4.6979865771812082E-2</v>
      </c>
      <c r="CB724" s="645">
        <f t="shared" si="222"/>
        <v>23</v>
      </c>
      <c r="CC724" s="645">
        <f t="shared" si="219"/>
        <v>2</v>
      </c>
    </row>
    <row r="725" spans="61:81" ht="15" customHeight="1">
      <c r="BI725" s="638" t="s">
        <v>326</v>
      </c>
      <c r="BJ725" s="638">
        <v>6</v>
      </c>
      <c r="BK725" s="638" t="s">
        <v>324</v>
      </c>
      <c r="BL725" s="690">
        <v>7.0000000000000001E-3</v>
      </c>
      <c r="BM725" s="690">
        <v>0.20200000000000001</v>
      </c>
      <c r="BN725" s="653">
        <f t="shared" si="220"/>
        <v>3.465346534653465E-2</v>
      </c>
      <c r="BO725" s="855"/>
      <c r="BP725" s="821">
        <v>0.05</v>
      </c>
      <c r="BQ725" s="687"/>
      <c r="BR725" s="687"/>
      <c r="BS725" s="842" t="str">
        <f t="shared" si="221"/>
        <v/>
      </c>
      <c r="BT725" s="855"/>
      <c r="BU725" s="821">
        <v>0.05</v>
      </c>
      <c r="BW725" s="37"/>
      <c r="BX725" s="642" t="str">
        <f t="shared" si="218"/>
        <v>Mar</v>
      </c>
      <c r="BY725" s="643">
        <f>IF(CB725=$CB732,SUMIF($BI720:$BI731,$BX725,$BR720:$BR731),SUMIF($BI720:$BI731,$BX725,$BM720:$BM731))</f>
        <v>0.20200000000000001</v>
      </c>
      <c r="BZ725" s="821">
        <f>IF(IF(CB725=CB732,SUMIF(BI720:BI731,$BX725,BU720:BU731),SUMIF(BI720:BI731,$BX725,BP720:BP731))=0,NA(),IF(CB725=CB732,SUMIF(BI720:BI731,$BX725,BU720:BU731),SUMIF(BI720:BI731,$BX725,BP720:BP731)))</f>
        <v>0.05</v>
      </c>
      <c r="CA725" s="644">
        <f>IF(IF(CB725=CB732,SUMIF(BI720:BI731,$BX725,BS720:BS731),SUMIF(BI720:BI731,$BX725,BN720:BN731))=0,NA(),IF(CB725=CB732,SUMIF(BI720:BI731,$BX725,BS720:BS731),SUMIF(BI720:BI731,$BX725,BN720:BN731)))</f>
        <v>3.465346534653465E-2</v>
      </c>
      <c r="CB725" s="645">
        <f t="shared" si="222"/>
        <v>23</v>
      </c>
      <c r="CC725" s="645">
        <f t="shared" si="219"/>
        <v>3</v>
      </c>
    </row>
    <row r="726" spans="61:81" ht="15" customHeight="1">
      <c r="BI726" s="638" t="s">
        <v>327</v>
      </c>
      <c r="BJ726" s="638">
        <v>7</v>
      </c>
      <c r="BK726" s="638" t="s">
        <v>328</v>
      </c>
      <c r="BL726" s="690">
        <v>0</v>
      </c>
      <c r="BM726" s="690">
        <v>0.125</v>
      </c>
      <c r="BN726" s="653">
        <f t="shared" si="220"/>
        <v>0</v>
      </c>
      <c r="BO726" s="289">
        <f>IF(SUM(BM726:BM728=0),0,SUM(BL726:BL728)/SUM(BM726:BM728))</f>
        <v>1.5105740181268881E-2</v>
      </c>
      <c r="BP726" s="821">
        <v>0.05</v>
      </c>
      <c r="BQ726" s="687"/>
      <c r="BR726" s="687"/>
      <c r="BS726" s="842" t="str">
        <f t="shared" si="221"/>
        <v/>
      </c>
      <c r="BT726" s="289">
        <f>IF(SUM(BR726:BR728=0),0,SUM(BQ726:BQ728)/SUM(BR726:BR728))</f>
        <v>0</v>
      </c>
      <c r="BU726" s="821">
        <v>0.05</v>
      </c>
      <c r="BW726" s="37"/>
      <c r="BX726" s="642" t="str">
        <f t="shared" si="218"/>
        <v>Apr</v>
      </c>
      <c r="BY726" s="643">
        <f>IF(CB726=$CB732,SUMIF($BI720:$BI731,$BX726,$BR720:$BR731),SUMIF($BI720:$BI731,$BX726,$BM720:$BM731))</f>
        <v>0.125</v>
      </c>
      <c r="BZ726" s="821">
        <f>IF(IF(CB726=CB732,SUMIF(BI720:BI731,$BX726,BU720:BU731),SUMIF(BI720:BI731,$BX726,BP720:BP731))=0,NA(),IF(CB726=CB732,SUMIF(BI720:BI731,$BX726,BU720:BU731),SUMIF(BI720:BI731,$BX726,BP720:BP731)))</f>
        <v>0.05</v>
      </c>
      <c r="CA726" s="644" t="e">
        <f>IF(IF(CB726=CB732,SUMIF(BI720:BI731,$BX726,BS720:BS731),SUMIF(BI720:BI731,$BX726,BN720:BN731))=0,NA(),IF(CB726=CB732,SUMIF(BI720:BI731,$BX726,BS720:BS731),SUMIF(BI720:BI731,$BX726,BN720:BN731)))</f>
        <v>#N/A</v>
      </c>
      <c r="CB726" s="645">
        <f t="shared" si="222"/>
        <v>23</v>
      </c>
      <c r="CC726" s="645">
        <f t="shared" si="219"/>
        <v>4</v>
      </c>
    </row>
    <row r="727" spans="61:81" ht="15" customHeight="1">
      <c r="BI727" s="638" t="s">
        <v>329</v>
      </c>
      <c r="BJ727" s="638">
        <v>8</v>
      </c>
      <c r="BK727" s="638" t="s">
        <v>328</v>
      </c>
      <c r="BL727" s="690">
        <v>3.0000000000000001E-3</v>
      </c>
      <c r="BM727" s="690">
        <v>0.08</v>
      </c>
      <c r="BN727" s="653">
        <f t="shared" si="220"/>
        <v>3.7499999999999999E-2</v>
      </c>
      <c r="BO727" s="855"/>
      <c r="BP727" s="821">
        <v>0.05</v>
      </c>
      <c r="BQ727" s="687"/>
      <c r="BR727" s="687"/>
      <c r="BS727" s="842" t="str">
        <f t="shared" si="221"/>
        <v/>
      </c>
      <c r="BT727" s="855"/>
      <c r="BU727" s="821">
        <v>0.05</v>
      </c>
      <c r="BW727" s="37"/>
      <c r="BX727" s="642" t="str">
        <f t="shared" si="218"/>
        <v>May</v>
      </c>
      <c r="BY727" s="643">
        <f>IF(CB727=$CB732,SUMIF($BI720:$BI731,$BX727,$BR720:$BR731),SUMIF($BI720:$BI731,$BX727,$BM720:$BM731))</f>
        <v>0.08</v>
      </c>
      <c r="BZ727" s="821">
        <f>IF(IF(CB727=CB732,SUMIF(BI720:BI731,$BX727,BU720:BU731),SUMIF(BI720:BI731,$BX727,BP720:BP731))=0,NA(),IF(CB727=CB732,SUMIF(BI720:BI731,$BX727,BU720:BU731),SUMIF(BI720:BI731,$BX727,BP720:BP731)))</f>
        <v>0.05</v>
      </c>
      <c r="CA727" s="644">
        <f>IF(IF(CB727=CB732,SUMIF(BI720:BI731,$BX727,BS720:BS731),SUMIF(BI720:BI731,$BX727,BN720:BN731))=0,NA(),IF(CB727=CB732,SUMIF(BI720:BI731,$BX727,BS720:BS731),SUMIF(BI720:BI731,$BX727,BN720:BN731)))</f>
        <v>3.7499999999999999E-2</v>
      </c>
      <c r="CB727" s="645">
        <f t="shared" si="222"/>
        <v>23</v>
      </c>
      <c r="CC727" s="645">
        <f t="shared" si="219"/>
        <v>5</v>
      </c>
    </row>
    <row r="728" spans="61:81" ht="15" customHeight="1">
      <c r="BI728" s="638" t="s">
        <v>331</v>
      </c>
      <c r="BJ728" s="638">
        <v>9</v>
      </c>
      <c r="BK728" s="638" t="s">
        <v>328</v>
      </c>
      <c r="BL728" s="690">
        <v>2E-3</v>
      </c>
      <c r="BM728" s="690">
        <v>0.126</v>
      </c>
      <c r="BN728" s="653">
        <f t="shared" si="220"/>
        <v>1.5873015873015872E-2</v>
      </c>
      <c r="BO728" s="855"/>
      <c r="BP728" s="821">
        <v>0.05</v>
      </c>
      <c r="BQ728" s="687"/>
      <c r="BR728" s="687"/>
      <c r="BS728" s="842" t="str">
        <f t="shared" si="221"/>
        <v/>
      </c>
      <c r="BT728" s="855"/>
      <c r="BU728" s="821">
        <v>0.05</v>
      </c>
      <c r="BW728" s="37"/>
      <c r="BX728" s="642" t="str">
        <f t="shared" si="218"/>
        <v>Jun</v>
      </c>
      <c r="BY728" s="643">
        <f>IF(CB728=$CB732,SUMIF($BI720:$BI731,$BX728,$BR720:$BR731),SUMIF($BI720:$BI731,$BX728,$BM720:$BM731))</f>
        <v>0.126</v>
      </c>
      <c r="BZ728" s="821">
        <f>IF(IF(CB728=CB732,SUMIF(BI720:BI731,$BX728,BU720:BU731),SUMIF(BI720:BI731,$BX728,BP720:BP731))=0,NA(),IF(CB728=CB732,SUMIF(BI720:BI731,$BX728,BU720:BU731),SUMIF(BI720:BI731,$BX728,BP720:BP731)))</f>
        <v>0.05</v>
      </c>
      <c r="CA728" s="644">
        <f>IF(IF(CB728=CB732,SUMIF(BI720:BI731,$BX728,BS720:BS731),SUMIF(BI720:BI731,$BX728,BN720:BN731))=0,NA(),IF(CB728=CB732,SUMIF(BI720:BI731,$BX728,BS720:BS731),SUMIF(BI720:BI731,$BX728,BN720:BN731)))</f>
        <v>1.5873015873015872E-2</v>
      </c>
      <c r="CB728" s="645">
        <f t="shared" si="222"/>
        <v>23</v>
      </c>
      <c r="CC728" s="645">
        <f t="shared" si="219"/>
        <v>6</v>
      </c>
    </row>
    <row r="729" spans="61:81" ht="15" customHeight="1">
      <c r="BI729" s="638" t="s">
        <v>337</v>
      </c>
      <c r="BJ729" s="638">
        <v>10</v>
      </c>
      <c r="BK729" s="638" t="s">
        <v>338</v>
      </c>
      <c r="BL729" s="690">
        <v>2E-3</v>
      </c>
      <c r="BM729" s="690">
        <v>0.14399999999999999</v>
      </c>
      <c r="BN729" s="653">
        <f t="shared" si="220"/>
        <v>1.388888888888889E-2</v>
      </c>
      <c r="BO729" s="289">
        <f>IF(SUM(BM729:BM731=0),0,SUM(BL729:BL731)/SUM(BM729:BM731))</f>
        <v>2.2271714922048998E-2</v>
      </c>
      <c r="BP729" s="821">
        <v>0.05</v>
      </c>
      <c r="BQ729" s="687"/>
      <c r="BR729" s="687"/>
      <c r="BS729" s="842" t="str">
        <f t="shared" si="221"/>
        <v/>
      </c>
      <c r="BT729" s="289">
        <f>IF(SUM(BR729:BR731=0),0,SUM(BQ729:BQ731)/SUM(BR729:BR731))</f>
        <v>0</v>
      </c>
      <c r="BU729" s="821">
        <v>0.05</v>
      </c>
      <c r="BW729" s="37"/>
      <c r="BX729" s="642" t="str">
        <f t="shared" si="218"/>
        <v>Jul</v>
      </c>
      <c r="BY729" s="643">
        <f>IF(CB729=$CB732,SUMIF($BI720:$BI731,$BX729,$BR720:$BR731),SUMIF($BI720:$BI731,$BX729,$BM720:$BM731))</f>
        <v>0.14399999999999999</v>
      </c>
      <c r="BZ729" s="821">
        <f>IF(IF(CB729=CB732,SUMIF(BI720:BI731,$BX729,BU720:BU731),SUMIF(BI720:BI731,$BX729,BP720:BP731))=0,NA(),IF(CB729=CB732,SUMIF(BI720:BI731,$BX729,BU720:BU731),SUMIF(BI720:BI731,$BX729,BP720:BP731)))</f>
        <v>0.05</v>
      </c>
      <c r="CA729" s="644">
        <f>IF(IF(CB729=CB732,SUMIF(BI720:BI731,$BX729,BS720:BS731),SUMIF(BI720:BI731,$BX729,BN720:BN731))=0,NA(),IF(CB729=CB732,SUMIF(BI720:BI731,$BX729,BS720:BS731),SUMIF(BI720:BI731,$BX729,BN720:BN731)))</f>
        <v>1.388888888888889E-2</v>
      </c>
      <c r="CB729" s="645">
        <f t="shared" si="222"/>
        <v>23</v>
      </c>
      <c r="CC729" s="645">
        <f t="shared" si="219"/>
        <v>7</v>
      </c>
    </row>
    <row r="730" spans="61:81" ht="15" customHeight="1">
      <c r="BI730" s="638" t="s">
        <v>343</v>
      </c>
      <c r="BJ730" s="638">
        <v>11</v>
      </c>
      <c r="BK730" s="638" t="s">
        <v>338</v>
      </c>
      <c r="BL730" s="690">
        <v>2E-3</v>
      </c>
      <c r="BM730" s="690">
        <v>0.13</v>
      </c>
      <c r="BN730" s="653">
        <f t="shared" si="220"/>
        <v>1.5384615384615384E-2</v>
      </c>
      <c r="BO730" s="855"/>
      <c r="BP730" s="821">
        <v>0.05</v>
      </c>
      <c r="BQ730" s="687"/>
      <c r="BR730" s="687"/>
      <c r="BS730" s="842" t="str">
        <f t="shared" si="221"/>
        <v/>
      </c>
      <c r="BT730" s="855"/>
      <c r="BU730" s="821">
        <v>0.05</v>
      </c>
      <c r="BW730" s="37"/>
      <c r="BX730" s="642" t="str">
        <f t="shared" si="218"/>
        <v>Aug</v>
      </c>
      <c r="BY730" s="643">
        <f>IF(CB730=$CB732,SUMIF($BI720:$BI731,$BX730,$BR720:$BR731),SUMIF($BI720:$BI731,$BX730,$BM720:$BM731))</f>
        <v>0.13</v>
      </c>
      <c r="BZ730" s="821">
        <f>IF(IF(CB730=CB732,SUMIF(BI720:BI731,$BX730,BU720:BU731),SUMIF(BI720:BI731,$BX730,BP720:BP731))=0,NA(),IF(CB730=CB732,SUMIF(BI720:BI731,$BX730,BU720:BU731),SUMIF(BI720:BI731,$BX730,BP720:BP731)))</f>
        <v>0.05</v>
      </c>
      <c r="CA730" s="644">
        <f>IF(IF(CB730=CB732,SUMIF(BI720:BI731,$BX730,BS720:BS731),SUMIF(BI720:BI731,$BX730,BN720:BN731))=0,NA(),IF(CB730=CB732,SUMIF(BI720:BI731,$BX730,BS720:BS731),SUMIF(BI720:BI731,$BX730,BN720:BN731)))</f>
        <v>1.5384615384615384E-2</v>
      </c>
      <c r="CB730" s="645">
        <f t="shared" si="222"/>
        <v>23</v>
      </c>
      <c r="CC730" s="645">
        <f t="shared" si="219"/>
        <v>8</v>
      </c>
    </row>
    <row r="731" spans="61:81" ht="15" customHeight="1">
      <c r="BI731" s="638" t="s">
        <v>344</v>
      </c>
      <c r="BJ731" s="638">
        <v>12</v>
      </c>
      <c r="BK731" s="638" t="s">
        <v>338</v>
      </c>
      <c r="BL731" s="690">
        <v>6.0000000000000001E-3</v>
      </c>
      <c r="BM731" s="690">
        <v>0.17499999999999999</v>
      </c>
      <c r="BN731" s="653">
        <f t="shared" si="220"/>
        <v>3.4285714285714287E-2</v>
      </c>
      <c r="BO731" s="855"/>
      <c r="BP731" s="821">
        <v>0.05</v>
      </c>
      <c r="BQ731" s="687"/>
      <c r="BR731" s="687"/>
      <c r="BS731" s="842" t="str">
        <f t="shared" si="221"/>
        <v/>
      </c>
      <c r="BT731" s="855"/>
      <c r="BU731" s="821">
        <v>0.05</v>
      </c>
      <c r="BW731" s="37"/>
      <c r="BX731" s="642" t="str">
        <f t="shared" si="218"/>
        <v>Sep</v>
      </c>
      <c r="BY731" s="643">
        <f>IF(CB731=$CB732,SUMIF($BI720:$BI731,$BX731,$BR720:$BR731),SUMIF($BI720:$BI731,$BX731,$BM720:$BM731))</f>
        <v>0.17499999999999999</v>
      </c>
      <c r="BZ731" s="821">
        <f>IF(IF(CB731=CB732,SUMIF(BI720:BI731,$BX731,BU720:BU731),SUMIF(BI720:BI731,$BX731,BP720:BP731))=0,NA(),IF(CB731=CB732,SUMIF(BI720:BI731,$BX731,BU720:BU731),SUMIF(BI720:BI731,$BX731,BP720:BP731)))</f>
        <v>0.05</v>
      </c>
      <c r="CA731" s="644">
        <f>IF(IF(CB731=CB732,SUMIF(BI720:BI731,$BX731,BS720:BS731),SUMIF(BI720:BI731,$BX731,BN720:BN731))=0,NA(),IF(CB731=CB732,SUMIF(BI720:BI731,$BX731,BS720:BS731),SUMIF(BI720:BI731,$BX731,BN720:BN731)))</f>
        <v>3.4285714285714287E-2</v>
      </c>
      <c r="CB731" s="645">
        <f t="shared" si="222"/>
        <v>23</v>
      </c>
      <c r="CC731" s="645">
        <f>IF(CC732-1&lt;1,CC732+11,CC732-1)</f>
        <v>9</v>
      </c>
    </row>
    <row r="732" spans="61:81" ht="15" customHeight="1">
      <c r="BI732" s="37"/>
      <c r="BJ732" s="37"/>
      <c r="BK732" s="37"/>
      <c r="BL732" s="37"/>
      <c r="BM732" s="37"/>
      <c r="BN732" s="37"/>
      <c r="BO732" s="37"/>
      <c r="BP732" s="37"/>
      <c r="BQ732" s="37"/>
      <c r="BR732" s="37"/>
      <c r="BS732" s="37"/>
      <c r="BT732" s="37"/>
      <c r="BU732" s="37"/>
      <c r="BW732" s="647" t="str">
        <f>Cover!$M$34</f>
        <v>OCT FY-24</v>
      </c>
      <c r="BX732" s="642" t="str">
        <f>TEXT(CONCATENATE(CC732,"/01/20",CB732),"MMM")</f>
        <v>Oct</v>
      </c>
      <c r="BY732" s="643">
        <f>SUMIF($BI720:$BI731,$BX732,$BR720:$BR731)</f>
        <v>0.27500000000000002</v>
      </c>
      <c r="BZ732" s="821">
        <f>IF(IF(CB732=CB732,SUMIF(BI720:BI731,$BX732,BU720:BU731),SUMIF(BI720:BI731,$BX732,BP720:BP731))=0,NA(),IF(CB732=CB732,SUMIF(BI720:BI731,$BX732,BU720:BU731),SUMIF(BI720:BI731,$BX732,BP720:BP731)))</f>
        <v>0.05</v>
      </c>
      <c r="CA732" s="644">
        <f>IF(SUMIF($BI720:$BI731,$BX732,$BS720:$BS731)=0,0,SUMIF($BI720:$BI731,$BX732,$BS720:$BS731))</f>
        <v>6.1818181818181821E-2</v>
      </c>
      <c r="CB732" s="645">
        <f t="shared" si="222"/>
        <v>24</v>
      </c>
      <c r="CC732" s="645">
        <f>MONTH(DATEVALUE(LEFT(BW732,3)&amp;" 1"))</f>
        <v>10</v>
      </c>
    </row>
    <row r="733" spans="61:81" ht="15" customHeight="1">
      <c r="BJ733" s="37"/>
      <c r="BK733" s="37"/>
      <c r="BL733" s="37"/>
      <c r="BM733" s="37"/>
      <c r="BN733" s="37"/>
      <c r="BO733" s="37"/>
      <c r="BP733" s="37"/>
      <c r="BQ733" s="37"/>
      <c r="BR733" s="37"/>
      <c r="BS733" s="37"/>
      <c r="BT733" s="37"/>
      <c r="BU733" s="37"/>
      <c r="BW733" s="37"/>
      <c r="BX733" s="37"/>
      <c r="BY733" s="37"/>
      <c r="BZ733" s="37"/>
      <c r="CA733" s="37"/>
      <c r="CB733" s="37"/>
      <c r="CC733" s="37"/>
    </row>
    <row r="734" spans="61:81" ht="15" customHeight="1">
      <c r="BI734" s="54" t="s">
        <v>292</v>
      </c>
      <c r="BJ734" s="287" t="s">
        <v>157</v>
      </c>
      <c r="BK734" s="287"/>
      <c r="BL734" s="287"/>
      <c r="BM734" s="287"/>
      <c r="BN734" s="287"/>
      <c r="BO734" s="287"/>
      <c r="BP734" s="287"/>
      <c r="BQ734" s="287"/>
      <c r="BR734" s="287"/>
      <c r="BS734" s="287"/>
      <c r="BT734" s="287"/>
      <c r="BU734" s="287"/>
      <c r="BW734" s="37"/>
      <c r="BX734" s="37"/>
      <c r="BY734" s="37"/>
      <c r="BZ734" s="37"/>
      <c r="CA734" s="37"/>
      <c r="CB734" s="37"/>
      <c r="CC734" s="37"/>
    </row>
    <row r="735" spans="61:81" ht="15" customHeight="1">
      <c r="BI735" s="54" t="s">
        <v>296</v>
      </c>
      <c r="BJ735" s="283" t="s">
        <v>156</v>
      </c>
      <c r="BK735" s="283"/>
      <c r="BL735" s="283"/>
      <c r="BM735" s="283"/>
      <c r="BN735" s="283"/>
      <c r="BO735" s="283"/>
      <c r="BP735" s="283"/>
      <c r="BQ735" s="283"/>
      <c r="BR735" s="283"/>
      <c r="BS735" s="283"/>
      <c r="BT735" s="283"/>
      <c r="BU735" s="283"/>
      <c r="BW735" s="37"/>
      <c r="BX735" s="37"/>
      <c r="BY735" s="37"/>
      <c r="BZ735" s="37"/>
      <c r="CA735" s="37"/>
      <c r="CB735" s="37"/>
      <c r="CC735" s="37"/>
    </row>
    <row r="736" spans="61:81" ht="15" customHeight="1" thickBot="1">
      <c r="BI736" s="54" t="s">
        <v>300</v>
      </c>
      <c r="BJ736" s="283" t="s">
        <v>472</v>
      </c>
      <c r="BK736" s="283"/>
      <c r="BL736" s="283"/>
      <c r="BM736" s="283"/>
      <c r="BN736" s="283"/>
      <c r="BO736" s="283"/>
      <c r="BP736" s="283"/>
      <c r="BQ736" s="283"/>
      <c r="BR736" s="283"/>
      <c r="BS736" s="283"/>
      <c r="BT736" s="283"/>
      <c r="BU736" s="283"/>
      <c r="BW736" s="37"/>
      <c r="BX736" s="37"/>
      <c r="BY736" s="37"/>
      <c r="BZ736" s="37"/>
      <c r="CA736" s="37"/>
      <c r="CB736" s="37"/>
      <c r="CC736" s="37"/>
    </row>
    <row r="737" spans="61:81" ht="15" customHeight="1" thickBot="1">
      <c r="BI737" s="1402" t="s">
        <v>458</v>
      </c>
      <c r="BJ737" s="1403"/>
      <c r="BK737" s="1404"/>
      <c r="BL737" s="1402" t="s">
        <v>302</v>
      </c>
      <c r="BM737" s="1403"/>
      <c r="BN737" s="1403"/>
      <c r="BO737" s="1403"/>
      <c r="BP737" s="1404"/>
      <c r="BQ737" s="1402" t="s">
        <v>719</v>
      </c>
      <c r="BR737" s="1403"/>
      <c r="BS737" s="1403"/>
      <c r="BT737" s="1403"/>
      <c r="BU737" s="1404"/>
      <c r="BW737" s="1402" t="s">
        <v>303</v>
      </c>
      <c r="BX737" s="1403"/>
      <c r="BY737" s="1403"/>
      <c r="BZ737" s="1403"/>
      <c r="CA737" s="1403"/>
      <c r="CB737" s="1403"/>
      <c r="CC737" s="1404"/>
    </row>
    <row r="738" spans="61:81" ht="15" customHeight="1">
      <c r="BI738" s="636" t="s">
        <v>23</v>
      </c>
      <c r="BJ738" s="636" t="s">
        <v>37</v>
      </c>
      <c r="BK738" s="636" t="s">
        <v>304</v>
      </c>
      <c r="BL738" s="637" t="s">
        <v>305</v>
      </c>
      <c r="BM738" s="637" t="s">
        <v>310</v>
      </c>
      <c r="BN738" s="637" t="s">
        <v>311</v>
      </c>
      <c r="BO738" s="278" t="s">
        <v>312</v>
      </c>
      <c r="BP738" s="637" t="s">
        <v>313</v>
      </c>
      <c r="BQ738" s="637" t="s">
        <v>305</v>
      </c>
      <c r="BR738" s="637" t="s">
        <v>715</v>
      </c>
      <c r="BS738" s="637" t="s">
        <v>716</v>
      </c>
      <c r="BT738" s="278" t="s">
        <v>717</v>
      </c>
      <c r="BU738" s="637" t="s">
        <v>718</v>
      </c>
      <c r="BW738" s="279" t="s">
        <v>314</v>
      </c>
      <c r="BX738" s="279" t="s">
        <v>23</v>
      </c>
      <c r="BY738" s="280" t="s">
        <v>315</v>
      </c>
      <c r="BZ738" s="279" t="s">
        <v>122</v>
      </c>
      <c r="CA738" s="279" t="s">
        <v>316</v>
      </c>
      <c r="CB738" s="279" t="s">
        <v>317</v>
      </c>
      <c r="CC738" s="279" t="s">
        <v>318</v>
      </c>
    </row>
    <row r="739" spans="61:81" ht="15" customHeight="1">
      <c r="BI739" s="638" t="s">
        <v>319</v>
      </c>
      <c r="BJ739" s="638">
        <v>1</v>
      </c>
      <c r="BK739" s="638" t="s">
        <v>320</v>
      </c>
      <c r="BL739" s="864">
        <v>0.10100000000000001</v>
      </c>
      <c r="BM739" s="870">
        <f>IF(BM701="","",BM701)</f>
        <v>0.109</v>
      </c>
      <c r="BN739" s="653">
        <f>IF(BM739="","",BL739/BM739)</f>
        <v>0.92660550458715607</v>
      </c>
      <c r="BO739" s="289">
        <f>IF(SUM(BM739:BM741=0),0,SUM(BL739:BL741)/SUM(BM739:BM741))</f>
        <v>0.95380434782608692</v>
      </c>
      <c r="BP739" s="819">
        <v>0.8</v>
      </c>
      <c r="BQ739" s="690">
        <v>0.251</v>
      </c>
      <c r="BR739" s="869">
        <f>IF(BR701="","",BR701)</f>
        <v>0.25700000000000001</v>
      </c>
      <c r="BS739" s="842">
        <f>IF(BR739="","",BQ739/BR739)</f>
        <v>0.97665369649805445</v>
      </c>
      <c r="BT739" s="289">
        <f>IF(SUM(BR739:BR741=""),0,SUM(BQ739:BQ741)/SUM(BR739:BR741))</f>
        <v>0.97665369649805445</v>
      </c>
      <c r="BU739" s="821">
        <v>0.8</v>
      </c>
      <c r="BW739" s="37"/>
      <c r="BX739" s="642" t="str">
        <f>TEXT(CONCATENATE(CC739,"/01/20",CB739),"MMM")</f>
        <v>Oct</v>
      </c>
      <c r="BY739" s="643">
        <f>IF(CB739=$CB751,SUMIF($BI739:$BI750,$BX739,$BR739:$BR750),SUMIF($BI739:$BI750,$BX739,$BM739:$BM750))</f>
        <v>0.109</v>
      </c>
      <c r="BZ739" s="821">
        <f>IF(IF(CB739=CB751,SUMIF(BI739:BI750,$BX739,BU739:BU750),SUMIF(BI739:BI750,$BX739,BP739:BP750))=0,NA(),IF(CB739=CB751,SUMIF(BI739:BI750,$BX739,BU739:BU750),SUMIF(BI739:BI750,$BX739,BP739:BP750)))</f>
        <v>0.8</v>
      </c>
      <c r="CA739" s="644">
        <f>IF(IF(CB739=CB751,SUMIF(BI739:BI750,$BX739,BS739:BS750),SUMIF(BI739:BI750,$BX739,BN739:BN750))=0,NA(),IF(CB739=CB751,SUMIF(BI739:BI750,$BX739,BS739:BS750),SUMIF(BI739:BI750,$BX739,BN739:BN750)))</f>
        <v>0.92660550458715607</v>
      </c>
      <c r="CB739" s="645">
        <f>CB720</f>
        <v>23</v>
      </c>
      <c r="CC739" s="645">
        <f t="shared" ref="CC739:CC749" si="223">IF(CC740-1&lt;1,CC740+11,CC740-1)</f>
        <v>10</v>
      </c>
    </row>
    <row r="740" spans="61:81" ht="15" customHeight="1">
      <c r="BI740" s="638" t="s">
        <v>321</v>
      </c>
      <c r="BJ740" s="638">
        <v>2</v>
      </c>
      <c r="BK740" s="638" t="s">
        <v>320</v>
      </c>
      <c r="BL740" s="864">
        <v>0.107</v>
      </c>
      <c r="BM740" s="870">
        <f t="shared" ref="BM740:BM750" si="224">IF(BM702="","",BM702)</f>
        <v>0.11</v>
      </c>
      <c r="BN740" s="653">
        <f t="shared" ref="BN740:BN750" si="225">IF(BM740="","",BL740/BM740)</f>
        <v>0.97272727272727266</v>
      </c>
      <c r="BO740" s="855"/>
      <c r="BP740" s="819">
        <v>0.8</v>
      </c>
      <c r="BQ740" s="690"/>
      <c r="BR740" s="869" t="str">
        <f t="shared" ref="BR740:BR750" si="226">IF(BR702="","",BR702)</f>
        <v/>
      </c>
      <c r="BS740" s="842" t="str">
        <f t="shared" ref="BS740:BS750" si="227">IF(BR740="","",BQ740/BR740)</f>
        <v/>
      </c>
      <c r="BT740" s="855"/>
      <c r="BU740" s="821">
        <v>0.8</v>
      </c>
      <c r="BW740" s="37"/>
      <c r="BX740" s="642" t="str">
        <f t="shared" ref="BX740:BX750" si="228">TEXT(CONCATENATE(CC740,"/01/20",CB740),"MMM")</f>
        <v>Nov</v>
      </c>
      <c r="BY740" s="643">
        <f>IF(CB740=$CB751,SUMIF($BI739:$BI750,$BX740,$BR739:$BR750),SUMIF($BI739:$BI750,$BX740,$BM739:$BM750))</f>
        <v>0.11</v>
      </c>
      <c r="BZ740" s="821">
        <f>IF(IF(CB740=CB751,SUMIF(BI739:BI750,$BX740,BU739:BU750),SUMIF(BI739:BI750,$BX740,BP739:BP750))=0,NA(),IF(CB740=CB751,SUMIF(BI739:BI750,$BX740,BU739:BU750),SUMIF(BI739:BI750,$BX740,BP739:BP750)))</f>
        <v>0.8</v>
      </c>
      <c r="CA740" s="644">
        <f>IF(IF(CB740=CB751,SUMIF(BI739:BI750,$BX740,BS739:BS750),SUMIF(BI739:BI750,$BX740,BN739:BN750))=0,NA(),IF(CB740=CB751,SUMIF(BI739:BI750,$BX740,BS739:BS750),SUMIF(BI739:BI750,$BX740,BN739:BN750)))</f>
        <v>0.97272727272727266</v>
      </c>
      <c r="CB740" s="645">
        <f t="shared" ref="CB740:CB750" si="229">CB721</f>
        <v>23</v>
      </c>
      <c r="CC740" s="645">
        <f t="shared" si="223"/>
        <v>11</v>
      </c>
    </row>
    <row r="741" spans="61:81" ht="15" customHeight="1">
      <c r="BI741" s="638" t="s">
        <v>322</v>
      </c>
      <c r="BJ741" s="638">
        <v>3</v>
      </c>
      <c r="BK741" s="638" t="s">
        <v>320</v>
      </c>
      <c r="BL741" s="864">
        <v>0.14299999999999999</v>
      </c>
      <c r="BM741" s="870">
        <f t="shared" si="224"/>
        <v>0.14899999999999999</v>
      </c>
      <c r="BN741" s="653">
        <f t="shared" si="225"/>
        <v>0.95973154362416102</v>
      </c>
      <c r="BO741" s="855"/>
      <c r="BP741" s="819">
        <v>0.8</v>
      </c>
      <c r="BQ741" s="690"/>
      <c r="BR741" s="869" t="str">
        <f t="shared" si="226"/>
        <v/>
      </c>
      <c r="BS741" s="842" t="str">
        <f t="shared" si="227"/>
        <v/>
      </c>
      <c r="BT741" s="855"/>
      <c r="BU741" s="821">
        <v>0.8</v>
      </c>
      <c r="BW741" s="37"/>
      <c r="BX741" s="642" t="str">
        <f t="shared" si="228"/>
        <v>Dec</v>
      </c>
      <c r="BY741" s="643">
        <f>IF(CB741=$CB751,SUMIF($BI739:$BI750,$BX741,$BR739:$BR750),SUMIF($BI739:$BI750,$BX741,$BM739:$BM750))</f>
        <v>0.14899999999999999</v>
      </c>
      <c r="BZ741" s="821">
        <f>IF(IF(CB741=CB751,SUMIF(BI739:BI750,$BX741,BU739:BU750),SUMIF(BI739:BI750,$BX741,BP739:BP750))=0,NA(),IF(CB741=CB751,SUMIF(BI739:BI750,$BX741,BU739:BU750),SUMIF(BI739:BI750,$BX741,BP739:BP750)))</f>
        <v>0.8</v>
      </c>
      <c r="CA741" s="644">
        <f>IF(IF(CB741=CB751,SUMIF(BI739:BI750,$BX741,BS739:BS750),SUMIF(BI739:BI750,$BX741,BN739:BN750))=0,NA(),IF(CB741=CB751,SUMIF(BI739:BI750,$BX741,BS739:BS750),SUMIF(BI739:BI750,$BX741,BN739:BN750)))</f>
        <v>0.95973154362416102</v>
      </c>
      <c r="CB741" s="645">
        <f t="shared" si="229"/>
        <v>23</v>
      </c>
      <c r="CC741" s="645">
        <f t="shared" si="223"/>
        <v>12</v>
      </c>
    </row>
    <row r="742" spans="61:81" ht="15" customHeight="1">
      <c r="BI742" s="638" t="s">
        <v>323</v>
      </c>
      <c r="BJ742" s="638">
        <v>4</v>
      </c>
      <c r="BK742" s="638" t="s">
        <v>324</v>
      </c>
      <c r="BL742" s="864">
        <v>0.114</v>
      </c>
      <c r="BM742" s="870">
        <f t="shared" si="224"/>
        <v>0.115</v>
      </c>
      <c r="BN742" s="653">
        <f t="shared" si="225"/>
        <v>0.9913043478260869</v>
      </c>
      <c r="BO742" s="289">
        <f>IF(SUM(BM742:BM744=0),0,SUM(BL742:BL744)/SUM(BM742:BM744))</f>
        <v>0.98672566371681414</v>
      </c>
      <c r="BP742" s="819">
        <v>0.8</v>
      </c>
      <c r="BQ742" s="690"/>
      <c r="BR742" s="869" t="str">
        <f t="shared" si="226"/>
        <v/>
      </c>
      <c r="BS742" s="842" t="str">
        <f t="shared" si="227"/>
        <v/>
      </c>
      <c r="BT742" s="289">
        <f>IF(SUM(BR742:BR744=""),0,SUM(BQ742:BQ744)/SUM(BR742:BR744))</f>
        <v>0</v>
      </c>
      <c r="BU742" s="821">
        <v>0.8</v>
      </c>
      <c r="BW742" s="37"/>
      <c r="BX742" s="642" t="str">
        <f t="shared" si="228"/>
        <v>Jan</v>
      </c>
      <c r="BY742" s="643">
        <f>IF(CB742=$CB751,SUMIF($BI739:$BI750,$BX742,$BR739:$BR750),SUMIF($BI739:$BI750,$BX742,$BM739:$BM750))</f>
        <v>0.115</v>
      </c>
      <c r="BZ742" s="821">
        <f>IF(IF(CB742=CB751,SUMIF(BI739:BI750,$BX742,BU739:BU750),SUMIF(BI739:BI750,$BX742,BP739:BP750))=0,NA(),IF(CB742=CB751,SUMIF(BI739:BI750,$BX742,BU739:BU750),SUMIF(BI739:BI750,$BX742,BP739:BP750)))</f>
        <v>0.8</v>
      </c>
      <c r="CA742" s="644">
        <f>IF(IF(CB742=CB751,SUMIF(BI739:BI750,$BX742,BS739:BS750),SUMIF(BI739:BI750,$BX742,BN739:BN750))=0,NA(),IF(CB742=CB751,SUMIF(BI739:BI750,$BX742,BS739:BS750),SUMIF(BI739:BI750,$BX742,BN739:BN750)))</f>
        <v>0.9913043478260869</v>
      </c>
      <c r="CB742" s="645">
        <f t="shared" si="229"/>
        <v>23</v>
      </c>
      <c r="CC742" s="645">
        <f t="shared" si="223"/>
        <v>1</v>
      </c>
    </row>
    <row r="743" spans="61:81" ht="15" customHeight="1">
      <c r="BI743" s="638" t="s">
        <v>325</v>
      </c>
      <c r="BJ743" s="638">
        <v>5</v>
      </c>
      <c r="BK743" s="638" t="s">
        <v>324</v>
      </c>
      <c r="BL743" s="864">
        <v>0.13900000000000001</v>
      </c>
      <c r="BM743" s="870">
        <f t="shared" si="224"/>
        <v>0.14199999999999999</v>
      </c>
      <c r="BN743" s="653">
        <f t="shared" si="225"/>
        <v>0.97887323943661986</v>
      </c>
      <c r="BO743" s="855"/>
      <c r="BP743" s="819">
        <v>0.8</v>
      </c>
      <c r="BQ743" s="690"/>
      <c r="BR743" s="869" t="str">
        <f t="shared" si="226"/>
        <v/>
      </c>
      <c r="BS743" s="842" t="str">
        <f t="shared" si="227"/>
        <v/>
      </c>
      <c r="BT743" s="855"/>
      <c r="BU743" s="821">
        <v>0.8</v>
      </c>
      <c r="BW743" s="37"/>
      <c r="BX743" s="642" t="str">
        <f t="shared" si="228"/>
        <v>Feb</v>
      </c>
      <c r="BY743" s="643">
        <f>IF(CB743=$CB751,SUMIF($BI739:$BI750,$BX743,$BR739:$BR750),SUMIF($BI739:$BI750,$BX743,$BM739:$BM750))</f>
        <v>0.14199999999999999</v>
      </c>
      <c r="BZ743" s="821">
        <f>IF(IF(CB743=CB751,SUMIF(BI739:BI750,$BX743,BU739:BU750),SUMIF(BI739:BI750,$BX743,BP739:BP750))=0,NA(),IF(CB743=CB751,SUMIF(BI739:BI750,$BX743,BU739:BU750),SUMIF(BI739:BI750,$BX743,BP739:BP750)))</f>
        <v>0.8</v>
      </c>
      <c r="CA743" s="644">
        <f>IF(IF(CB743=CB751,SUMIF(BI739:BI750,$BX743,BS739:BS750),SUMIF(BI739:BI750,$BX743,BN739:BN750))=0,NA(),IF(CB743=CB751,SUMIF(BI739:BI750,$BX743,BS739:BS750),SUMIF(BI739:BI750,$BX743,BN739:BN750)))</f>
        <v>0.97887323943661986</v>
      </c>
      <c r="CB743" s="645">
        <f t="shared" si="229"/>
        <v>23</v>
      </c>
      <c r="CC743" s="645">
        <f t="shared" si="223"/>
        <v>2</v>
      </c>
    </row>
    <row r="744" spans="61:81" ht="15" customHeight="1">
      <c r="BI744" s="638" t="s">
        <v>326</v>
      </c>
      <c r="BJ744" s="638">
        <v>6</v>
      </c>
      <c r="BK744" s="638" t="s">
        <v>324</v>
      </c>
      <c r="BL744" s="864">
        <v>0.193</v>
      </c>
      <c r="BM744" s="870">
        <f t="shared" si="224"/>
        <v>0.19500000000000001</v>
      </c>
      <c r="BN744" s="653">
        <f t="shared" si="225"/>
        <v>0.98974358974358978</v>
      </c>
      <c r="BO744" s="855"/>
      <c r="BP744" s="819">
        <v>0.8</v>
      </c>
      <c r="BQ744" s="690"/>
      <c r="BR744" s="869" t="str">
        <f t="shared" si="226"/>
        <v/>
      </c>
      <c r="BS744" s="842" t="str">
        <f t="shared" si="227"/>
        <v/>
      </c>
      <c r="BT744" s="855"/>
      <c r="BU744" s="821">
        <v>0.8</v>
      </c>
      <c r="BW744" s="37"/>
      <c r="BX744" s="642" t="str">
        <f t="shared" si="228"/>
        <v>Mar</v>
      </c>
      <c r="BY744" s="643">
        <f>IF(CB744=$CB751,SUMIF($BI739:$BI750,$BX744,$BR739:$BR750),SUMIF($BI739:$BI750,$BX744,$BM739:$BM750))</f>
        <v>0.19500000000000001</v>
      </c>
      <c r="BZ744" s="821">
        <f>IF(IF(CB744=CB751,SUMIF(BI739:BI750,$BX744,BU739:BU750),SUMIF(BI739:BI750,$BX744,BP739:BP750))=0,NA(),IF(CB744=CB751,SUMIF(BI739:BI750,$BX744,BU739:BU750),SUMIF(BI739:BI750,$BX744,BP739:BP750)))</f>
        <v>0.8</v>
      </c>
      <c r="CA744" s="644">
        <f>IF(IF(CB744=CB751,SUMIF(BI739:BI750,$BX744,BS739:BS750),SUMIF(BI739:BI750,$BX744,BN739:BN750))=0,NA(),IF(CB744=CB751,SUMIF(BI739:BI750,$BX744,BS739:BS750),SUMIF(BI739:BI750,$BX744,BN739:BN750)))</f>
        <v>0.98974358974358978</v>
      </c>
      <c r="CB744" s="645">
        <f t="shared" si="229"/>
        <v>23</v>
      </c>
      <c r="CC744" s="645">
        <f t="shared" si="223"/>
        <v>3</v>
      </c>
    </row>
    <row r="745" spans="61:81" ht="15" customHeight="1">
      <c r="BI745" s="638" t="s">
        <v>327</v>
      </c>
      <c r="BJ745" s="638">
        <v>7</v>
      </c>
      <c r="BK745" s="638" t="s">
        <v>328</v>
      </c>
      <c r="BL745" s="864">
        <v>0.125</v>
      </c>
      <c r="BM745" s="870">
        <f t="shared" si="224"/>
        <v>0.125</v>
      </c>
      <c r="BN745" s="653">
        <f t="shared" si="225"/>
        <v>1</v>
      </c>
      <c r="BO745" s="289">
        <f>IF(SUM(BM745:BM747=0),0,SUM(BL745:BL747)/SUM(BM745:BM747))</f>
        <v>0.99901864573110877</v>
      </c>
      <c r="BP745" s="819">
        <v>0.8</v>
      </c>
      <c r="BQ745" s="690"/>
      <c r="BR745" s="869" t="str">
        <f t="shared" si="226"/>
        <v/>
      </c>
      <c r="BS745" s="842" t="str">
        <f t="shared" si="227"/>
        <v/>
      </c>
      <c r="BT745" s="289">
        <f>IF(SUM(BR745:BR747=""),0,SUM(BQ745:BQ747)/SUM(BR745:BR747))</f>
        <v>0</v>
      </c>
      <c r="BU745" s="821">
        <v>0.8</v>
      </c>
      <c r="BW745" s="37"/>
      <c r="BX745" s="642" t="str">
        <f t="shared" si="228"/>
        <v>Apr</v>
      </c>
      <c r="BY745" s="643">
        <f>IF(CB745=$CB751,SUMIF($BI739:$BI750,$BX745,$BR739:$BR750),SUMIF($BI739:$BI750,$BX745,$BM739:$BM750))</f>
        <v>0.125</v>
      </c>
      <c r="BZ745" s="821">
        <f>IF(IF(CB745=CB751,SUMIF(BI739:BI750,$BX745,BU739:BU750),SUMIF(BI739:BI750,$BX745,BP739:BP750))=0,NA(),IF(CB745=CB751,SUMIF(BI739:BI750,$BX745,BU739:BU750),SUMIF(BI739:BI750,$BX745,BP739:BP750)))</f>
        <v>0.8</v>
      </c>
      <c r="CA745" s="644">
        <f>IF(IF(CB745=CB751,SUMIF(BI739:BI750,$BX745,BS739:BS750),SUMIF(BI739:BI750,$BX745,BN739:BN750))=0,NA(),IF(CB745=CB751,SUMIF(BI739:BI750,$BX745,BS739:BS750),SUMIF(BI739:BI750,$BX745,BN739:BN750)))</f>
        <v>1</v>
      </c>
      <c r="CB745" s="645">
        <f t="shared" si="229"/>
        <v>23</v>
      </c>
      <c r="CC745" s="645">
        <f t="shared" si="223"/>
        <v>4</v>
      </c>
    </row>
    <row r="746" spans="61:81" ht="15" customHeight="1">
      <c r="BI746" s="638" t="s">
        <v>329</v>
      </c>
      <c r="BJ746" s="638">
        <v>8</v>
      </c>
      <c r="BK746" s="638" t="s">
        <v>328</v>
      </c>
      <c r="BL746" s="864">
        <v>0.77</v>
      </c>
      <c r="BM746" s="870">
        <f t="shared" si="224"/>
        <v>0.77</v>
      </c>
      <c r="BN746" s="653">
        <f t="shared" si="225"/>
        <v>1</v>
      </c>
      <c r="BO746" s="855"/>
      <c r="BP746" s="819">
        <v>0.8</v>
      </c>
      <c r="BQ746" s="690"/>
      <c r="BR746" s="869" t="str">
        <f t="shared" si="226"/>
        <v/>
      </c>
      <c r="BS746" s="842" t="str">
        <f t="shared" si="227"/>
        <v/>
      </c>
      <c r="BT746" s="855"/>
      <c r="BU746" s="821">
        <v>0.8</v>
      </c>
      <c r="BW746" s="37"/>
      <c r="BX746" s="642" t="str">
        <f t="shared" si="228"/>
        <v>May</v>
      </c>
      <c r="BY746" s="643">
        <f>IF(CB746=$CB751,SUMIF($BI739:$BI750,$BX746,$BR739:$BR750),SUMIF($BI739:$BI750,$BX746,$BM739:$BM750))</f>
        <v>0.77</v>
      </c>
      <c r="BZ746" s="821">
        <f>IF(IF(CB746=CB751,SUMIF(BI739:BI750,$BX746,BU739:BU750),SUMIF(BI739:BI750,$BX746,BP739:BP750))=0,NA(),IF(CB746=CB751,SUMIF(BI739:BI750,$BX746,BU739:BU750),SUMIF(BI739:BI750,$BX746,BP739:BP750)))</f>
        <v>0.8</v>
      </c>
      <c r="CA746" s="644">
        <f>IF(IF(CB746=CB751,SUMIF(BI739:BI750,$BX746,BS739:BS750),SUMIF(BI739:BI750,$BX746,BN739:BN750))=0,NA(),IF(CB746=CB751,SUMIF(BI739:BI750,$BX746,BS739:BS750),SUMIF(BI739:BI750,$BX746,BN739:BN750)))</f>
        <v>1</v>
      </c>
      <c r="CB746" s="645">
        <f t="shared" si="229"/>
        <v>23</v>
      </c>
      <c r="CC746" s="645">
        <f t="shared" si="223"/>
        <v>5</v>
      </c>
    </row>
    <row r="747" spans="61:81" ht="15" customHeight="1">
      <c r="BI747" s="638" t="s">
        <v>331</v>
      </c>
      <c r="BJ747" s="638">
        <v>9</v>
      </c>
      <c r="BK747" s="638" t="s">
        <v>328</v>
      </c>
      <c r="BL747" s="864">
        <v>0.123</v>
      </c>
      <c r="BM747" s="870">
        <f t="shared" si="224"/>
        <v>0.124</v>
      </c>
      <c r="BN747" s="653">
        <f t="shared" si="225"/>
        <v>0.99193548387096775</v>
      </c>
      <c r="BO747" s="855"/>
      <c r="BP747" s="819">
        <v>0.8</v>
      </c>
      <c r="BQ747" s="690"/>
      <c r="BR747" s="869" t="str">
        <f t="shared" si="226"/>
        <v/>
      </c>
      <c r="BS747" s="842" t="str">
        <f t="shared" si="227"/>
        <v/>
      </c>
      <c r="BT747" s="855"/>
      <c r="BU747" s="821">
        <v>0.8</v>
      </c>
      <c r="BW747" s="37"/>
      <c r="BX747" s="642" t="str">
        <f t="shared" si="228"/>
        <v>Jun</v>
      </c>
      <c r="BY747" s="643">
        <f>IF(CB747=$CB751,SUMIF($BI739:$BI750,$BX747,$BR739:$BR750),SUMIF($BI739:$BI750,$BX747,$BM739:$BM750))</f>
        <v>0.124</v>
      </c>
      <c r="BZ747" s="821">
        <f>IF(IF(CB747=CB751,SUMIF(BI739:BI750,$BX747,BU739:BU750),SUMIF(BI739:BI750,$BX747,BP739:BP750))=0,NA(),IF(CB747=CB751,SUMIF(BI739:BI750,$BX747,BU739:BU750),SUMIF(BI739:BI750,$BX747,BP739:BP750)))</f>
        <v>0.8</v>
      </c>
      <c r="CA747" s="644">
        <f>IF(IF(CB747=CB751,SUMIF(BI739:BI750,$BX747,BS739:BS750),SUMIF(BI739:BI750,$BX747,BN739:BN750))=0,NA(),IF(CB747=CB751,SUMIF(BI739:BI750,$BX747,BS739:BS750),SUMIF(BI739:BI750,$BX747,BN739:BN750)))</f>
        <v>0.99193548387096775</v>
      </c>
      <c r="CB747" s="645">
        <f t="shared" si="229"/>
        <v>23</v>
      </c>
      <c r="CC747" s="645">
        <f t="shared" si="223"/>
        <v>6</v>
      </c>
    </row>
    <row r="748" spans="61:81" ht="15" customHeight="1">
      <c r="BI748" s="638" t="s">
        <v>337</v>
      </c>
      <c r="BJ748" s="638">
        <v>10</v>
      </c>
      <c r="BK748" s="638" t="s">
        <v>338</v>
      </c>
      <c r="BL748" s="864">
        <v>0.14000000000000001</v>
      </c>
      <c r="BM748" s="870">
        <f t="shared" si="224"/>
        <v>0.14199999999999999</v>
      </c>
      <c r="BN748" s="653">
        <f t="shared" si="225"/>
        <v>0.98591549295774661</v>
      </c>
      <c r="BO748" s="289">
        <f>IF(SUM(BM748:BM750=0),0,SUM(BL748:BL750)/SUM(BM748:BM750))</f>
        <v>0.98858447488584478</v>
      </c>
      <c r="BP748" s="819">
        <v>0.8</v>
      </c>
      <c r="BQ748" s="690"/>
      <c r="BR748" s="869" t="str">
        <f>IF(BR710="","",BR710)</f>
        <v/>
      </c>
      <c r="BS748" s="842" t="str">
        <f t="shared" si="227"/>
        <v/>
      </c>
      <c r="BT748" s="289">
        <f>IF(SUM(BR748:BR750=""),0,SUM(BQ748:BQ750)/SUM(BR748:BR750))</f>
        <v>0</v>
      </c>
      <c r="BU748" s="821">
        <v>0.8</v>
      </c>
      <c r="BW748" s="37"/>
      <c r="BX748" s="642" t="str">
        <f t="shared" si="228"/>
        <v>Jul</v>
      </c>
      <c r="BY748" s="643">
        <f>IF(CB748=$CB751,SUMIF($BI739:$BI750,$BX748,$BR739:$BR750),SUMIF($BI739:$BI750,$BX748,$BM739:$BM750))</f>
        <v>0.14199999999999999</v>
      </c>
      <c r="BZ748" s="821">
        <f>IF(IF(CB748=CB751,SUMIF(BI739:BI750,$BX748,BU739:BU750),SUMIF(BI739:BI750,$BX748,BP739:BP750))=0,NA(),IF(CB748=CB751,SUMIF(BI739:BI750,$BX748,BU739:BU750),SUMIF(BI739:BI750,$BX748,BP739:BP750)))</f>
        <v>0.8</v>
      </c>
      <c r="CA748" s="644">
        <f>IF(IF(CB748=CB751,SUMIF(BI739:BI750,$BX748,BS739:BS750),SUMIF(BI739:BI750,$BX748,BN739:BN750))=0,NA(),IF(CB748=CB751,SUMIF(BI739:BI750,$BX748,BS739:BS750),SUMIF(BI739:BI750,$BX748,BN739:BN750)))</f>
        <v>0.98591549295774661</v>
      </c>
      <c r="CB748" s="645">
        <f t="shared" si="229"/>
        <v>23</v>
      </c>
      <c r="CC748" s="645">
        <f t="shared" si="223"/>
        <v>7</v>
      </c>
    </row>
    <row r="749" spans="61:81" ht="15" customHeight="1">
      <c r="BI749" s="638" t="s">
        <v>343</v>
      </c>
      <c r="BJ749" s="638">
        <v>11</v>
      </c>
      <c r="BK749" s="638" t="s">
        <v>338</v>
      </c>
      <c r="BL749" s="864">
        <v>0.124</v>
      </c>
      <c r="BM749" s="870">
        <f t="shared" si="224"/>
        <v>0.127</v>
      </c>
      <c r="BN749" s="653">
        <f t="shared" si="225"/>
        <v>0.97637795275590544</v>
      </c>
      <c r="BO749" s="855"/>
      <c r="BP749" s="819">
        <v>0.8</v>
      </c>
      <c r="BQ749" s="690"/>
      <c r="BR749" s="869" t="str">
        <f t="shared" si="226"/>
        <v/>
      </c>
      <c r="BS749" s="842" t="str">
        <f t="shared" si="227"/>
        <v/>
      </c>
      <c r="BT749" s="855"/>
      <c r="BU749" s="821">
        <v>0.8</v>
      </c>
      <c r="BW749" s="37"/>
      <c r="BX749" s="642" t="str">
        <f t="shared" si="228"/>
        <v>Aug</v>
      </c>
      <c r="BY749" s="643">
        <f>IF(CB749=$CB751,SUMIF($BI739:$BI750,$BX749,$BR739:$BR750),SUMIF($BI739:$BI750,$BX749,$BM739:$BM750))</f>
        <v>0.127</v>
      </c>
      <c r="BZ749" s="821">
        <f>IF(IF(CB749=CB751,SUMIF(BI739:BI750,$BX749,BU739:BU750),SUMIF(BI739:BI750,$BX749,BP739:BP750))=0,NA(),IF(CB749=CB751,SUMIF(BI739:BI750,$BX749,BU739:BU750),SUMIF(BI739:BI750,$BX749,BP739:BP750)))</f>
        <v>0.8</v>
      </c>
      <c r="CA749" s="644">
        <f>IF(IF(CB749=CB751,SUMIF(BI739:BI750,$BX749,BS739:BS750),SUMIF(BI739:BI750,$BX749,BN739:BN750))=0,NA(),IF(CB749=CB751,SUMIF(BI739:BI750,$BX749,BS739:BS750),SUMIF(BI739:BI750,$BX749,BN739:BN750)))</f>
        <v>0.97637795275590544</v>
      </c>
      <c r="CB749" s="645">
        <f t="shared" si="229"/>
        <v>23</v>
      </c>
      <c r="CC749" s="645">
        <f t="shared" si="223"/>
        <v>8</v>
      </c>
    </row>
    <row r="750" spans="61:81" ht="15" customHeight="1">
      <c r="BI750" s="638" t="s">
        <v>344</v>
      </c>
      <c r="BJ750" s="638">
        <v>12</v>
      </c>
      <c r="BK750" s="638" t="s">
        <v>338</v>
      </c>
      <c r="BL750" s="864">
        <v>0.16900000000000001</v>
      </c>
      <c r="BM750" s="870">
        <f t="shared" si="224"/>
        <v>0.16900000000000001</v>
      </c>
      <c r="BN750" s="653">
        <f t="shared" si="225"/>
        <v>1</v>
      </c>
      <c r="BO750" s="855"/>
      <c r="BP750" s="819">
        <v>0.8</v>
      </c>
      <c r="BQ750" s="690"/>
      <c r="BR750" s="869" t="str">
        <f t="shared" si="226"/>
        <v/>
      </c>
      <c r="BS750" s="842" t="str">
        <f t="shared" si="227"/>
        <v/>
      </c>
      <c r="BT750" s="855"/>
      <c r="BU750" s="821">
        <v>0.8</v>
      </c>
      <c r="BW750" s="37"/>
      <c r="BX750" s="642" t="str">
        <f t="shared" si="228"/>
        <v>Sep</v>
      </c>
      <c r="BY750" s="643">
        <f>IF(CB750=$CB751,SUMIF($BI739:$BI750,$BX750,$BR739:$BR750),SUMIF($BI739:$BI750,$BX750,$BM739:$BM750))</f>
        <v>0.16900000000000001</v>
      </c>
      <c r="BZ750" s="821">
        <f>IF(IF(CB750=CB751,SUMIF(BI739:BI750,$BX750,BU739:BU750),SUMIF(BI739:BI750,$BX750,BP739:BP750))=0,NA(),IF(CB750=CB751,SUMIF(BI739:BI750,$BX750,BU739:BU750),SUMIF(BI739:BI750,$BX750,BP739:BP750)))</f>
        <v>0.8</v>
      </c>
      <c r="CA750" s="644">
        <f>IF(IF(CB750=CB751,SUMIF(BI739:BI750,$BX750,BS739:BS750),SUMIF(BI739:BI750,$BX750,BN739:BN750))=0,NA(),IF(CB750=CB751,SUMIF(BI739:BI750,$BX750,BS739:BS750),SUMIF(BI739:BI750,$BX750,BN739:BN750)))</f>
        <v>1</v>
      </c>
      <c r="CB750" s="645">
        <f t="shared" si="229"/>
        <v>23</v>
      </c>
      <c r="CC750" s="645">
        <f>IF(CC751-1&lt;1,CC751+11,CC751-1)</f>
        <v>9</v>
      </c>
    </row>
    <row r="751" spans="61:81" ht="15" customHeight="1">
      <c r="BW751" s="647" t="str">
        <f>Cover!$M$34</f>
        <v>OCT FY-24</v>
      </c>
      <c r="BX751" s="642" t="str">
        <f>TEXT(CONCATENATE(CC751,"/01/20",CB751),"MMM")</f>
        <v>Oct</v>
      </c>
      <c r="BY751" s="643">
        <f>SUMIF($BI739:$BI750,$BX751,$BR739:$BR750)</f>
        <v>0.25700000000000001</v>
      </c>
      <c r="BZ751" s="821">
        <f>IF(IF(CB751=CB751,SUMIF(BI739:BI750,$BX751,BU739:BU750),SUMIF(BI739:BI750,$BX751,BP739:BP750))=0,NA(),IF(CB751=CB751,SUMIF(BI739:BI750,$BX751,BU739:BU750),SUMIF(BI739:BI750,$BX751,BP739:BP750)))</f>
        <v>0.8</v>
      </c>
      <c r="CA751" s="644">
        <f>IF(SUMIF($BI739:$BI750,$BX751,$BS739:$BS750)=0,NA(),SUMIF($BI739:$BI750,$BX751,$BS739:$BS750))</f>
        <v>0.97665369649805445</v>
      </c>
      <c r="CB751" s="645">
        <f>CB732</f>
        <v>24</v>
      </c>
      <c r="CC751" s="645">
        <f>MONTH(DATEVALUE(LEFT(BW751,3)&amp;" 1"))</f>
        <v>10</v>
      </c>
    </row>
    <row r="752" spans="61:81" ht="15" customHeight="1">
      <c r="BI752" s="277"/>
      <c r="BJ752" s="277"/>
      <c r="BK752" s="277"/>
      <c r="BL752" s="297"/>
      <c r="BM752" s="405"/>
      <c r="BN752" s="406"/>
      <c r="BO752" s="290"/>
      <c r="BP752" s="299"/>
      <c r="BQ752" s="293"/>
      <c r="BR752" s="406"/>
      <c r="BS752" s="406"/>
      <c r="BT752" s="290"/>
      <c r="BU752" s="6"/>
      <c r="BV752" s="6"/>
    </row>
    <row r="753" spans="61:81" ht="15" customHeight="1">
      <c r="BI753" s="54" t="s">
        <v>292</v>
      </c>
      <c r="BJ753" s="1116" t="s">
        <v>459</v>
      </c>
      <c r="BK753" s="1116"/>
      <c r="BL753" s="1116"/>
      <c r="BM753" s="1116"/>
      <c r="BN753" s="1116"/>
      <c r="BO753" s="1116"/>
      <c r="BP753" s="1116"/>
      <c r="BQ753" s="1116"/>
      <c r="BR753" s="1116"/>
      <c r="BS753" s="1116"/>
      <c r="BT753" s="1116"/>
      <c r="BU753" s="1116"/>
      <c r="BW753" s="37"/>
      <c r="BX753" s="37"/>
      <c r="BY753" s="270"/>
      <c r="BZ753" s="270"/>
      <c r="CA753" s="270"/>
      <c r="CB753" s="270"/>
      <c r="CC753" s="270"/>
    </row>
    <row r="754" spans="61:81" ht="15" customHeight="1">
      <c r="BI754" s="54" t="s">
        <v>296</v>
      </c>
      <c r="BJ754" s="820"/>
      <c r="BK754" s="820"/>
      <c r="BL754" s="820"/>
      <c r="BM754" s="820"/>
      <c r="BN754" s="820"/>
      <c r="BO754" s="820"/>
      <c r="BP754" s="820"/>
      <c r="BQ754" s="820"/>
      <c r="BR754" s="820"/>
      <c r="BS754" s="820"/>
      <c r="BT754" s="820"/>
      <c r="BU754" s="820"/>
      <c r="BW754" s="270"/>
      <c r="BX754" s="270"/>
      <c r="BY754" s="37"/>
      <c r="BZ754" s="37"/>
      <c r="CA754" s="37"/>
      <c r="CB754" s="37"/>
      <c r="CC754" s="37"/>
    </row>
    <row r="755" spans="61:81" ht="15" customHeight="1" thickBot="1">
      <c r="BI755" s="54" t="s">
        <v>300</v>
      </c>
      <c r="BJ755" s="820"/>
      <c r="BK755" s="820"/>
      <c r="BL755" s="820"/>
      <c r="BM755" s="820"/>
      <c r="BN755" s="820"/>
      <c r="BO755" s="820"/>
      <c r="BP755" s="820"/>
      <c r="BQ755" s="820"/>
      <c r="BR755" s="820"/>
      <c r="BS755" s="820"/>
      <c r="BT755" s="820"/>
      <c r="BU755" s="820"/>
      <c r="BW755" s="37"/>
      <c r="BX755" s="37"/>
      <c r="BY755" s="270"/>
      <c r="BZ755" s="270"/>
      <c r="CA755" s="270"/>
      <c r="CB755" s="270"/>
      <c r="CC755" s="270"/>
    </row>
    <row r="756" spans="61:81" ht="15" customHeight="1" thickBot="1">
      <c r="BI756" s="1402" t="s">
        <v>7</v>
      </c>
      <c r="BJ756" s="1403"/>
      <c r="BK756" s="1404"/>
      <c r="BL756" s="1402" t="s">
        <v>302</v>
      </c>
      <c r="BM756" s="1403"/>
      <c r="BN756" s="1403"/>
      <c r="BO756" s="1403"/>
      <c r="BP756" s="1404"/>
      <c r="BQ756" s="1402" t="s">
        <v>719</v>
      </c>
      <c r="BR756" s="1403"/>
      <c r="BS756" s="1403"/>
      <c r="BT756" s="1403"/>
      <c r="BU756" s="1404"/>
      <c r="BW756" s="1402" t="s">
        <v>303</v>
      </c>
      <c r="BX756" s="1403"/>
      <c r="BY756" s="1403"/>
      <c r="BZ756" s="1403"/>
      <c r="CA756" s="1403"/>
      <c r="CB756" s="1403"/>
      <c r="CC756" s="1404"/>
    </row>
    <row r="757" spans="61:81" ht="15" customHeight="1">
      <c r="BI757" s="636" t="s">
        <v>23</v>
      </c>
      <c r="BJ757" s="636" t="s">
        <v>37</v>
      </c>
      <c r="BK757" s="636" t="s">
        <v>304</v>
      </c>
      <c r="BL757" s="637" t="s">
        <v>305</v>
      </c>
      <c r="BM757" s="637" t="s">
        <v>310</v>
      </c>
      <c r="BN757" s="637" t="s">
        <v>311</v>
      </c>
      <c r="BO757" s="278" t="s">
        <v>312</v>
      </c>
      <c r="BP757" s="637" t="s">
        <v>313</v>
      </c>
      <c r="BQ757" s="637" t="s">
        <v>305</v>
      </c>
      <c r="BR757" s="637" t="s">
        <v>715</v>
      </c>
      <c r="BS757" s="637" t="s">
        <v>716</v>
      </c>
      <c r="BT757" s="278" t="s">
        <v>717</v>
      </c>
      <c r="BU757" s="637" t="s">
        <v>718</v>
      </c>
      <c r="BW757" s="279" t="s">
        <v>314</v>
      </c>
      <c r="BX757" s="279" t="s">
        <v>23</v>
      </c>
      <c r="BY757" s="280" t="s">
        <v>315</v>
      </c>
      <c r="BZ757" s="279" t="s">
        <v>122</v>
      </c>
      <c r="CA757" s="279" t="s">
        <v>316</v>
      </c>
      <c r="CB757" s="279" t="s">
        <v>317</v>
      </c>
      <c r="CC757" s="279" t="s">
        <v>318</v>
      </c>
    </row>
    <row r="758" spans="61:81" ht="15" customHeight="1">
      <c r="BI758" s="638" t="s">
        <v>319</v>
      </c>
      <c r="BJ758" s="638">
        <v>1</v>
      </c>
      <c r="BK758" s="638" t="s">
        <v>320</v>
      </c>
      <c r="BL758" s="865">
        <v>7.8125E-3</v>
      </c>
      <c r="BM758" s="858">
        <v>8.7279999999999998</v>
      </c>
      <c r="BN758" s="866"/>
      <c r="BO758" s="849">
        <f>IF(SUM(BM758:BM760=0),0,SUM(BL758:BL760)/SUM(BM758:BM760))</f>
        <v>1.1700412781550237E-3</v>
      </c>
      <c r="BP758" s="851"/>
      <c r="BQ758" s="865">
        <v>2.7546296296296294E-3</v>
      </c>
      <c r="BR758" s="858">
        <v>1.7669999999999999</v>
      </c>
      <c r="BS758" s="866"/>
      <c r="BT758" s="849">
        <f>IF(SUM(BR758:BR760=0),0,SUM(BQ758:BQ760)/SUM(BR758:BR760))</f>
        <v>1.558930180888302E-3</v>
      </c>
      <c r="BU758" s="851"/>
      <c r="BW758" s="37"/>
      <c r="BX758" s="642" t="str">
        <f>TEXT(CONCATENATE(CC758,"/01/20",CB758),"MMM")</f>
        <v>Oct</v>
      </c>
      <c r="BY758" s="643">
        <f>IF(CB758=$CB770,SUMIF($BI758:$BI769,$BX758,$BR758:$BR769),SUMIF($BI758:$BI769,$BX758,$BM758:$BM769))</f>
        <v>8.7279999999999998</v>
      </c>
      <c r="BZ758" s="693" t="e">
        <f>IF(IF(CB758=CB770,SUMIF(BI758:BI769,$BX758,BU758:BU769),SUMIF(BI758:BI769,$BX758,BP758:BP769))=0,NA(),IF(CB758=CB770,SUMIF(BI758:BI769,$BX758,BU758:BU769),SUMIF(BI758:BI769,$BX758,BP758:BP769)))</f>
        <v>#N/A</v>
      </c>
      <c r="CA758" s="694" t="e">
        <f>IF(IF(CB758=CB770,SUMIF(BI758:BI769,$BX758,BS758:BS769),SUMIF(BI758:BI769,$BX758,BN758:BN769))=0,NA(),IF(CB758=CB770,SUMIF(BI758:BI769,$BX758,BS758:BS769),SUMIF(BI758:BI769,$BX758,BN758:BN769)))</f>
        <v>#N/A</v>
      </c>
      <c r="CB758" s="645">
        <f>CB739</f>
        <v>23</v>
      </c>
      <c r="CC758" s="645">
        <f>IF(CC759-1&lt;1,CC759+11,CC759-1)</f>
        <v>10</v>
      </c>
    </row>
    <row r="759" spans="61:81" ht="15" customHeight="1">
      <c r="BI759" s="638" t="s">
        <v>321</v>
      </c>
      <c r="BJ759" s="638">
        <v>2</v>
      </c>
      <c r="BK759" s="638" t="s">
        <v>320</v>
      </c>
      <c r="BL759" s="865">
        <v>9.432870370370371E-3</v>
      </c>
      <c r="BM759" s="858">
        <v>7.9470000000000001</v>
      </c>
      <c r="BN759" s="866"/>
      <c r="BO759" s="852"/>
      <c r="BP759" s="851"/>
      <c r="BQ759" s="865"/>
      <c r="BR759" s="858"/>
      <c r="BS759" s="866"/>
      <c r="BT759" s="852"/>
      <c r="BU759" s="851"/>
      <c r="BW759" s="37"/>
      <c r="BX759" s="642" t="str">
        <f t="shared" ref="BX759:BX769" si="230">TEXT(CONCATENATE(CC759,"/01/20",CB759),"MMM")</f>
        <v>Nov</v>
      </c>
      <c r="BY759" s="643">
        <f>IF(CB759=$CB770,SUMIF($BI758:$BI769,$BX759,$BR758:$BR769),SUMIF($BI758:$BI769,$BX759,$BM758:$BM769))</f>
        <v>7.9470000000000001</v>
      </c>
      <c r="BZ759" s="693" t="e">
        <f>IF(IF(CB759=CB770,SUMIF(BI758:BI769,$BX759,BU758:BU769),SUMIF(BI758:BI769,$BX759,BP758:BP769))=0,NA(),IF(CB759=CB770,SUMIF(BI758:BI769,$BX759,BU758:BU769),SUMIF(BI758:BI769,$BX759,BP758:BP769)))</f>
        <v>#N/A</v>
      </c>
      <c r="CA759" s="694" t="e">
        <f>IF(IF(CB759=CB770,SUMIF(BI758:BI769,$BX759,BS758:BS769),SUMIF(BI758:BI769,$BX759,BN758:BN769))=0,NA(),IF(CB759=CB770,SUMIF(BI758:BI769,$BX759,BS758:BS769),SUMIF(BI758:BI769,$BX759,BN758:BN769)))</f>
        <v>#N/A</v>
      </c>
      <c r="CB759" s="645">
        <f t="shared" ref="CB759:CB770" si="231">CB740</f>
        <v>23</v>
      </c>
      <c r="CC759" s="645">
        <f>IF(CC760-1&lt;1,CC760+11,CC760-1)</f>
        <v>11</v>
      </c>
    </row>
    <row r="760" spans="61:81" ht="15" customHeight="1">
      <c r="BI760" s="638" t="s">
        <v>322</v>
      </c>
      <c r="BJ760" s="638">
        <v>3</v>
      </c>
      <c r="BK760" s="638" t="s">
        <v>320</v>
      </c>
      <c r="BL760" s="865">
        <v>1.6412037037037037E-2</v>
      </c>
      <c r="BM760" s="858">
        <v>12.090999999999999</v>
      </c>
      <c r="BN760" s="866"/>
      <c r="BO760" s="852"/>
      <c r="BP760" s="851"/>
      <c r="BQ760" s="865"/>
      <c r="BR760" s="858"/>
      <c r="BS760" s="866"/>
      <c r="BT760" s="852"/>
      <c r="BU760" s="851"/>
      <c r="BW760" s="37"/>
      <c r="BX760" s="642" t="str">
        <f t="shared" si="230"/>
        <v>Dec</v>
      </c>
      <c r="BY760" s="643">
        <f>IF(CB760=$CB770,SUMIF($BI758:$BI769,$BX760,$BR758:$BR769),SUMIF($BI758:$BI769,$BX760,$BM758:$BM769))</f>
        <v>12.090999999999999</v>
      </c>
      <c r="BZ760" s="693" t="e">
        <f>IF(IF(CB760=CB770,SUMIF(BI758:BI769,$BX760,BU758:BU769),SUMIF(BI758:BI769,$BX760,BP758:BP769))=0,NA(),IF(CB760=CB770,SUMIF(BI758:BI769,$BX760,BU758:BU769),SUMIF(BI758:BI769,$BX760,BP758:BP769)))</f>
        <v>#N/A</v>
      </c>
      <c r="CA760" s="694" t="e">
        <f>IF(IF(CB760=CB770,SUMIF(BI758:BI769,$BX760,BS758:BS769),SUMIF(BI758:BI769,$BX760,BN758:BN769))=0,NA(),IF(CB760=CB770,SUMIF(BI758:BI769,$BX760,BS758:BS769),SUMIF(BI758:BI769,$BX760,BN758:BN769)))</f>
        <v>#N/A</v>
      </c>
      <c r="CB760" s="645">
        <f t="shared" si="231"/>
        <v>23</v>
      </c>
      <c r="CC760" s="645">
        <f>IF(CC761-1&lt;1,CC761+11,CC761-1)</f>
        <v>12</v>
      </c>
    </row>
    <row r="761" spans="61:81" ht="15" customHeight="1">
      <c r="BI761" s="638" t="s">
        <v>323</v>
      </c>
      <c r="BJ761" s="638">
        <v>4</v>
      </c>
      <c r="BK761" s="638" t="s">
        <v>324</v>
      </c>
      <c r="BL761" s="865">
        <v>9.9421296296296289E-3</v>
      </c>
      <c r="BM761" s="858">
        <v>3.234</v>
      </c>
      <c r="BN761" s="866"/>
      <c r="BO761" s="849">
        <f>IF(SUM(BM761:BM763=0),0,SUM(BL761:BL763)/SUM(BM761:BM763))</f>
        <v>3.2488303468585613E-3</v>
      </c>
      <c r="BP761" s="851"/>
      <c r="BQ761" s="865"/>
      <c r="BR761" s="858"/>
      <c r="BS761" s="866"/>
      <c r="BT761" s="849">
        <f>IF(SUM(BR761:BR763=0),0,SUM(BQ761:BQ763)/SUM(BR761:BR763))</f>
        <v>0</v>
      </c>
      <c r="BU761" s="851"/>
      <c r="BW761" s="37"/>
      <c r="BX761" s="642" t="str">
        <f t="shared" si="230"/>
        <v>Jan</v>
      </c>
      <c r="BY761" s="643">
        <f>IF(CB761=$CB770,SUMIF($BI758:$BI769,$BX761,$BR758:$BR769),SUMIF($BI758:$BI769,$BX761,$BM758:$BM769))</f>
        <v>3.234</v>
      </c>
      <c r="BZ761" s="693" t="e">
        <f>IF(IF(CB761=CB770,SUMIF(BI758:BI769,$BX761,BU758:BU769),SUMIF(BI758:BI769,$BX761,BP758:BP769))=0,NA(),IF(CB761=CB770,SUMIF(BI758:BI769,$BX761,BU758:BU769),SUMIF(BI758:BI769,$BX761,BP758:BP769)))</f>
        <v>#N/A</v>
      </c>
      <c r="CA761" s="694" t="e">
        <f>IF(IF(CB761=CB770,SUMIF(BI758:BI769,$BX761,BS758:BS769),SUMIF(BI758:BI769,$BX761,BN758:BN769))=0,NA(),IF(CB761=CB770,SUMIF(BI758:BI769,$BX761,BS758:BS769),SUMIF(BI758:BI769,$BX761,BN758:BN769)))</f>
        <v>#N/A</v>
      </c>
      <c r="CB761" s="645">
        <f t="shared" si="231"/>
        <v>23</v>
      </c>
      <c r="CC761" s="645">
        <f>IF(CC762-1&lt;1,CC762+11,CC762-1)</f>
        <v>1</v>
      </c>
    </row>
    <row r="762" spans="61:81" ht="15" customHeight="1">
      <c r="BI762" s="638" t="s">
        <v>325</v>
      </c>
      <c r="BJ762" s="638">
        <v>5</v>
      </c>
      <c r="BK762" s="638" t="s">
        <v>324</v>
      </c>
      <c r="BL762" s="865">
        <v>7.6273148148148151E-3</v>
      </c>
      <c r="BM762" s="859">
        <v>1.712</v>
      </c>
      <c r="BN762" s="867"/>
      <c r="BO762" s="852"/>
      <c r="BP762" s="851"/>
      <c r="BQ762" s="865"/>
      <c r="BR762" s="859"/>
      <c r="BS762" s="867"/>
      <c r="BT762" s="852"/>
      <c r="BU762" s="851"/>
      <c r="BW762" s="37"/>
      <c r="BX762" s="642" t="str">
        <f t="shared" si="230"/>
        <v>Feb</v>
      </c>
      <c r="BY762" s="643">
        <f>IF(CB762=$CB770,SUMIF($BI758:$BI769,$BX762,$BR758:$BR769),SUMIF($BI758:$BI769,$BX762,$BM758:$BM769))</f>
        <v>1.712</v>
      </c>
      <c r="BZ762" s="693" t="e">
        <f>IF(IF(CB762=CB770,SUMIF(BI758:BI769,$BX762,BU758:BU769),SUMIF(BI758:BI769,$BX762,BP758:BP769))=0,NA(),IF(CB762=CB770,SUMIF(BI758:BI769,$BX762,BU758:BU769),SUMIF(BI758:BI769,$BX762,BP758:BP769)))</f>
        <v>#N/A</v>
      </c>
      <c r="CA762" s="694" t="e">
        <f>IF(IF(CB762=CB770,SUMIF(BI758:BI769,$BX762,BS758:BS769),SUMIF(BI758:BI769,$BX762,BN758:BN769))=0,NA(),IF(CB762=CB770,SUMIF(BI758:BI769,$BX762,BS758:BS769),SUMIF(BI758:BI769,$BX762,BN758:BN769)))</f>
        <v>#N/A</v>
      </c>
      <c r="CB762" s="645">
        <f t="shared" si="231"/>
        <v>23</v>
      </c>
      <c r="CC762" s="645">
        <f t="shared" ref="CC762:CC768" si="232">IF(CC763-1&lt;1,CC763+11,CC763-1)</f>
        <v>2</v>
      </c>
    </row>
    <row r="763" spans="61:81" ht="15" customHeight="1">
      <c r="BI763" s="638" t="s">
        <v>326</v>
      </c>
      <c r="BJ763" s="638">
        <v>6</v>
      </c>
      <c r="BK763" s="638" t="s">
        <v>324</v>
      </c>
      <c r="BL763" s="865">
        <v>2.6967592592592594E-3</v>
      </c>
      <c r="BM763" s="859">
        <v>1.292</v>
      </c>
      <c r="BN763" s="867"/>
      <c r="BO763" s="852"/>
      <c r="BP763" s="851"/>
      <c r="BQ763" s="865"/>
      <c r="BR763" s="859"/>
      <c r="BS763" s="867"/>
      <c r="BT763" s="852"/>
      <c r="BU763" s="851"/>
      <c r="BW763" s="37"/>
      <c r="BX763" s="642" t="str">
        <f t="shared" si="230"/>
        <v>Mar</v>
      </c>
      <c r="BY763" s="643">
        <f>IF(CB763=$CB770,SUMIF($BI758:$BI769,$BX763,$BR758:$BR769),SUMIF($BI758:$BI769,$BX763,$BM758:$BM769))</f>
        <v>1.292</v>
      </c>
      <c r="BZ763" s="693" t="e">
        <f>IF(IF(CB763=CB770,SUMIF(BI758:BI769,$BX763,BU758:BU769),SUMIF(BI758:BI769,$BX763,BP758:BP769))=0,NA(),IF(CB763=CB770,SUMIF(BI758:BI769,$BX763,BU758:BU769),SUMIF(BI758:BI769,$BX763,BP758:BP769)))</f>
        <v>#N/A</v>
      </c>
      <c r="CA763" s="694" t="e">
        <f>IF(IF(CB763=CB770,SUMIF(BI758:BI769,$BX763,BS758:BS769),SUMIF(BI758:BI769,$BX763,BN758:BN769))=0,NA(),IF(CB763=CB770,SUMIF(BI758:BI769,$BX763,BS758:BS769),SUMIF(BI758:BI769,$BX763,BN758:BN769)))</f>
        <v>#N/A</v>
      </c>
      <c r="CB763" s="645">
        <f t="shared" si="231"/>
        <v>23</v>
      </c>
      <c r="CC763" s="645">
        <f t="shared" si="232"/>
        <v>3</v>
      </c>
    </row>
    <row r="764" spans="61:81" ht="15" customHeight="1">
      <c r="BI764" s="638" t="s">
        <v>327</v>
      </c>
      <c r="BJ764" s="638">
        <v>7</v>
      </c>
      <c r="BK764" s="638" t="s">
        <v>328</v>
      </c>
      <c r="BL764" s="865">
        <v>1.7824074074074072E-3</v>
      </c>
      <c r="BM764" s="859">
        <v>1.002</v>
      </c>
      <c r="BN764" s="867"/>
      <c r="BO764" s="849">
        <f>IF(SUM(BM764:BM766=0),0,SUM(BL764:BL766)/SUM(BM764:BM766))</f>
        <v>1.6824627699559131E-3</v>
      </c>
      <c r="BP764" s="851"/>
      <c r="BQ764" s="865"/>
      <c r="BR764" s="859"/>
      <c r="BS764" s="867"/>
      <c r="BT764" s="849">
        <f>IF(SUM(BR764:BR766=0),0,SUM(BQ764:BQ766)/SUM(BR764:BR766))</f>
        <v>0</v>
      </c>
      <c r="BU764" s="851"/>
      <c r="BW764" s="37"/>
      <c r="BX764" s="642" t="str">
        <f t="shared" si="230"/>
        <v>Apr</v>
      </c>
      <c r="BY764" s="643">
        <f>IF(CB764=$CB770,SUMIF($BI758:$BI769,$BX764,$BR758:$BR769),SUMIF($BI758:$BI769,$BX764,$BM758:$BM769))</f>
        <v>1.002</v>
      </c>
      <c r="BZ764" s="693" t="e">
        <f>IF(IF(CB764=CB770,SUMIF(BI758:BI769,$BX764,BU758:BU769),SUMIF(BI758:BI769,$BX764,BP758:BP769))=0,NA(),IF(CB764=CB770,SUMIF(BI758:BI769,$BX764,BU758:BU769),SUMIF(BI758:BI769,$BX764,BP758:BP769)))</f>
        <v>#N/A</v>
      </c>
      <c r="CA764" s="694" t="e">
        <f>IF(IF(CB764=CB770,SUMIF(BI758:BI769,$BX764,BS758:BS769),SUMIF(BI758:BI769,$BX764,BN758:BN769))=0,NA(),IF(CB764=CB770,SUMIF(BI758:BI769,$BX764,BS758:BS769),SUMIF(BI758:BI769,$BX764,BN758:BN769)))</f>
        <v>#N/A</v>
      </c>
      <c r="CB764" s="645">
        <f t="shared" si="231"/>
        <v>23</v>
      </c>
      <c r="CC764" s="645">
        <f t="shared" si="232"/>
        <v>4</v>
      </c>
    </row>
    <row r="765" spans="61:81" ht="15" customHeight="1">
      <c r="BI765" s="638" t="s">
        <v>329</v>
      </c>
      <c r="BJ765" s="638">
        <v>8</v>
      </c>
      <c r="BK765" s="638" t="s">
        <v>328</v>
      </c>
      <c r="BL765" s="865">
        <v>1.712962962962963E-3</v>
      </c>
      <c r="BM765" s="859">
        <v>0.70599999999999996</v>
      </c>
      <c r="BN765" s="867"/>
      <c r="BO765" s="852"/>
      <c r="BP765" s="851"/>
      <c r="BQ765" s="865"/>
      <c r="BR765" s="859"/>
      <c r="BS765" s="867"/>
      <c r="BT765" s="852"/>
      <c r="BU765" s="851"/>
      <c r="BW765" s="37"/>
      <c r="BX765" s="642" t="str">
        <f t="shared" si="230"/>
        <v>May</v>
      </c>
      <c r="BY765" s="643">
        <f>IF(CB765=$CB770,SUMIF($BI758:$BI769,$BX765,$BR758:$BR769),SUMIF($BI758:$BI769,$BX765,$BM758:$BM769))</f>
        <v>0.70599999999999996</v>
      </c>
      <c r="BZ765" s="693" t="e">
        <f>IF(IF(CB765=CB770,SUMIF(BI758:BI769,$BX765,BU758:BU769),SUMIF(BI758:BI769,$BX765,BP758:BP769))=0,NA(),IF(CB765=CB770,SUMIF(BI758:BI769,$BX765,BU758:BU769),SUMIF(BI758:BI769,$BX765,BP758:BP769)))</f>
        <v>#N/A</v>
      </c>
      <c r="CA765" s="694" t="e">
        <f>IF(IF(CB765=CB770,SUMIF(BI758:BI769,$BX765,BS758:BS769),SUMIF(BI758:BI769,$BX765,BN758:BN769))=0,NA(),IF(CB765=CB770,SUMIF(BI758:BI769,$BX765,BS758:BS769),SUMIF(BI758:BI769,$BX765,BN758:BN769)))</f>
        <v>#N/A</v>
      </c>
      <c r="CB765" s="645">
        <f t="shared" si="231"/>
        <v>23</v>
      </c>
      <c r="CC765" s="645">
        <f t="shared" si="232"/>
        <v>5</v>
      </c>
    </row>
    <row r="766" spans="61:81" ht="15" customHeight="1">
      <c r="BI766" s="638" t="s">
        <v>331</v>
      </c>
      <c r="BJ766" s="638">
        <v>9</v>
      </c>
      <c r="BK766" s="638" t="s">
        <v>328</v>
      </c>
      <c r="BL766" s="865">
        <v>2.6388888888888885E-3</v>
      </c>
      <c r="BM766" s="859">
        <v>1.9379999999999999</v>
      </c>
      <c r="BN766" s="867"/>
      <c r="BO766" s="852"/>
      <c r="BP766" s="851"/>
      <c r="BQ766" s="865"/>
      <c r="BR766" s="859"/>
      <c r="BS766" s="867"/>
      <c r="BT766" s="852"/>
      <c r="BU766" s="851"/>
      <c r="BW766" s="37"/>
      <c r="BX766" s="642" t="str">
        <f t="shared" si="230"/>
        <v>Jun</v>
      </c>
      <c r="BY766" s="643">
        <f>IF(CB766=$CB770,SUMIF($BI758:$BI769,$BX766,$BR758:$BR769),SUMIF($BI758:$BI769,$BX766,$BM758:$BM769))</f>
        <v>1.9379999999999999</v>
      </c>
      <c r="BZ766" s="693" t="e">
        <f>IF(IF(CB766=CB770,SUMIF(BI758:BI769,$BX766,BU758:BU769),SUMIF(BI758:BI769,$BX766,BP758:BP769))=0,NA(),IF(CB766=CB770,SUMIF(BI758:BI769,$BX766,BU758:BU769),SUMIF(BI758:BI769,$BX766,BP758:BP769)))</f>
        <v>#N/A</v>
      </c>
      <c r="CA766" s="694" t="e">
        <f>IF(IF(CB766=CB770,SUMIF(BI758:BI769,$BX766,BS758:BS769),SUMIF(BI758:BI769,$BX766,BN758:BN769))=0,NA(),IF(CB766=CB770,SUMIF(BI758:BI769,$BX766,BS758:BS769),SUMIF(BI758:BI769,$BX766,BN758:BN769)))</f>
        <v>#N/A</v>
      </c>
      <c r="CB766" s="645">
        <f t="shared" si="231"/>
        <v>23</v>
      </c>
      <c r="CC766" s="645">
        <f t="shared" si="232"/>
        <v>6</v>
      </c>
    </row>
    <row r="767" spans="61:81" ht="15" customHeight="1">
      <c r="BI767" s="638" t="s">
        <v>337</v>
      </c>
      <c r="BJ767" s="638">
        <v>10</v>
      </c>
      <c r="BK767" s="638" t="s">
        <v>338</v>
      </c>
      <c r="BL767" s="865">
        <v>2.3611111111111111E-3</v>
      </c>
      <c r="BM767" s="859">
        <v>1.62</v>
      </c>
      <c r="BN767" s="867"/>
      <c r="BO767" s="849">
        <f>IF(SUM(BM767:BM769=0),0,SUM(BL767:BL769)/SUM(BM767:BM769))</f>
        <v>1.4438054837197347E-3</v>
      </c>
      <c r="BP767" s="851"/>
      <c r="BQ767" s="865"/>
      <c r="BR767" s="859"/>
      <c r="BS767" s="867"/>
      <c r="BT767" s="849">
        <f>IF(SUM(BR767:BR769=0),0,SUM(BQ767:BQ769)/SUM(BR767:BR769))</f>
        <v>0</v>
      </c>
      <c r="BU767" s="851"/>
      <c r="BW767" s="37"/>
      <c r="BX767" s="642" t="str">
        <f t="shared" si="230"/>
        <v>Jul</v>
      </c>
      <c r="BY767" s="643">
        <f>IF(CB767=$CB770,SUMIF($BI758:$BI769,$BX767,$BR758:$BR769),SUMIF($BI758:$BI769,$BX767,$BM758:$BM769))</f>
        <v>1.62</v>
      </c>
      <c r="BZ767" s="693" t="e">
        <f>IF(IF(CB767=CB770,SUMIF(BI758:BI769,$BX767,BU758:BU769),SUMIF(BI758:BI769,$BX767,BP758:BP769))=0,NA(),IF(CB767=CB770,SUMIF(BI758:BI769,$BX767,BU758:BU769),SUMIF(BI758:BI769,$BX767,BP758:BP769)))</f>
        <v>#N/A</v>
      </c>
      <c r="CA767" s="694" t="e">
        <f>IF(IF(CB767=CB770,SUMIF(BI758:BI769,$BX767,BS758:BS769),SUMIF(BI758:BI769,$BX767,BN758:BN769))=0,NA(),IF(CB767=CB770,SUMIF(BI758:BI769,$BX767,BS758:BS769),SUMIF(BI758:BI769,$BX767,BN758:BN769)))</f>
        <v>#N/A</v>
      </c>
      <c r="CB767" s="645">
        <f t="shared" si="231"/>
        <v>23</v>
      </c>
      <c r="CC767" s="645">
        <f t="shared" si="232"/>
        <v>7</v>
      </c>
    </row>
    <row r="768" spans="61:81" ht="15" customHeight="1">
      <c r="BI768" s="638" t="s">
        <v>343</v>
      </c>
      <c r="BJ768" s="638">
        <v>11</v>
      </c>
      <c r="BK768" s="638" t="s">
        <v>338</v>
      </c>
      <c r="BL768" s="865">
        <v>1.9791666666666668E-3</v>
      </c>
      <c r="BM768" s="859">
        <v>1.05</v>
      </c>
      <c r="BN768" s="867"/>
      <c r="BO768" s="852"/>
      <c r="BP768" s="851"/>
      <c r="BQ768" s="865"/>
      <c r="BR768" s="859"/>
      <c r="BS768" s="867"/>
      <c r="BT768" s="852"/>
      <c r="BU768" s="851"/>
      <c r="BW768" s="37"/>
      <c r="BX768" s="642" t="str">
        <f t="shared" si="230"/>
        <v>Aug</v>
      </c>
      <c r="BY768" s="643">
        <f>IF(CB768=$CB770,SUMIF($BI758:$BI769,$BX768,$BR758:$BR769),SUMIF($BI758:$BI769,$BX768,$BM758:$BM769))</f>
        <v>1.05</v>
      </c>
      <c r="BZ768" s="693" t="e">
        <f>IF(IF(CB768=CB770,SUMIF(BI758:BI769,$BX768,BU758:BU769),SUMIF(BI758:BI769,$BX768,BP758:BP769))=0,NA(),IF(CB768=CB770,SUMIF(BI758:BI769,$BX768,BU758:BU769),SUMIF(BI758:BI769,$BX768,BP758:BP769)))</f>
        <v>#N/A</v>
      </c>
      <c r="CA768" s="694" t="e">
        <f>IF(IF(CB768=CB770,SUMIF(BI758:BI769,$BX768,BS758:BS769),SUMIF(BI758:BI769,$BX768,BN758:BN769))=0,NA(),IF(CB768=CB770,SUMIF(BI758:BI769,$BX768,BS758:BS769),SUMIF(BI758:BI769,$BX768,BN758:BN769)))</f>
        <v>#N/A</v>
      </c>
      <c r="CB768" s="645">
        <f t="shared" si="231"/>
        <v>23</v>
      </c>
      <c r="CC768" s="645">
        <f t="shared" si="232"/>
        <v>8</v>
      </c>
    </row>
    <row r="769" spans="61:97" ht="15" customHeight="1">
      <c r="BI769" s="638" t="s">
        <v>344</v>
      </c>
      <c r="BJ769" s="638">
        <v>12</v>
      </c>
      <c r="BK769" s="638" t="s">
        <v>338</v>
      </c>
      <c r="BL769" s="865">
        <v>2.7314814814814819E-3</v>
      </c>
      <c r="BM769" s="859">
        <v>2.2280000000000002</v>
      </c>
      <c r="BN769" s="867"/>
      <c r="BO769" s="852"/>
      <c r="BP769" s="851"/>
      <c r="BQ769" s="865"/>
      <c r="BR769" s="859"/>
      <c r="BS769" s="867"/>
      <c r="BT769" s="852"/>
      <c r="BU769" s="851"/>
      <c r="BW769" s="37"/>
      <c r="BX769" s="642" t="str">
        <f t="shared" si="230"/>
        <v>Sep</v>
      </c>
      <c r="BY769" s="643">
        <f>IF(CB769=$CB770,SUMIF($BI758:$BI769,$BX769,$BR758:$BR769),SUMIF($BI758:$BI769,$BX769,$BM758:$BM769))</f>
        <v>2.2280000000000002</v>
      </c>
      <c r="BZ769" s="693" t="e">
        <f>IF(IF(CB769=CB770,SUMIF(BI758:BI769,$BX769,BU758:BU769),SUMIF(BI758:BI769,$BX769,BP758:BP769))=0,NA(),IF(CB769=CB770,SUMIF(BI758:BI769,$BX769,BU758:BU769),SUMIF(BI758:BI769,$BX769,BP758:BP769)))</f>
        <v>#N/A</v>
      </c>
      <c r="CA769" s="694" t="e">
        <f>IF(IF(CB769=CB770,SUMIF(BI758:BI769,$BX769,BS758:BS769),SUMIF(BI758:BI769,$BX769,BN758:BN769))=0,NA(),IF(CB769=CB770,SUMIF(BI758:BI769,$BX769,BS758:BS769),SUMIF(BI758:BI769,$BX769,BN758:BN769)))</f>
        <v>#N/A</v>
      </c>
      <c r="CB769" s="645">
        <f t="shared" si="231"/>
        <v>23</v>
      </c>
      <c r="CC769" s="645">
        <f>IF(CC770-1&lt;1,CC770+11,CC770-1)</f>
        <v>9</v>
      </c>
    </row>
    <row r="770" spans="61:97" ht="15" customHeight="1">
      <c r="BJ770" s="277"/>
      <c r="BK770" s="277"/>
      <c r="BL770" s="277"/>
      <c r="BM770" s="277"/>
      <c r="BN770" s="277"/>
      <c r="BO770" s="277"/>
      <c r="BP770" s="277"/>
      <c r="BQ770" s="277"/>
      <c r="BR770" s="277"/>
      <c r="BS770" s="277"/>
      <c r="BT770" s="277"/>
      <c r="BW770" s="647" t="str">
        <f>Cover!$M$34</f>
        <v>OCT FY-24</v>
      </c>
      <c r="BX770" s="642" t="str">
        <f>TEXT(CONCATENATE(CC770,"/01/20",CB770),"MMM")</f>
        <v>Oct</v>
      </c>
      <c r="BY770" s="643">
        <f>SUMIF($BI758:$BI769,$BX770,$BR758:$BR769)</f>
        <v>1.7669999999999999</v>
      </c>
      <c r="BZ770" s="693" t="e">
        <f>IF(IF(CB770=CB770,SUMIF(BI758:BI769,$BX770,BU758:BU769),SUMIF(BI758:BI769,$BX770,BP758:BP769))=0,NA(),IF(CB770=CB770,SUMIF(BI758:BI769,$BX770,BU758:BU769),SUMIF(BI758:BI769,$BX770,BP758:BP769)))</f>
        <v>#N/A</v>
      </c>
      <c r="CA770" s="694" t="e">
        <f>IF(SUMIF($BI758:$BI769,$BX770,$BS758:$BS769)=0,NA(),SUMIF($BI758:$BI769,$BX770,$BS758:$BS769))</f>
        <v>#N/A</v>
      </c>
      <c r="CB770" s="645">
        <f t="shared" si="231"/>
        <v>24</v>
      </c>
      <c r="CC770" s="645">
        <f>MONTH(DATEVALUE(LEFT(BW770,3)&amp;" 1"))</f>
        <v>10</v>
      </c>
    </row>
    <row r="772" spans="61:97" ht="15" customHeight="1">
      <c r="BI772" s="54" t="s">
        <v>292</v>
      </c>
      <c r="BJ772" s="892" t="s">
        <v>479</v>
      </c>
      <c r="BK772" s="892"/>
      <c r="BL772" s="892"/>
      <c r="BM772" s="892"/>
      <c r="BN772" s="892"/>
      <c r="BO772" s="892"/>
      <c r="BP772" s="892"/>
      <c r="BQ772" s="892"/>
      <c r="BR772" s="892"/>
      <c r="BS772" s="892"/>
      <c r="BT772" s="892"/>
      <c r="BU772" s="892"/>
    </row>
    <row r="773" spans="61:97" ht="15" customHeight="1">
      <c r="BI773" s="54" t="s">
        <v>296</v>
      </c>
      <c r="BJ773" s="894" t="s">
        <v>480</v>
      </c>
      <c r="BK773" s="894"/>
      <c r="BL773" s="894"/>
      <c r="BM773" s="894"/>
      <c r="BN773" s="894"/>
      <c r="BO773" s="894"/>
      <c r="BP773" s="894"/>
      <c r="BQ773" s="894"/>
      <c r="BR773" s="894"/>
      <c r="BS773" s="894"/>
      <c r="BT773" s="894"/>
      <c r="BU773" s="894"/>
    </row>
    <row r="774" spans="61:97" ht="15" customHeight="1" thickBot="1">
      <c r="BI774" s="54" t="s">
        <v>300</v>
      </c>
      <c r="BJ774" s="893" t="s">
        <v>481</v>
      </c>
      <c r="BK774" s="893"/>
      <c r="BL774" s="893"/>
      <c r="BM774" s="893"/>
      <c r="BN774" s="893"/>
      <c r="BO774" s="893"/>
      <c r="BP774" s="893"/>
      <c r="BQ774" s="893"/>
      <c r="BR774" s="893"/>
      <c r="BS774" s="893"/>
      <c r="BT774" s="893"/>
      <c r="BU774" s="893"/>
    </row>
    <row r="775" spans="61:97" ht="15" customHeight="1" thickBot="1">
      <c r="BI775" s="1402" t="s">
        <v>456</v>
      </c>
      <c r="BJ775" s="1403"/>
      <c r="BK775" s="1404"/>
      <c r="BL775" s="1402" t="s">
        <v>302</v>
      </c>
      <c r="BM775" s="1403"/>
      <c r="BN775" s="1403"/>
      <c r="BO775" s="1403"/>
      <c r="BP775" s="1403"/>
      <c r="BQ775" s="1403"/>
      <c r="BR775" s="1403"/>
      <c r="BS775" s="1403"/>
      <c r="BT775" s="1403"/>
      <c r="BU775" s="1404"/>
      <c r="BV775" s="1402" t="s">
        <v>719</v>
      </c>
      <c r="BW775" s="1403"/>
      <c r="BX775" s="1403"/>
      <c r="BY775" s="1403"/>
      <c r="BZ775" s="1403"/>
      <c r="CA775" s="1403"/>
      <c r="CB775" s="1403"/>
      <c r="CC775" s="1403"/>
      <c r="CD775" s="1403"/>
      <c r="CE775" s="1404"/>
      <c r="CG775" s="1399" t="s">
        <v>303</v>
      </c>
      <c r="CH775" s="1400"/>
      <c r="CI775" s="1400"/>
      <c r="CJ775" s="1400"/>
      <c r="CK775" s="1400"/>
      <c r="CL775" s="1400"/>
      <c r="CM775" s="1400"/>
      <c r="CN775" s="1400"/>
      <c r="CO775" s="1400"/>
      <c r="CP775" s="1400"/>
      <c r="CQ775" s="1400"/>
      <c r="CR775" s="1400"/>
      <c r="CS775" s="1401"/>
    </row>
    <row r="776" spans="61:97" ht="15" customHeight="1">
      <c r="BI776" s="636" t="s">
        <v>23</v>
      </c>
      <c r="BJ776" s="636" t="s">
        <v>37</v>
      </c>
      <c r="BK776" s="636" t="s">
        <v>304</v>
      </c>
      <c r="BL776" s="586" t="s">
        <v>451</v>
      </c>
      <c r="BM776" s="586" t="s">
        <v>452</v>
      </c>
      <c r="BN776" s="586" t="s">
        <v>453</v>
      </c>
      <c r="BO776" s="586" t="s">
        <v>454</v>
      </c>
      <c r="BP776" s="586" t="s">
        <v>482</v>
      </c>
      <c r="BQ776" s="586" t="s">
        <v>483</v>
      </c>
      <c r="BR776" s="586" t="s">
        <v>457</v>
      </c>
      <c r="BS776" s="586" t="s">
        <v>311</v>
      </c>
      <c r="BT776" s="278" t="s">
        <v>312</v>
      </c>
      <c r="BU776" s="586" t="s">
        <v>313</v>
      </c>
      <c r="BV776" s="586" t="s">
        <v>451</v>
      </c>
      <c r="BW776" s="586" t="s">
        <v>452</v>
      </c>
      <c r="BX776" s="586" t="s">
        <v>453</v>
      </c>
      <c r="BY776" s="586" t="s">
        <v>454</v>
      </c>
      <c r="BZ776" s="586" t="s">
        <v>482</v>
      </c>
      <c r="CA776" s="586" t="s">
        <v>483</v>
      </c>
      <c r="CB776" s="586" t="s">
        <v>457</v>
      </c>
      <c r="CC776" s="586" t="s">
        <v>716</v>
      </c>
      <c r="CD776" s="278" t="s">
        <v>717</v>
      </c>
      <c r="CE776" s="586" t="s">
        <v>718</v>
      </c>
      <c r="CG776" s="279" t="s">
        <v>314</v>
      </c>
      <c r="CH776" s="279" t="s">
        <v>23</v>
      </c>
      <c r="CI776" s="586" t="s">
        <v>451</v>
      </c>
      <c r="CJ776" s="586" t="s">
        <v>452</v>
      </c>
      <c r="CK776" s="586" t="s">
        <v>453</v>
      </c>
      <c r="CL776" s="586" t="s">
        <v>454</v>
      </c>
      <c r="CM776" s="586" t="s">
        <v>482</v>
      </c>
      <c r="CN776" s="586" t="s">
        <v>483</v>
      </c>
      <c r="CO776" s="586" t="s">
        <v>457</v>
      </c>
      <c r="CP776" s="279" t="s">
        <v>316</v>
      </c>
      <c r="CQ776" s="279" t="s">
        <v>317</v>
      </c>
      <c r="CR776" s="279" t="s">
        <v>318</v>
      </c>
    </row>
    <row r="777" spans="61:97" ht="15" customHeight="1">
      <c r="BI777" s="638" t="s">
        <v>319</v>
      </c>
      <c r="BJ777" s="638">
        <v>1</v>
      </c>
      <c r="BK777" s="638" t="s">
        <v>320</v>
      </c>
      <c r="BL777" s="651">
        <v>2954</v>
      </c>
      <c r="BM777" s="651">
        <v>229</v>
      </c>
      <c r="BN777" s="650">
        <v>271</v>
      </c>
      <c r="BO777" s="650">
        <v>126</v>
      </c>
      <c r="BP777" s="650">
        <v>129</v>
      </c>
      <c r="BQ777" s="650">
        <v>1125</v>
      </c>
      <c r="BR777" s="651">
        <v>5963</v>
      </c>
      <c r="BS777" s="701">
        <f>IFERROR(SUM(BL777:BR777),"")</f>
        <v>10797</v>
      </c>
      <c r="BT777" s="562">
        <f>IF(SUM(BS777:BS779=0),0,SUM(BS777:BS779))</f>
        <v>38973</v>
      </c>
      <c r="BU777" s="657"/>
      <c r="BV777" s="651">
        <v>2269</v>
      </c>
      <c r="BW777" s="651">
        <v>99</v>
      </c>
      <c r="BX777" s="648">
        <v>80</v>
      </c>
      <c r="BY777" s="648">
        <v>464</v>
      </c>
      <c r="BZ777" s="648">
        <v>268</v>
      </c>
      <c r="CA777" s="648">
        <v>813</v>
      </c>
      <c r="CB777" s="651">
        <v>10065</v>
      </c>
      <c r="CC777" s="701">
        <f>IFERROR(SUM(BV777:CB777),"")</f>
        <v>14058</v>
      </c>
      <c r="CD777" s="562">
        <f>IF(SUM(CC777:CC779=0),0,SUM(CC777:CC779))</f>
        <v>14058</v>
      </c>
      <c r="CE777" s="657"/>
      <c r="CH777" s="666" t="str">
        <f t="shared" ref="CH777:CH789" si="233">TEXT(CONCATENATE(CR777,"/01/20",CQ777),"MMM")</f>
        <v>Oct</v>
      </c>
      <c r="CI777" s="928">
        <f>IF(IF($CQ$777=$CQ$789,SUMIF($BI$777:$BI$788,$CH$777,BU777:BU788),SUMIF($BI$777:$BI$788,$CH$777,BL777:BL788))=0,NA(),IF($CQ$777=$CQ$789,SUMIF($BI$777:$BI$788,$CH$777,BU777:BU788),SUMIF($BI$777:$BI$788,$CH$777,BL777:BL788)))</f>
        <v>2954</v>
      </c>
      <c r="CJ777" s="928">
        <f t="shared" ref="CJ777:CP788" si="234">IF(IF($CQ$777=$CQ$789,SUMIF($BI$777:$BI$788,$CH$777,BV777:BV788),SUMIF($BI$777:$BI$788,$CH$777,BM777:BM788))=0,NA(),IF($CQ$777=$CQ$789,SUMIF($BI$777:$BI$788,$CH$777,BV777:BV788),SUMIF($BI$777:$BI$788,$CH$777,BM777:BM788)))</f>
        <v>229</v>
      </c>
      <c r="CK777" s="928">
        <f t="shared" si="234"/>
        <v>271</v>
      </c>
      <c r="CL777" s="928">
        <f t="shared" si="234"/>
        <v>126</v>
      </c>
      <c r="CM777" s="928">
        <f t="shared" si="234"/>
        <v>129</v>
      </c>
      <c r="CN777" s="928">
        <f t="shared" si="234"/>
        <v>1125</v>
      </c>
      <c r="CO777" s="928">
        <f t="shared" si="234"/>
        <v>5963</v>
      </c>
      <c r="CP777" s="928">
        <f>IF(IF($CQ$777=$CQ$789,SUMIF($BI$777:$BI$788,$CH$777,CB777:CB788),SUMIF($BI$777:$BI$788,$CH$777,BS777:BS788))=0,NA(),IF($CQ$777=$CQ$789,SUMIF($BI$777:$BI$788,$CH$777,CB777:CB788),SUMIF($BI$777:$BI$788,$CH$777,BS777:BS788)))</f>
        <v>10797</v>
      </c>
      <c r="CQ777" s="645">
        <f>CB758</f>
        <v>23</v>
      </c>
      <c r="CR777" s="645">
        <f>IF(CR778-1&lt;1,CR778+11,CR778-1)</f>
        <v>10</v>
      </c>
    </row>
    <row r="778" spans="61:97" ht="15" customHeight="1">
      <c r="BI778" s="638" t="s">
        <v>321</v>
      </c>
      <c r="BJ778" s="638">
        <v>2</v>
      </c>
      <c r="BK778" s="638" t="s">
        <v>320</v>
      </c>
      <c r="BL778" s="651">
        <v>1952</v>
      </c>
      <c r="BM778" s="651">
        <v>190</v>
      </c>
      <c r="BN778" s="651">
        <v>187</v>
      </c>
      <c r="BO778" s="651">
        <v>606</v>
      </c>
      <c r="BP778" s="651">
        <v>367</v>
      </c>
      <c r="BQ778" s="650">
        <v>1356</v>
      </c>
      <c r="BR778" s="651">
        <v>6745</v>
      </c>
      <c r="BS778" s="701">
        <f t="shared" ref="BS778:BS788" si="235">IFERROR(SUM(BL778:BR778),"")</f>
        <v>11403</v>
      </c>
      <c r="BT778" s="563"/>
      <c r="BU778" s="657"/>
      <c r="BV778" s="651"/>
      <c r="BW778" s="651"/>
      <c r="BX778" s="652"/>
      <c r="BY778" s="652"/>
      <c r="BZ778" s="652"/>
      <c r="CA778" s="648"/>
      <c r="CB778" s="651"/>
      <c r="CC778" s="701">
        <f t="shared" ref="CC778:CC788" si="236">IFERROR(SUM(BV778:CB778),"")</f>
        <v>0</v>
      </c>
      <c r="CD778" s="563"/>
      <c r="CE778" s="657"/>
      <c r="CH778" s="666" t="str">
        <f t="shared" si="233"/>
        <v>Nov</v>
      </c>
      <c r="CI778" s="928">
        <f t="shared" ref="CI778:CI788" si="237">IF(IF($CQ$777=$CQ$789,SUMIF($BI$777:$BI$788,$CH$777,BU778:BU789),SUMIF($BI$777:$BI$788,$CH$777,BL778:BL789))=0,NA(),IF($CQ$777=$CQ$789,SUMIF($BI$777:$BI$788,$CH$777,BU778:BU789),SUMIF($BI$777:$BI$788,$CH$777,BL778:BL789)))</f>
        <v>1952</v>
      </c>
      <c r="CJ778" s="928">
        <f t="shared" si="234"/>
        <v>190</v>
      </c>
      <c r="CK778" s="928">
        <f t="shared" si="234"/>
        <v>187</v>
      </c>
      <c r="CL778" s="928">
        <f t="shared" si="234"/>
        <v>606</v>
      </c>
      <c r="CM778" s="928">
        <f t="shared" si="234"/>
        <v>367</v>
      </c>
      <c r="CN778" s="928">
        <f t="shared" si="234"/>
        <v>1356</v>
      </c>
      <c r="CO778" s="928">
        <f t="shared" si="234"/>
        <v>6745</v>
      </c>
      <c r="CP778" s="928">
        <f t="shared" si="234"/>
        <v>11403</v>
      </c>
      <c r="CQ778" s="645">
        <f>CB759</f>
        <v>23</v>
      </c>
      <c r="CR778" s="645">
        <f t="shared" ref="CR778:CR788" si="238">IF(CR779-1&lt;1,CR779+11,CR779-1)</f>
        <v>11</v>
      </c>
    </row>
    <row r="779" spans="61:97" ht="15" customHeight="1">
      <c r="BI779" s="638" t="s">
        <v>322</v>
      </c>
      <c r="BJ779" s="638">
        <v>3</v>
      </c>
      <c r="BK779" s="638" t="s">
        <v>320</v>
      </c>
      <c r="BL779" s="651">
        <v>2787</v>
      </c>
      <c r="BM779" s="651">
        <v>314</v>
      </c>
      <c r="BN779" s="651">
        <v>170</v>
      </c>
      <c r="BO779" s="651">
        <v>1365</v>
      </c>
      <c r="BP779" s="651">
        <v>1204</v>
      </c>
      <c r="BQ779" s="650">
        <v>1794</v>
      </c>
      <c r="BR779" s="651">
        <v>9139</v>
      </c>
      <c r="BS779" s="701">
        <f t="shared" si="235"/>
        <v>16773</v>
      </c>
      <c r="BT779" s="563"/>
      <c r="BU779" s="657"/>
      <c r="BV779" s="651"/>
      <c r="BW779" s="651"/>
      <c r="BX779" s="652"/>
      <c r="BY779" s="652"/>
      <c r="BZ779" s="652"/>
      <c r="CA779" s="648"/>
      <c r="CB779" s="651"/>
      <c r="CC779" s="701">
        <f t="shared" si="236"/>
        <v>0</v>
      </c>
      <c r="CD779" s="563"/>
      <c r="CE779" s="657"/>
      <c r="CH779" s="666" t="str">
        <f t="shared" si="233"/>
        <v>Dec</v>
      </c>
      <c r="CI779" s="928">
        <f t="shared" si="237"/>
        <v>2787</v>
      </c>
      <c r="CJ779" s="928">
        <f t="shared" si="234"/>
        <v>314</v>
      </c>
      <c r="CK779" s="928">
        <f t="shared" si="234"/>
        <v>170</v>
      </c>
      <c r="CL779" s="928">
        <f t="shared" si="234"/>
        <v>1365</v>
      </c>
      <c r="CM779" s="928">
        <f t="shared" si="234"/>
        <v>1204</v>
      </c>
      <c r="CN779" s="928">
        <f t="shared" si="234"/>
        <v>1794</v>
      </c>
      <c r="CO779" s="928">
        <f t="shared" si="234"/>
        <v>9139</v>
      </c>
      <c r="CP779" s="928">
        <f t="shared" si="234"/>
        <v>16773</v>
      </c>
      <c r="CQ779" s="645">
        <f>CB760</f>
        <v>23</v>
      </c>
      <c r="CR779" s="645">
        <f t="shared" si="238"/>
        <v>12</v>
      </c>
    </row>
    <row r="780" spans="61:97" ht="15" customHeight="1">
      <c r="BI780" s="638" t="s">
        <v>323</v>
      </c>
      <c r="BJ780" s="638">
        <v>4</v>
      </c>
      <c r="BK780" s="638" t="s">
        <v>324</v>
      </c>
      <c r="BL780" s="651">
        <v>2544</v>
      </c>
      <c r="BM780" s="651">
        <v>213</v>
      </c>
      <c r="BN780" s="651">
        <v>139</v>
      </c>
      <c r="BO780" s="651">
        <v>1009</v>
      </c>
      <c r="BP780" s="651">
        <v>498</v>
      </c>
      <c r="BQ780" s="650">
        <v>1281</v>
      </c>
      <c r="BR780" s="651">
        <v>6658</v>
      </c>
      <c r="BS780" s="701">
        <f t="shared" si="235"/>
        <v>12342</v>
      </c>
      <c r="BT780" s="562">
        <f>IF(SUM(BS780:BS782=0),0,SUM(BS780:BS782))</f>
        <v>44373</v>
      </c>
      <c r="BU780" s="657"/>
      <c r="BV780" s="651"/>
      <c r="BW780" s="651"/>
      <c r="BX780" s="652"/>
      <c r="BY780" s="652"/>
      <c r="BZ780" s="652"/>
      <c r="CA780" s="648"/>
      <c r="CB780" s="651"/>
      <c r="CC780" s="701">
        <f t="shared" si="236"/>
        <v>0</v>
      </c>
      <c r="CD780" s="562">
        <f>IF(SUM(CC780:CC782=0),0,SUM(CC780:CC782))</f>
        <v>0</v>
      </c>
      <c r="CE780" s="657"/>
      <c r="CH780" s="666" t="str">
        <f t="shared" si="233"/>
        <v>Jan</v>
      </c>
      <c r="CI780" s="928">
        <f t="shared" si="237"/>
        <v>2544</v>
      </c>
      <c r="CJ780" s="928">
        <f t="shared" si="234"/>
        <v>213</v>
      </c>
      <c r="CK780" s="928">
        <f t="shared" si="234"/>
        <v>139</v>
      </c>
      <c r="CL780" s="928">
        <f t="shared" si="234"/>
        <v>1009</v>
      </c>
      <c r="CM780" s="928">
        <f t="shared" si="234"/>
        <v>498</v>
      </c>
      <c r="CN780" s="928">
        <f t="shared" si="234"/>
        <v>1281</v>
      </c>
      <c r="CO780" s="928">
        <f t="shared" si="234"/>
        <v>6658</v>
      </c>
      <c r="CP780" s="928">
        <f t="shared" si="234"/>
        <v>12342</v>
      </c>
      <c r="CQ780" s="645">
        <f>CB761</f>
        <v>23</v>
      </c>
      <c r="CR780" s="645">
        <f t="shared" si="238"/>
        <v>1</v>
      </c>
    </row>
    <row r="781" spans="61:97" ht="15" customHeight="1">
      <c r="BI781" s="638" t="s">
        <v>325</v>
      </c>
      <c r="BJ781" s="638">
        <v>5</v>
      </c>
      <c r="BK781" s="638" t="s">
        <v>324</v>
      </c>
      <c r="BL781" s="651">
        <v>2535</v>
      </c>
      <c r="BM781" s="651">
        <v>422</v>
      </c>
      <c r="BN781" s="651">
        <v>106</v>
      </c>
      <c r="BO781" s="651">
        <v>677</v>
      </c>
      <c r="BP781" s="651">
        <v>463</v>
      </c>
      <c r="BQ781" s="650">
        <v>1481</v>
      </c>
      <c r="BR781" s="651">
        <v>7865</v>
      </c>
      <c r="BS781" s="701">
        <f t="shared" si="235"/>
        <v>13549</v>
      </c>
      <c r="BT781" s="563"/>
      <c r="BU781" s="657"/>
      <c r="BV781" s="651"/>
      <c r="BW781" s="651"/>
      <c r="BX781" s="651"/>
      <c r="BY781" s="651"/>
      <c r="BZ781" s="651"/>
      <c r="CA781" s="648"/>
      <c r="CB781" s="651"/>
      <c r="CC781" s="701">
        <f t="shared" si="236"/>
        <v>0</v>
      </c>
      <c r="CD781" s="563"/>
      <c r="CE781" s="657"/>
      <c r="CH781" s="666" t="str">
        <f t="shared" si="233"/>
        <v>Feb</v>
      </c>
      <c r="CI781" s="928">
        <f t="shared" si="237"/>
        <v>2535</v>
      </c>
      <c r="CJ781" s="928">
        <f t="shared" si="234"/>
        <v>422</v>
      </c>
      <c r="CK781" s="928">
        <f t="shared" si="234"/>
        <v>106</v>
      </c>
      <c r="CL781" s="928">
        <f t="shared" si="234"/>
        <v>677</v>
      </c>
      <c r="CM781" s="928">
        <f t="shared" si="234"/>
        <v>463</v>
      </c>
      <c r="CN781" s="928">
        <f t="shared" si="234"/>
        <v>1481</v>
      </c>
      <c r="CO781" s="928">
        <f t="shared" si="234"/>
        <v>7865</v>
      </c>
      <c r="CP781" s="928">
        <f t="shared" si="234"/>
        <v>13549</v>
      </c>
      <c r="CQ781" s="645">
        <f>CB762</f>
        <v>23</v>
      </c>
      <c r="CR781" s="645">
        <f t="shared" si="238"/>
        <v>2</v>
      </c>
    </row>
    <row r="782" spans="61:97" ht="15" customHeight="1">
      <c r="BI782" s="638" t="s">
        <v>326</v>
      </c>
      <c r="BJ782" s="638">
        <v>6</v>
      </c>
      <c r="BK782" s="638" t="s">
        <v>324</v>
      </c>
      <c r="BL782" s="651">
        <v>3309</v>
      </c>
      <c r="BM782" s="651">
        <v>339</v>
      </c>
      <c r="BN782" s="651">
        <v>200</v>
      </c>
      <c r="BO782" s="651">
        <v>1215</v>
      </c>
      <c r="BP782" s="651">
        <v>1053</v>
      </c>
      <c r="BQ782" s="650">
        <v>1191</v>
      </c>
      <c r="BR782" s="651">
        <v>11175</v>
      </c>
      <c r="BS782" s="701">
        <f t="shared" si="235"/>
        <v>18482</v>
      </c>
      <c r="BT782" s="563"/>
      <c r="BU782" s="657"/>
      <c r="BV782" s="651"/>
      <c r="BW782" s="651"/>
      <c r="BX782" s="651"/>
      <c r="BY782" s="651"/>
      <c r="BZ782" s="651"/>
      <c r="CA782" s="648"/>
      <c r="CB782" s="651"/>
      <c r="CC782" s="701">
        <f t="shared" si="236"/>
        <v>0</v>
      </c>
      <c r="CD782" s="563"/>
      <c r="CE782" s="657"/>
      <c r="CH782" s="666" t="str">
        <f t="shared" si="233"/>
        <v>Mar</v>
      </c>
      <c r="CI782" s="928">
        <f t="shared" si="237"/>
        <v>3309</v>
      </c>
      <c r="CJ782" s="928">
        <f t="shared" si="234"/>
        <v>339</v>
      </c>
      <c r="CK782" s="928">
        <f t="shared" si="234"/>
        <v>200</v>
      </c>
      <c r="CL782" s="928">
        <f t="shared" si="234"/>
        <v>1215</v>
      </c>
      <c r="CM782" s="928">
        <f t="shared" si="234"/>
        <v>1053</v>
      </c>
      <c r="CN782" s="928">
        <f t="shared" si="234"/>
        <v>1191</v>
      </c>
      <c r="CO782" s="928">
        <f t="shared" si="234"/>
        <v>11175</v>
      </c>
      <c r="CP782" s="928">
        <f t="shared" si="234"/>
        <v>18482</v>
      </c>
      <c r="CQ782" s="645">
        <f t="shared" ref="CQ782:CQ788" si="239">CB763</f>
        <v>23</v>
      </c>
      <c r="CR782" s="645">
        <f t="shared" si="238"/>
        <v>3</v>
      </c>
    </row>
    <row r="783" spans="61:97" ht="15" customHeight="1">
      <c r="BI783" s="638" t="s">
        <v>327</v>
      </c>
      <c r="BJ783" s="638">
        <v>7</v>
      </c>
      <c r="BK783" s="638" t="s">
        <v>328</v>
      </c>
      <c r="BL783" s="650">
        <v>2370</v>
      </c>
      <c r="BM783" s="650">
        <v>145</v>
      </c>
      <c r="BN783" s="650">
        <v>129</v>
      </c>
      <c r="BO783" s="650">
        <v>608</v>
      </c>
      <c r="BP783" s="650">
        <v>595</v>
      </c>
      <c r="BQ783" s="650">
        <v>806</v>
      </c>
      <c r="BR783" s="651">
        <v>8812</v>
      </c>
      <c r="BS783" s="701">
        <f t="shared" si="235"/>
        <v>13465</v>
      </c>
      <c r="BT783" s="562">
        <f>IF(SUM(BS783:BS785=0),0,SUM(BS783:BS785))</f>
        <v>42751</v>
      </c>
      <c r="BU783" s="657"/>
      <c r="BV783" s="650"/>
      <c r="BW783" s="650"/>
      <c r="BX783" s="650"/>
      <c r="BY783" s="650"/>
      <c r="BZ783" s="650"/>
      <c r="CA783" s="648"/>
      <c r="CB783" s="651"/>
      <c r="CC783" s="701">
        <f t="shared" si="236"/>
        <v>0</v>
      </c>
      <c r="CD783" s="562">
        <f>IF(SUM(CC783:CC785=0),0,SUM(CC783:CC785))</f>
        <v>0</v>
      </c>
      <c r="CE783" s="657"/>
      <c r="CH783" s="666" t="str">
        <f t="shared" si="233"/>
        <v>Apr</v>
      </c>
      <c r="CI783" s="928">
        <f t="shared" si="237"/>
        <v>2370</v>
      </c>
      <c r="CJ783" s="928">
        <f t="shared" si="234"/>
        <v>145</v>
      </c>
      <c r="CK783" s="928">
        <f t="shared" si="234"/>
        <v>129</v>
      </c>
      <c r="CL783" s="928">
        <f t="shared" si="234"/>
        <v>608</v>
      </c>
      <c r="CM783" s="928">
        <f t="shared" si="234"/>
        <v>595</v>
      </c>
      <c r="CN783" s="928">
        <f t="shared" si="234"/>
        <v>806</v>
      </c>
      <c r="CO783" s="928">
        <f t="shared" si="234"/>
        <v>8812</v>
      </c>
      <c r="CP783" s="928">
        <f t="shared" si="234"/>
        <v>13465</v>
      </c>
      <c r="CQ783" s="645">
        <f t="shared" si="239"/>
        <v>23</v>
      </c>
      <c r="CR783" s="645">
        <f t="shared" si="238"/>
        <v>4</v>
      </c>
    </row>
    <row r="784" spans="61:97" ht="15" customHeight="1">
      <c r="BI784" s="638" t="s">
        <v>329</v>
      </c>
      <c r="BJ784" s="638">
        <v>8</v>
      </c>
      <c r="BK784" s="638" t="s">
        <v>328</v>
      </c>
      <c r="BL784" s="650">
        <v>2390</v>
      </c>
      <c r="BM784" s="650">
        <v>163</v>
      </c>
      <c r="BN784" s="650">
        <v>217</v>
      </c>
      <c r="BO784" s="650">
        <v>669</v>
      </c>
      <c r="BP784" s="650">
        <v>492</v>
      </c>
      <c r="BQ784" s="650">
        <v>632</v>
      </c>
      <c r="BR784" s="651">
        <v>8744</v>
      </c>
      <c r="BS784" s="701">
        <f t="shared" si="235"/>
        <v>13307</v>
      </c>
      <c r="BT784" s="563"/>
      <c r="BU784" s="657"/>
      <c r="BV784" s="650"/>
      <c r="BW784" s="650"/>
      <c r="BX784" s="650"/>
      <c r="BY784" s="650"/>
      <c r="BZ784" s="650"/>
      <c r="CA784" s="648"/>
      <c r="CB784" s="651"/>
      <c r="CC784" s="701">
        <f t="shared" si="236"/>
        <v>0</v>
      </c>
      <c r="CD784" s="563"/>
      <c r="CE784" s="657"/>
      <c r="CH784" s="666" t="str">
        <f t="shared" si="233"/>
        <v>May</v>
      </c>
      <c r="CI784" s="928">
        <f t="shared" si="237"/>
        <v>2390</v>
      </c>
      <c r="CJ784" s="928">
        <f t="shared" si="234"/>
        <v>163</v>
      </c>
      <c r="CK784" s="928">
        <f t="shared" si="234"/>
        <v>217</v>
      </c>
      <c r="CL784" s="928">
        <f t="shared" si="234"/>
        <v>669</v>
      </c>
      <c r="CM784" s="928">
        <f t="shared" si="234"/>
        <v>492</v>
      </c>
      <c r="CN784" s="928">
        <f t="shared" si="234"/>
        <v>632</v>
      </c>
      <c r="CO784" s="928">
        <f t="shared" si="234"/>
        <v>8744</v>
      </c>
      <c r="CP784" s="928">
        <f t="shared" si="234"/>
        <v>13307</v>
      </c>
      <c r="CQ784" s="645">
        <f t="shared" si="239"/>
        <v>23</v>
      </c>
      <c r="CR784" s="645">
        <f t="shared" si="238"/>
        <v>5</v>
      </c>
    </row>
    <row r="785" spans="61:96" ht="15" customHeight="1">
      <c r="BI785" s="638" t="s">
        <v>331</v>
      </c>
      <c r="BJ785" s="638">
        <v>9</v>
      </c>
      <c r="BK785" s="638" t="s">
        <v>328</v>
      </c>
      <c r="BL785" s="650">
        <v>2628</v>
      </c>
      <c r="BM785" s="650">
        <v>117</v>
      </c>
      <c r="BN785" s="650">
        <v>231</v>
      </c>
      <c r="BO785" s="650">
        <v>761</v>
      </c>
      <c r="BP785" s="650">
        <v>370</v>
      </c>
      <c r="BQ785" s="650">
        <v>807</v>
      </c>
      <c r="BR785" s="651">
        <v>11065</v>
      </c>
      <c r="BS785" s="701">
        <f t="shared" si="235"/>
        <v>15979</v>
      </c>
      <c r="BT785" s="563"/>
      <c r="BU785" s="657"/>
      <c r="BV785" s="650"/>
      <c r="BW785" s="650"/>
      <c r="BX785" s="650"/>
      <c r="BY785" s="650"/>
      <c r="BZ785" s="650"/>
      <c r="CA785" s="650"/>
      <c r="CB785" s="651"/>
      <c r="CC785" s="701">
        <f t="shared" si="236"/>
        <v>0</v>
      </c>
      <c r="CD785" s="563"/>
      <c r="CE785" s="657"/>
      <c r="CH785" s="666" t="str">
        <f t="shared" si="233"/>
        <v>Jun</v>
      </c>
      <c r="CI785" s="928">
        <f t="shared" si="237"/>
        <v>2628</v>
      </c>
      <c r="CJ785" s="928">
        <f t="shared" si="234"/>
        <v>117</v>
      </c>
      <c r="CK785" s="928">
        <f t="shared" si="234"/>
        <v>231</v>
      </c>
      <c r="CL785" s="928">
        <f t="shared" si="234"/>
        <v>761</v>
      </c>
      <c r="CM785" s="928">
        <f t="shared" si="234"/>
        <v>370</v>
      </c>
      <c r="CN785" s="928">
        <f t="shared" si="234"/>
        <v>807</v>
      </c>
      <c r="CO785" s="928">
        <f t="shared" si="234"/>
        <v>11065</v>
      </c>
      <c r="CP785" s="928">
        <f t="shared" si="234"/>
        <v>15979</v>
      </c>
      <c r="CQ785" s="645">
        <f t="shared" si="239"/>
        <v>23</v>
      </c>
      <c r="CR785" s="645">
        <f t="shared" si="238"/>
        <v>6</v>
      </c>
    </row>
    <row r="786" spans="61:96" ht="15" customHeight="1">
      <c r="BI786" s="638" t="s">
        <v>337</v>
      </c>
      <c r="BJ786" s="638">
        <v>10</v>
      </c>
      <c r="BK786" s="638" t="s">
        <v>338</v>
      </c>
      <c r="BL786" s="650">
        <v>2068</v>
      </c>
      <c r="BM786" s="650">
        <v>149</v>
      </c>
      <c r="BN786" s="650">
        <v>219</v>
      </c>
      <c r="BO786" s="650">
        <v>655</v>
      </c>
      <c r="BP786" s="650">
        <v>299</v>
      </c>
      <c r="BQ786" s="650">
        <v>577</v>
      </c>
      <c r="BR786" s="650">
        <v>7763</v>
      </c>
      <c r="BS786" s="701">
        <f t="shared" si="235"/>
        <v>11730</v>
      </c>
      <c r="BT786" s="562">
        <f>IF(SUM(BS786:BS788=0),0,SUM(BS786:BS788))</f>
        <v>42592</v>
      </c>
      <c r="BU786" s="657"/>
      <c r="BV786" s="650"/>
      <c r="BW786" s="650"/>
      <c r="BX786" s="650"/>
      <c r="BY786" s="650"/>
      <c r="BZ786" s="650"/>
      <c r="CA786" s="648"/>
      <c r="CB786" s="650"/>
      <c r="CC786" s="701">
        <f t="shared" si="236"/>
        <v>0</v>
      </c>
      <c r="CD786" s="562">
        <f>IF(SUM(CC786:CC788=0),0,SUM(CC786:CC788))</f>
        <v>0</v>
      </c>
      <c r="CE786" s="657"/>
      <c r="CH786" s="666" t="str">
        <f t="shared" si="233"/>
        <v>Jul</v>
      </c>
      <c r="CI786" s="928">
        <f t="shared" si="237"/>
        <v>2068</v>
      </c>
      <c r="CJ786" s="928">
        <f t="shared" si="234"/>
        <v>149</v>
      </c>
      <c r="CK786" s="928">
        <f t="shared" si="234"/>
        <v>219</v>
      </c>
      <c r="CL786" s="928">
        <f t="shared" si="234"/>
        <v>655</v>
      </c>
      <c r="CM786" s="928">
        <f t="shared" si="234"/>
        <v>299</v>
      </c>
      <c r="CN786" s="928">
        <f t="shared" si="234"/>
        <v>577</v>
      </c>
      <c r="CO786" s="928">
        <f t="shared" si="234"/>
        <v>7763</v>
      </c>
      <c r="CP786" s="928">
        <f t="shared" si="234"/>
        <v>11730</v>
      </c>
      <c r="CQ786" s="645">
        <f t="shared" si="239"/>
        <v>23</v>
      </c>
      <c r="CR786" s="645">
        <f t="shared" si="238"/>
        <v>7</v>
      </c>
    </row>
    <row r="787" spans="61:96" ht="15" customHeight="1">
      <c r="BI787" s="638" t="s">
        <v>343</v>
      </c>
      <c r="BJ787" s="638">
        <v>11</v>
      </c>
      <c r="BK787" s="638" t="s">
        <v>338</v>
      </c>
      <c r="BL787" s="650">
        <v>2139</v>
      </c>
      <c r="BM787" s="650">
        <v>148</v>
      </c>
      <c r="BN787" s="650">
        <v>284</v>
      </c>
      <c r="BO787" s="650">
        <v>459</v>
      </c>
      <c r="BP787" s="650">
        <v>260</v>
      </c>
      <c r="BQ787" s="650">
        <v>690</v>
      </c>
      <c r="BR787" s="651">
        <v>9075</v>
      </c>
      <c r="BS787" s="701">
        <f t="shared" si="235"/>
        <v>13055</v>
      </c>
      <c r="BT787" s="290"/>
      <c r="BU787" s="657"/>
      <c r="BV787" s="650"/>
      <c r="BW787" s="650"/>
      <c r="BX787" s="650"/>
      <c r="BY787" s="650"/>
      <c r="BZ787" s="650"/>
      <c r="CA787" s="648"/>
      <c r="CB787" s="651"/>
      <c r="CC787" s="701">
        <f t="shared" si="236"/>
        <v>0</v>
      </c>
      <c r="CD787" s="290"/>
      <c r="CE787" s="657"/>
      <c r="CH787" s="666" t="str">
        <f t="shared" si="233"/>
        <v>Aug</v>
      </c>
      <c r="CI787" s="928">
        <f t="shared" si="237"/>
        <v>2139</v>
      </c>
      <c r="CJ787" s="928">
        <f t="shared" si="234"/>
        <v>148</v>
      </c>
      <c r="CK787" s="928">
        <f t="shared" si="234"/>
        <v>284</v>
      </c>
      <c r="CL787" s="928">
        <f t="shared" si="234"/>
        <v>459</v>
      </c>
      <c r="CM787" s="928">
        <f t="shared" si="234"/>
        <v>260</v>
      </c>
      <c r="CN787" s="928">
        <f t="shared" si="234"/>
        <v>690</v>
      </c>
      <c r="CO787" s="928">
        <f t="shared" si="234"/>
        <v>9075</v>
      </c>
      <c r="CP787" s="928">
        <f t="shared" si="234"/>
        <v>13055</v>
      </c>
      <c r="CQ787" s="645">
        <f t="shared" si="239"/>
        <v>23</v>
      </c>
      <c r="CR787" s="645">
        <f t="shared" si="238"/>
        <v>8</v>
      </c>
    </row>
    <row r="788" spans="61:96" ht="15" customHeight="1">
      <c r="BI788" s="638" t="s">
        <v>344</v>
      </c>
      <c r="BJ788" s="638">
        <v>12</v>
      </c>
      <c r="BK788" s="638" t="s">
        <v>338</v>
      </c>
      <c r="BL788" s="651">
        <v>3026</v>
      </c>
      <c r="BM788" s="651">
        <v>151</v>
      </c>
      <c r="BN788" s="651">
        <v>1167</v>
      </c>
      <c r="BO788" s="651">
        <v>440</v>
      </c>
      <c r="BP788" s="651">
        <v>310</v>
      </c>
      <c r="BQ788" s="650">
        <v>795</v>
      </c>
      <c r="BR788" s="651">
        <v>11918</v>
      </c>
      <c r="BS788" s="701">
        <f t="shared" si="235"/>
        <v>17807</v>
      </c>
      <c r="BT788" s="290"/>
      <c r="BU788" s="657"/>
      <c r="BV788" s="651"/>
      <c r="BW788" s="651"/>
      <c r="BX788" s="651"/>
      <c r="BY788" s="651"/>
      <c r="BZ788" s="651"/>
      <c r="CA788" s="648"/>
      <c r="CB788" s="651"/>
      <c r="CC788" s="701">
        <f t="shared" si="236"/>
        <v>0</v>
      </c>
      <c r="CD788" s="290"/>
      <c r="CE788" s="657"/>
      <c r="CH788" s="666" t="str">
        <f t="shared" si="233"/>
        <v>Sep</v>
      </c>
      <c r="CI788" s="928">
        <f t="shared" si="237"/>
        <v>3026</v>
      </c>
      <c r="CJ788" s="928">
        <f t="shared" si="234"/>
        <v>151</v>
      </c>
      <c r="CK788" s="928">
        <f t="shared" si="234"/>
        <v>1167</v>
      </c>
      <c r="CL788" s="928">
        <f t="shared" si="234"/>
        <v>440</v>
      </c>
      <c r="CM788" s="928">
        <f t="shared" si="234"/>
        <v>310</v>
      </c>
      <c r="CN788" s="928">
        <f t="shared" si="234"/>
        <v>795</v>
      </c>
      <c r="CO788" s="928">
        <f t="shared" si="234"/>
        <v>11918</v>
      </c>
      <c r="CP788" s="928">
        <f t="shared" si="234"/>
        <v>17807</v>
      </c>
      <c r="CQ788" s="645">
        <f t="shared" si="239"/>
        <v>23</v>
      </c>
      <c r="CR788" s="645">
        <f t="shared" si="238"/>
        <v>9</v>
      </c>
    </row>
    <row r="789" spans="61:96" ht="15" customHeight="1">
      <c r="BI789" s="6"/>
      <c r="BJ789" s="6"/>
      <c r="BK789" s="6"/>
      <c r="BL789" s="6"/>
      <c r="BM789" s="6"/>
      <c r="BN789" s="6"/>
      <c r="BO789" s="6"/>
      <c r="BP789" s="6"/>
      <c r="BQ789" s="6"/>
      <c r="BR789" s="6"/>
      <c r="BS789" s="6"/>
      <c r="BT789" s="6"/>
      <c r="BU789" s="6"/>
      <c r="BV789" s="6"/>
      <c r="CG789" s="667" t="str">
        <f>Cover!$M$34</f>
        <v>OCT FY-24</v>
      </c>
      <c r="CH789" s="666" t="str">
        <f t="shared" si="233"/>
        <v>Oct</v>
      </c>
      <c r="CI789" s="928">
        <f t="shared" ref="CI789:CP789" si="240">IF(SUMIF($BI$777:$BI$788,$CH$789,BV$777:BV$788)=0,NA(),SUMIF($BI$777:$BI$788,$CH$789,BV$777:BV$788))</f>
        <v>2269</v>
      </c>
      <c r="CJ789" s="928">
        <f t="shared" si="240"/>
        <v>99</v>
      </c>
      <c r="CK789" s="928">
        <f t="shared" si="240"/>
        <v>80</v>
      </c>
      <c r="CL789" s="928">
        <f t="shared" si="240"/>
        <v>464</v>
      </c>
      <c r="CM789" s="928">
        <f t="shared" si="240"/>
        <v>268</v>
      </c>
      <c r="CN789" s="928">
        <f t="shared" si="240"/>
        <v>813</v>
      </c>
      <c r="CO789" s="928">
        <f t="shared" si="240"/>
        <v>10065</v>
      </c>
      <c r="CP789" s="928">
        <f t="shared" si="240"/>
        <v>14058</v>
      </c>
      <c r="CQ789" s="645">
        <f>CB770</f>
        <v>24</v>
      </c>
      <c r="CR789" s="645">
        <f>MONTH(DATEVALUE(LEFT(CG789,3)&amp;" 1"))</f>
        <v>10</v>
      </c>
    </row>
  </sheetData>
  <mergeCells count="276">
    <mergeCell ref="BJ696:BU696"/>
    <mergeCell ref="BI699:BK699"/>
    <mergeCell ref="BL699:BP699"/>
    <mergeCell ref="BQ699:BU699"/>
    <mergeCell ref="BW699:CC699"/>
    <mergeCell ref="BI737:BK737"/>
    <mergeCell ref="BL737:BP737"/>
    <mergeCell ref="BQ737:BU737"/>
    <mergeCell ref="BW737:CC737"/>
    <mergeCell ref="BI718:BK718"/>
    <mergeCell ref="BL718:BP718"/>
    <mergeCell ref="BQ718:BU718"/>
    <mergeCell ref="BW718:CC718"/>
    <mergeCell ref="BI661:BK661"/>
    <mergeCell ref="BL661:BP661"/>
    <mergeCell ref="BQ661:BU661"/>
    <mergeCell ref="BW661:CC661"/>
    <mergeCell ref="BI680:BK680"/>
    <mergeCell ref="BL680:BP680"/>
    <mergeCell ref="BQ680:BU680"/>
    <mergeCell ref="BW680:CC680"/>
    <mergeCell ref="BJ603:BU603"/>
    <mergeCell ref="BI604:BK604"/>
    <mergeCell ref="BL604:BP604"/>
    <mergeCell ref="BQ604:BU604"/>
    <mergeCell ref="BW604:CC604"/>
    <mergeCell ref="BJ639:BU639"/>
    <mergeCell ref="BI642:BK642"/>
    <mergeCell ref="BL642:BP642"/>
    <mergeCell ref="BQ642:BU642"/>
    <mergeCell ref="BW642:CC642"/>
    <mergeCell ref="BI623:BK623"/>
    <mergeCell ref="BL623:BP623"/>
    <mergeCell ref="BQ623:BU623"/>
    <mergeCell ref="BW623:CC623"/>
    <mergeCell ref="BJ601:BU601"/>
    <mergeCell ref="BJ602:BU602"/>
    <mergeCell ref="B41:J41"/>
    <mergeCell ref="K41:M41"/>
    <mergeCell ref="N41:P41"/>
    <mergeCell ref="Q41:S41"/>
    <mergeCell ref="T41:V41"/>
    <mergeCell ref="W41:Y41"/>
    <mergeCell ref="Z41:AB41"/>
    <mergeCell ref="B42:J42"/>
    <mergeCell ref="K42:M42"/>
    <mergeCell ref="N42:P42"/>
    <mergeCell ref="Q42:S42"/>
    <mergeCell ref="T42:V42"/>
    <mergeCell ref="W42:Y42"/>
    <mergeCell ref="Z42:AB42"/>
    <mergeCell ref="BJ407:BU407"/>
    <mergeCell ref="BJ408:BU408"/>
    <mergeCell ref="BJ409:BU409"/>
    <mergeCell ref="BI410:BK410"/>
    <mergeCell ref="BL410:BP410"/>
    <mergeCell ref="BQ410:BU410"/>
    <mergeCell ref="BI468:BK468"/>
    <mergeCell ref="B64:AB67"/>
    <mergeCell ref="BW43:CC43"/>
    <mergeCell ref="AC38:BE42"/>
    <mergeCell ref="B40:J40"/>
    <mergeCell ref="K40:M40"/>
    <mergeCell ref="N40:P40"/>
    <mergeCell ref="Q40:S40"/>
    <mergeCell ref="T40:V40"/>
    <mergeCell ref="W40:Y40"/>
    <mergeCell ref="Z40:AB40"/>
    <mergeCell ref="B38:J38"/>
    <mergeCell ref="K38:M38"/>
    <mergeCell ref="N38:P38"/>
    <mergeCell ref="Q38:S38"/>
    <mergeCell ref="T38:V38"/>
    <mergeCell ref="N39:P39"/>
    <mergeCell ref="Q39:S39"/>
    <mergeCell ref="T39:V39"/>
    <mergeCell ref="B39:J39"/>
    <mergeCell ref="K39:M39"/>
    <mergeCell ref="BW64:CC64"/>
    <mergeCell ref="BQ64:BU64"/>
    <mergeCell ref="BL64:BP64"/>
    <mergeCell ref="BI64:BK64"/>
    <mergeCell ref="BJ215:BU215"/>
    <mergeCell ref="BJ216:BU216"/>
    <mergeCell ref="BI217:BK217"/>
    <mergeCell ref="BL217:BP217"/>
    <mergeCell ref="BQ217:BU217"/>
    <mergeCell ref="BQ197:BU197"/>
    <mergeCell ref="BI178:BK178"/>
    <mergeCell ref="BI197:BK197"/>
    <mergeCell ref="BQ139:BU139"/>
    <mergeCell ref="BL139:BP139"/>
    <mergeCell ref="BL197:BP197"/>
    <mergeCell ref="BI139:BK139"/>
    <mergeCell ref="BQ120:BU120"/>
    <mergeCell ref="BL178:BP178"/>
    <mergeCell ref="BW120:CC120"/>
    <mergeCell ref="BW197:CC197"/>
    <mergeCell ref="BW159:CC159"/>
    <mergeCell ref="BW178:CC178"/>
    <mergeCell ref="B87:AB90"/>
    <mergeCell ref="AE87:BE90"/>
    <mergeCell ref="B110:AB113"/>
    <mergeCell ref="B35:J37"/>
    <mergeCell ref="K35:P35"/>
    <mergeCell ref="Q35:S37"/>
    <mergeCell ref="T35:AB35"/>
    <mergeCell ref="AC35:BE37"/>
    <mergeCell ref="K36:M37"/>
    <mergeCell ref="N36:P37"/>
    <mergeCell ref="T36:V37"/>
    <mergeCell ref="W36:Y37"/>
    <mergeCell ref="Z36:AB37"/>
    <mergeCell ref="BI1:BU1"/>
    <mergeCell ref="BJ117:BU117"/>
    <mergeCell ref="BJ118:BU118"/>
    <mergeCell ref="BJ119:BU119"/>
    <mergeCell ref="V14:W14"/>
    <mergeCell ref="AS15:AX15"/>
    <mergeCell ref="AZ15:BE15"/>
    <mergeCell ref="AL15:AO15"/>
    <mergeCell ref="AP15:AQ15"/>
    <mergeCell ref="BB23:BE23"/>
    <mergeCell ref="AN17:AQ17"/>
    <mergeCell ref="AU17:AX17"/>
    <mergeCell ref="BB17:BE17"/>
    <mergeCell ref="AN18:AQ18"/>
    <mergeCell ref="AU18:AX18"/>
    <mergeCell ref="BB18:BE18"/>
    <mergeCell ref="BB22:BE22"/>
    <mergeCell ref="AN23:AQ23"/>
    <mergeCell ref="AU23:AX23"/>
    <mergeCell ref="AN19:AQ19"/>
    <mergeCell ref="AU19:AX19"/>
    <mergeCell ref="B5:AR5"/>
    <mergeCell ref="B29:AB32"/>
    <mergeCell ref="I15:V15"/>
    <mergeCell ref="X15:AB15"/>
    <mergeCell ref="B2:BE4"/>
    <mergeCell ref="I16:L16"/>
    <mergeCell ref="N16:Q16"/>
    <mergeCell ref="S16:V16"/>
    <mergeCell ref="B15:G15"/>
    <mergeCell ref="AE15:AJ15"/>
    <mergeCell ref="BB19:BE19"/>
    <mergeCell ref="BB24:BE24"/>
    <mergeCell ref="AE8:BE11"/>
    <mergeCell ref="B8:AB11"/>
    <mergeCell ref="BJ60:BU60"/>
    <mergeCell ref="W38:Y38"/>
    <mergeCell ref="Z38:AB38"/>
    <mergeCell ref="Z39:AB39"/>
    <mergeCell ref="AE64:BE67"/>
    <mergeCell ref="W39:Y39"/>
    <mergeCell ref="BI43:BK43"/>
    <mergeCell ref="BL43:BP43"/>
    <mergeCell ref="BQ43:BU43"/>
    <mergeCell ref="BW391:CC391"/>
    <mergeCell ref="BI333:BK333"/>
    <mergeCell ref="BL333:BP333"/>
    <mergeCell ref="BQ333:BU333"/>
    <mergeCell ref="AE29:BE32"/>
    <mergeCell ref="BJ214:BU214"/>
    <mergeCell ref="AN22:AQ22"/>
    <mergeCell ref="AU22:AX22"/>
    <mergeCell ref="AN24:AQ24"/>
    <mergeCell ref="AU24:AX24"/>
    <mergeCell ref="BJ155:BU155"/>
    <mergeCell ref="BW217:CC217"/>
    <mergeCell ref="BJ252:BU252"/>
    <mergeCell ref="BI236:BK236"/>
    <mergeCell ref="BL236:BP236"/>
    <mergeCell ref="BQ236:BU236"/>
    <mergeCell ref="BW236:CC236"/>
    <mergeCell ref="BQ178:BU178"/>
    <mergeCell ref="BQ159:BU159"/>
    <mergeCell ref="BL120:BP120"/>
    <mergeCell ref="BL159:BP159"/>
    <mergeCell ref="BI120:BK120"/>
    <mergeCell ref="BI159:BK159"/>
    <mergeCell ref="BW139:CC139"/>
    <mergeCell ref="BW256:CC256"/>
    <mergeCell ref="BI275:BK275"/>
    <mergeCell ref="BL275:BP275"/>
    <mergeCell ref="BQ275:BU275"/>
    <mergeCell ref="BW275:CC275"/>
    <mergeCell ref="BI294:BK294"/>
    <mergeCell ref="BL294:BP294"/>
    <mergeCell ref="BQ294:BU294"/>
    <mergeCell ref="BW294:CC294"/>
    <mergeCell ref="BI256:BK256"/>
    <mergeCell ref="BI584:BK584"/>
    <mergeCell ref="BL584:BP584"/>
    <mergeCell ref="BQ584:BU584"/>
    <mergeCell ref="BI526:BK526"/>
    <mergeCell ref="BL487:BP487"/>
    <mergeCell ref="BI507:BK507"/>
    <mergeCell ref="BL507:BP507"/>
    <mergeCell ref="BL256:BP256"/>
    <mergeCell ref="BQ256:BU256"/>
    <mergeCell ref="BI429:BK429"/>
    <mergeCell ref="BI449:BK449"/>
    <mergeCell ref="BJ311:BU311"/>
    <mergeCell ref="BQ487:BU487"/>
    <mergeCell ref="BL391:BP391"/>
    <mergeCell ref="BQ391:BU391"/>
    <mergeCell ref="BQ507:BU507"/>
    <mergeCell ref="BI565:BK565"/>
    <mergeCell ref="BL565:BP565"/>
    <mergeCell ref="BQ565:BU565"/>
    <mergeCell ref="BL526:BP526"/>
    <mergeCell ref="BQ526:BU526"/>
    <mergeCell ref="BW565:CC565"/>
    <mergeCell ref="BJ542:BU542"/>
    <mergeCell ref="BQ429:BU429"/>
    <mergeCell ref="BW429:CC429"/>
    <mergeCell ref="BJ506:BU506"/>
    <mergeCell ref="BW507:CC507"/>
    <mergeCell ref="BL449:BP449"/>
    <mergeCell ref="BQ449:BU449"/>
    <mergeCell ref="BW449:CC449"/>
    <mergeCell ref="BW468:CC468"/>
    <mergeCell ref="BJ445:BU445"/>
    <mergeCell ref="BL429:BP429"/>
    <mergeCell ref="BL468:BP468"/>
    <mergeCell ref="BQ468:BU468"/>
    <mergeCell ref="BJ504:BU504"/>
    <mergeCell ref="BJ505:BU505"/>
    <mergeCell ref="BJ21:BU21"/>
    <mergeCell ref="BJ22:BU22"/>
    <mergeCell ref="BJ23:BU23"/>
    <mergeCell ref="BI24:BK24"/>
    <mergeCell ref="BL24:BP24"/>
    <mergeCell ref="BQ24:BU24"/>
    <mergeCell ref="BW24:CC24"/>
    <mergeCell ref="BI546:BK546"/>
    <mergeCell ref="BL546:BP546"/>
    <mergeCell ref="BQ546:BU546"/>
    <mergeCell ref="BW546:CC546"/>
    <mergeCell ref="BI372:BK372"/>
    <mergeCell ref="BL372:BP372"/>
    <mergeCell ref="BQ372:BU372"/>
    <mergeCell ref="BW372:CC372"/>
    <mergeCell ref="BI391:BK391"/>
    <mergeCell ref="BJ312:BU312"/>
    <mergeCell ref="BJ313:BU313"/>
    <mergeCell ref="BW333:CC333"/>
    <mergeCell ref="BW487:CC487"/>
    <mergeCell ref="BL314:BP314"/>
    <mergeCell ref="BQ314:BU314"/>
    <mergeCell ref="BW314:CC314"/>
    <mergeCell ref="BJ349:BU349"/>
    <mergeCell ref="CG775:CS775"/>
    <mergeCell ref="BL83:BP83"/>
    <mergeCell ref="BQ83:BU83"/>
    <mergeCell ref="BI83:BK83"/>
    <mergeCell ref="BL102:BP102"/>
    <mergeCell ref="BQ102:BU102"/>
    <mergeCell ref="BI102:BK102"/>
    <mergeCell ref="BI775:BK775"/>
    <mergeCell ref="BL775:BU775"/>
    <mergeCell ref="BV775:CE775"/>
    <mergeCell ref="BJ753:BU753"/>
    <mergeCell ref="BI756:BK756"/>
    <mergeCell ref="BL756:BP756"/>
    <mergeCell ref="BQ756:BU756"/>
    <mergeCell ref="BW756:CC756"/>
    <mergeCell ref="BW584:CC584"/>
    <mergeCell ref="BI353:BK353"/>
    <mergeCell ref="BL353:BP353"/>
    <mergeCell ref="BQ353:BU353"/>
    <mergeCell ref="BW353:CC353"/>
    <mergeCell ref="BI314:BK314"/>
    <mergeCell ref="BW410:CC410"/>
    <mergeCell ref="BI487:BK487"/>
    <mergeCell ref="BW526:CC526"/>
  </mergeCells>
  <conditionalFormatting sqref="AE28:AG28 AI28:BE28 AY22:BA24 AR22:AT24 AK22:AM24">
    <cfRule type="cellIs" dxfId="1884" priority="5166" operator="equal">
      <formula>"XXX"</formula>
    </cfRule>
  </conditionalFormatting>
  <conditionalFormatting sqref="AJ22">
    <cfRule type="cellIs" dxfId="1883" priority="5158" operator="equal">
      <formula>"XXX"</formula>
    </cfRule>
  </conditionalFormatting>
  <conditionalFormatting sqref="BB17:BE18 BB22:BE22 BB23">
    <cfRule type="cellIs" dxfId="1882" priority="5157" operator="lessThan">
      <formula>0</formula>
    </cfRule>
  </conditionalFormatting>
  <conditionalFormatting sqref="A63:A67">
    <cfRule type="cellIs" dxfId="1881" priority="5156" operator="equal">
      <formula>"XXX"</formula>
    </cfRule>
  </conditionalFormatting>
  <conditionalFormatting sqref="A86:A90">
    <cfRule type="cellIs" dxfId="1880" priority="5151" operator="equal">
      <formula>"XXX"</formula>
    </cfRule>
  </conditionalFormatting>
  <conditionalFormatting sqref="AU17:AX18 AU22:AX23">
    <cfRule type="cellIs" dxfId="1879" priority="4996" operator="lessThan">
      <formula>0</formula>
    </cfRule>
  </conditionalFormatting>
  <conditionalFormatting sqref="I24">
    <cfRule type="cellIs" dxfId="1878" priority="4622" operator="equal">
      <formula>"XXX"</formula>
    </cfRule>
  </conditionalFormatting>
  <conditionalFormatting sqref="I24">
    <cfRule type="cellIs" dxfId="1877" priority="4621" operator="equal">
      <formula>$A$1</formula>
    </cfRule>
  </conditionalFormatting>
  <conditionalFormatting sqref="I23:J23">
    <cfRule type="cellIs" dxfId="1876" priority="4595" operator="equal">
      <formula>$A$1</formula>
    </cfRule>
  </conditionalFormatting>
  <conditionalFormatting sqref="BJ16:BV16">
    <cfRule type="expression" dxfId="1875" priority="2">
      <formula>(AND(BJ$5=$BX$5,LEN(BJ$16)=0))</formula>
    </cfRule>
  </conditionalFormatting>
  <conditionalFormatting sqref="G24">
    <cfRule type="cellIs" dxfId="1874" priority="3633" operator="equal">
      <formula>"XXX"</formula>
    </cfRule>
  </conditionalFormatting>
  <conditionalFormatting sqref="F22">
    <cfRule type="cellIs" dxfId="1873" priority="3630" operator="equal">
      <formula>"XXX"</formula>
    </cfRule>
  </conditionalFormatting>
  <conditionalFormatting sqref="G22:G23">
    <cfRule type="cellIs" dxfId="1872" priority="3629" operator="equal">
      <formula>"XXX"</formula>
    </cfRule>
  </conditionalFormatting>
  <conditionalFormatting sqref="G22:G23">
    <cfRule type="cellIs" dxfId="1871" priority="3628" operator="notEqual">
      <formula>0</formula>
    </cfRule>
  </conditionalFormatting>
  <conditionalFormatting sqref="G26">
    <cfRule type="cellIs" dxfId="1870" priority="3627" operator="equal">
      <formula>"XXX"</formula>
    </cfRule>
  </conditionalFormatting>
  <conditionalFormatting sqref="G26">
    <cfRule type="expression" dxfId="1869" priority="3623">
      <formula>$G$25=0</formula>
    </cfRule>
    <cfRule type="cellIs" dxfId="1868" priority="3626" operator="notEqual">
      <formula>0</formula>
    </cfRule>
  </conditionalFormatting>
  <conditionalFormatting sqref="G25">
    <cfRule type="cellIs" dxfId="1867" priority="3625" operator="equal">
      <formula>"XXX"</formula>
    </cfRule>
  </conditionalFormatting>
  <conditionalFormatting sqref="G25">
    <cfRule type="cellIs" dxfId="1866" priority="3624" operator="notEqual">
      <formula>0</formula>
    </cfRule>
  </conditionalFormatting>
  <conditionalFormatting sqref="I26">
    <cfRule type="cellIs" dxfId="1865" priority="3622" operator="equal">
      <formula>"XXX"</formula>
    </cfRule>
  </conditionalFormatting>
  <conditionalFormatting sqref="I26">
    <cfRule type="cellIs" dxfId="1864" priority="3621" operator="equal">
      <formula>$A$1</formula>
    </cfRule>
  </conditionalFormatting>
  <conditionalFormatting sqref="I25">
    <cfRule type="cellIs" dxfId="1863" priority="3620" operator="equal">
      <formula>$A$1</formula>
    </cfRule>
  </conditionalFormatting>
  <conditionalFormatting sqref="X24:AB24">
    <cfRule type="cellIs" dxfId="1862" priority="3264" operator="equal">
      <formula>"XXX"</formula>
    </cfRule>
  </conditionalFormatting>
  <conditionalFormatting sqref="Z16:Z21">
    <cfRule type="cellIs" dxfId="1861" priority="3263" operator="equal">
      <formula>"XXX"</formula>
    </cfRule>
  </conditionalFormatting>
  <conditionalFormatting sqref="Y16:Y18 Y21">
    <cfRule type="cellIs" dxfId="1860" priority="3262" operator="equal">
      <formula>"XXX"</formula>
    </cfRule>
  </conditionalFormatting>
  <conditionalFormatting sqref="Y19:Y20">
    <cfRule type="cellIs" dxfId="1859" priority="3261" operator="equal">
      <formula>"XXX"</formula>
    </cfRule>
  </conditionalFormatting>
  <conditionalFormatting sqref="Y22:Y23">
    <cfRule type="cellIs" dxfId="1858" priority="3260" operator="equal">
      <formula>"XXX"</formula>
    </cfRule>
  </conditionalFormatting>
  <conditionalFormatting sqref="B2">
    <cfRule type="cellIs" dxfId="1857" priority="3126" operator="equal">
      <formula>"XXX"</formula>
    </cfRule>
  </conditionalFormatting>
  <conditionalFormatting sqref="BQ26:BQ37 BQ85:BQ96 BQ104:BQ115 BQ122:BQ133 BQ180:BQ191 BQ199:BQ210 BQ219:BQ230 BQ277:BQ288 BQ296:BQ307 BQ316:BQ327 BQ374:BQ385 BQ393:BQ404 BQ412:BQ423 BQ470:BQ481 BQ489:BQ500 BQ509:BQ520 BQ567:BQ578 BQ586:BQ597 BQ606:BQ617 BQ663:BQ674 BQ682:BQ693 BQ720:BQ731 BQ739:BQ750 BQ758:BQ769">
    <cfRule type="expression" dxfId="1856" priority="3">
      <formula>(AND($BJ26=$BX$5,LEN($BQ26)=0))</formula>
    </cfRule>
  </conditionalFormatting>
  <conditionalFormatting sqref="AC8:AD11">
    <cfRule type="cellIs" dxfId="1855" priority="1139" operator="equal">
      <formula>"XXX"</formula>
    </cfRule>
  </conditionalFormatting>
  <conditionalFormatting sqref="AC29:AD32">
    <cfRule type="cellIs" dxfId="1854" priority="820" operator="equal">
      <formula>"XXX"</formula>
    </cfRule>
  </conditionalFormatting>
  <conditionalFormatting sqref="B34:BH34 AC35:BE37 BF35:BG40 B35:J40">
    <cfRule type="cellIs" dxfId="1853" priority="792" operator="equal">
      <formula>"XXX"</formula>
    </cfRule>
  </conditionalFormatting>
  <conditionalFormatting sqref="BH36">
    <cfRule type="cellIs" dxfId="1852" priority="773" operator="equal">
      <formula>"XXX"</formula>
    </cfRule>
  </conditionalFormatting>
  <conditionalFormatting sqref="BH37">
    <cfRule type="cellIs" dxfId="1851" priority="772" operator="equal">
      <formula>"XXX"</formula>
    </cfRule>
  </conditionalFormatting>
  <conditionalFormatting sqref="BH35">
    <cfRule type="cellIs" dxfId="1850" priority="771" operator="equal">
      <formula>"XXX"</formula>
    </cfRule>
  </conditionalFormatting>
  <conditionalFormatting sqref="BH38:BH40">
    <cfRule type="cellIs" dxfId="1849" priority="766" operator="equal">
      <formula>"XXX"</formula>
    </cfRule>
  </conditionalFormatting>
  <conditionalFormatting sqref="K35:AB35 Q36:AB37">
    <cfRule type="cellIs" dxfId="1848" priority="762" operator="equal">
      <formula>"XXX"</formula>
    </cfRule>
  </conditionalFormatting>
  <conditionalFormatting sqref="K36:P37">
    <cfRule type="cellIs" dxfId="1847" priority="761" operator="equal">
      <formula>"XXX"</formula>
    </cfRule>
  </conditionalFormatting>
  <conditionalFormatting sqref="K39 N39 T39 W39 Z39">
    <cfRule type="cellIs" dxfId="1846" priority="742" operator="equal">
      <formula>"XXX"</formula>
    </cfRule>
    <cfRule type="cellIs" dxfId="1845" priority="743" stopIfTrue="1" operator="lessThan">
      <formula>$Q39*0.9</formula>
    </cfRule>
    <cfRule type="cellIs" dxfId="1844" priority="744" operator="lessThan">
      <formula>$Q39</formula>
    </cfRule>
    <cfRule type="cellIs" dxfId="1843" priority="745" operator="greaterThanOrEqual">
      <formula>$Q39</formula>
    </cfRule>
  </conditionalFormatting>
  <conditionalFormatting sqref="K40 N40 T40 W40 Z40">
    <cfRule type="cellIs" dxfId="1842" priority="290" operator="equal">
      <formula>"XXX"</formula>
    </cfRule>
    <cfRule type="cellIs" dxfId="1841" priority="739" stopIfTrue="1" operator="greaterThan">
      <formula>$Q40*1.1</formula>
    </cfRule>
    <cfRule type="cellIs" dxfId="1840" priority="740" operator="greaterThan">
      <formula>$Q40</formula>
    </cfRule>
    <cfRule type="cellIs" dxfId="1839" priority="741" operator="lessThanOrEqual">
      <formula>$Q40</formula>
    </cfRule>
  </conditionalFormatting>
  <conditionalFormatting sqref="BF41:BG41">
    <cfRule type="cellIs" dxfId="1838" priority="738" operator="equal">
      <formula>"XXX"</formula>
    </cfRule>
  </conditionalFormatting>
  <conditionalFormatting sqref="BH41">
    <cfRule type="cellIs" dxfId="1837" priority="737" operator="equal">
      <formula>"XXX"</formula>
    </cfRule>
  </conditionalFormatting>
  <conditionalFormatting sqref="BF42:BG42 B42:J42">
    <cfRule type="cellIs" dxfId="1836" priority="732" operator="equal">
      <formula>"XXX"</formula>
    </cfRule>
  </conditionalFormatting>
  <conditionalFormatting sqref="BH42">
    <cfRule type="cellIs" dxfId="1835" priority="731" operator="equal">
      <formula>"XXX"</formula>
    </cfRule>
  </conditionalFormatting>
  <conditionalFormatting sqref="B41:J41">
    <cfRule type="cellIs" dxfId="1834" priority="726" operator="equal">
      <formula>"XXX"</formula>
    </cfRule>
  </conditionalFormatting>
  <conditionalFormatting sqref="K41 N41 T41 W41 Z41">
    <cfRule type="cellIs" dxfId="1833" priority="289" operator="equal">
      <formula>"XXX"</formula>
    </cfRule>
    <cfRule type="cellIs" dxfId="1832" priority="722" stopIfTrue="1" operator="greaterThan">
      <formula>$Q$41*1.1</formula>
    </cfRule>
    <cfRule type="cellIs" dxfId="1831" priority="723" operator="greaterThan">
      <formula>$Q$41</formula>
    </cfRule>
    <cfRule type="cellIs" dxfId="1830" priority="724" operator="lessThanOrEqual">
      <formula>$Q$41</formula>
    </cfRule>
  </conditionalFormatting>
  <conditionalFormatting sqref="K42 W42 Z42 N42 T42">
    <cfRule type="cellIs" dxfId="1829" priority="719" stopIfTrue="1" operator="lessThan">
      <formula>$Q42*0.9</formula>
    </cfRule>
    <cfRule type="cellIs" dxfId="1828" priority="720" operator="lessThan">
      <formula>$Q42</formula>
    </cfRule>
    <cfRule type="cellIs" dxfId="1827" priority="721" operator="greaterThanOrEqual">
      <formula>$Q42</formula>
    </cfRule>
  </conditionalFormatting>
  <conditionalFormatting sqref="B44:BE44">
    <cfRule type="cellIs" dxfId="1826" priority="718" operator="equal">
      <formula>"XXX"</formula>
    </cfRule>
  </conditionalFormatting>
  <conditionalFormatting sqref="F63:AB63 B63:D63">
    <cfRule type="cellIs" dxfId="1825" priority="717" operator="equal">
      <formula>"XXX"</formula>
    </cfRule>
  </conditionalFormatting>
  <conditionalFormatting sqref="AI63:BE63 AE63:AG63">
    <cfRule type="cellIs" dxfId="1824" priority="715" operator="equal">
      <formula>"XXX"</formula>
    </cfRule>
  </conditionalFormatting>
  <conditionalFormatting sqref="F86:AB86 B86:D86">
    <cfRule type="cellIs" dxfId="1823" priority="713" operator="equal">
      <formula>"XXX"</formula>
    </cfRule>
  </conditionalFormatting>
  <conditionalFormatting sqref="AI86:BE86 AE86:AG86">
    <cfRule type="cellIs" dxfId="1822" priority="711" operator="equal">
      <formula>"XXX"</formula>
    </cfRule>
  </conditionalFormatting>
  <conditionalFormatting sqref="F109:AB109 B109:D109">
    <cfRule type="cellIs" dxfId="1821" priority="709" operator="equal">
      <formula>"XXX"</formula>
    </cfRule>
  </conditionalFormatting>
  <conditionalFormatting sqref="BR26:BR37 BR45:BR56 BR66:BR77 BR85:BR96 BR122:BR133 BR141:BR152 BR161:BR172 BR180:BR191 BR219:BR230 BR238:BR249 BR258:BR269 BR277:BR288 BR316:BR327 BR335:BR346 BR355:BR366 BR374:BR385 BR412:BR423 BR431:BR442 BR451:BR462 BR470:BR481 BR509:BR520 BR528:BR539 BR548:BR559 BR567:BR578 BR606:BR617 BR625:BR636 BR644:BR655 BR663:BR674 BR701:BR712 BR720:BR731 BR758:BR769">
    <cfRule type="expression" dxfId="1820" priority="4">
      <formula>(AND($BJ26=$BX$5,LEN($BR26)=0))</formula>
    </cfRule>
  </conditionalFormatting>
  <conditionalFormatting sqref="BZ777:BZ788">
    <cfRule type="expression" dxfId="1819" priority="1335">
      <formula>(AND($BJ777=$BX$5,LEN($BX777)=0))</formula>
    </cfRule>
  </conditionalFormatting>
  <conditionalFormatting sqref="K38 N38 W38 T38 Z38">
    <cfRule type="cellIs" dxfId="1818" priority="746" operator="equal">
      <formula>"XXX"</formula>
    </cfRule>
    <cfRule type="cellIs" dxfId="1817" priority="747" stopIfTrue="1" operator="lessThan">
      <formula>$Q38*0.9</formula>
    </cfRule>
    <cfRule type="cellIs" dxfId="1816" priority="748" operator="lessThan">
      <formula>$Q38</formula>
    </cfRule>
    <cfRule type="cellIs" dxfId="1815" priority="749" operator="greaterThanOrEqual">
      <formula>$Q38</formula>
    </cfRule>
  </conditionalFormatting>
  <conditionalFormatting sqref="K42 N42 T42 W42 Z42">
    <cfRule type="cellIs" dxfId="1814" priority="288" operator="equal">
      <formula>"XXX"</formula>
    </cfRule>
  </conditionalFormatting>
  <conditionalFormatting sqref="AE29">
    <cfRule type="cellIs" dxfId="1813" priority="35" operator="equal">
      <formula>"XXX"</formula>
    </cfRule>
  </conditionalFormatting>
  <conditionalFormatting sqref="B8">
    <cfRule type="cellIs" dxfId="1812" priority="28" operator="equal">
      <formula>"XXX"</formula>
    </cfRule>
  </conditionalFormatting>
  <conditionalFormatting sqref="AE8">
    <cfRule type="cellIs" dxfId="1811" priority="27" operator="equal">
      <formula>"XXX"</formula>
    </cfRule>
  </conditionalFormatting>
  <conditionalFormatting sqref="B29">
    <cfRule type="cellIs" dxfId="1810" priority="26" operator="equal">
      <formula>"XXX"</formula>
    </cfRule>
  </conditionalFormatting>
  <conditionalFormatting sqref="AC38">
    <cfRule type="cellIs" dxfId="1809" priority="25" operator="equal">
      <formula>"XXX"</formula>
    </cfRule>
  </conditionalFormatting>
  <conditionalFormatting sqref="B64">
    <cfRule type="cellIs" dxfId="1808" priority="24" operator="equal">
      <formula>"XXX"</formula>
    </cfRule>
  </conditionalFormatting>
  <conditionalFormatting sqref="AE64">
    <cfRule type="cellIs" dxfId="1807" priority="23" operator="equal">
      <formula>"XXX"</formula>
    </cfRule>
  </conditionalFormatting>
  <conditionalFormatting sqref="B87">
    <cfRule type="cellIs" dxfId="1806" priority="22" operator="equal">
      <formula>"XXX"</formula>
    </cfRule>
  </conditionalFormatting>
  <conditionalFormatting sqref="AE87">
    <cfRule type="cellIs" dxfId="1805" priority="21" operator="equal">
      <formula>"XXX"</formula>
    </cfRule>
  </conditionalFormatting>
  <conditionalFormatting sqref="B110">
    <cfRule type="cellIs" dxfId="1804" priority="20" operator="equal">
      <formula>"XXX"</formula>
    </cfRule>
  </conditionalFormatting>
  <conditionalFormatting sqref="BS66:BS77 BS258:BS269 BS355:BS366 BS451:BS462 BS548:BS559 BS644:BS655 BS701:BS712 BS161:BS172">
    <cfRule type="expression" dxfId="1803" priority="5">
      <formula>(AND($BJ66=$BX$5,LEN($BR66)=0))</formula>
    </cfRule>
  </conditionalFormatting>
  <conditionalFormatting sqref="BV777:BV788">
    <cfRule type="expression" dxfId="1802" priority="6">
      <formula>(AND($BJ777=$BX$5,LEN($BX777)=0))</formula>
    </cfRule>
  </conditionalFormatting>
  <conditionalFormatting sqref="BW777:BW788">
    <cfRule type="expression" dxfId="1801" priority="7">
      <formula>(AND($BJ777=$BX$5,LEN($BX777)=0))</formula>
    </cfRule>
  </conditionalFormatting>
  <conditionalFormatting sqref="BX777:BX788">
    <cfRule type="expression" dxfId="1800" priority="1259">
      <formula>(AND($BJ777=$BX$5,LEN($BX777)=0))</formula>
    </cfRule>
  </conditionalFormatting>
  <conditionalFormatting sqref="BY777:BY788">
    <cfRule type="expression" dxfId="1799" priority="1262">
      <formula>(AND($BJ777=$BX$5,LEN($BX777)=0))</formula>
    </cfRule>
  </conditionalFormatting>
  <conditionalFormatting sqref="CA777:CA788">
    <cfRule type="expression" dxfId="1798" priority="16668">
      <formula>(AND($BJ777=$BX$5,LEN($BX777)=0))</formula>
    </cfRule>
  </conditionalFormatting>
  <conditionalFormatting sqref="CB777:CB788">
    <cfRule type="expression" dxfId="1797" priority="16670">
      <formula>(AND($BJ777=$BX$5,LEN($BX777)=0))</formula>
    </cfRule>
  </conditionalFormatting>
  <dataValidations count="2">
    <dataValidation type="whole" operator="greaterThanOrEqual" allowBlank="1" showInputMessage="1" showErrorMessage="1" errorTitle="Positive Value" error="This value must be entered as a positive number." sqref="BJ6:BV6 BJ12:BV14 BJ8:BV8 BJ10:BV10" xr:uid="{00000000-0002-0000-1700-000003000000}">
      <formula1>0</formula1>
    </dataValidation>
    <dataValidation type="whole" operator="lessThan" allowBlank="1" showInputMessage="1" showErrorMessage="1" errorTitle="Negative Value" error="This value must be entered as a negative number." sqref="BJ7:BV7 BJ11:BV11 BJ9:BV9" xr:uid="{00000000-0002-0000-1700-000004000000}">
      <formula1>0</formula1>
    </dataValidation>
  </dataValidations>
  <hyperlinks>
    <hyperlink ref="BW7" location="BSS!BI28" display="BSS" xr:uid="{DCC90477-F81D-4DF7-AA33-1D7DDF7AF1B8}"/>
    <hyperlink ref="BW8" location="BSS!BI125" display="iCare" xr:uid="{10A7AF1E-054A-4563-915A-19DBD6E4CD54}"/>
    <hyperlink ref="BW9" location="BSS!BI221" display="MunchMail" xr:uid="{31580EE6-AADB-441F-8A4B-552941E23891}"/>
    <hyperlink ref="BW10" location="BSS!BI318" display="US Open" xr:uid="{B0747819-6110-487A-A543-E68D19D0C285}"/>
    <hyperlink ref="BW11" location="BSS!BI415" display="Spurs" xr:uid="{194D86B6-7C06-4684-9243-4DBA603066D4}"/>
    <hyperlink ref="BW12" location="BSS!BI512" display="San Jose Sharks" xr:uid="{0A8DB89A-9CC7-4B38-A0B9-D84C9376D155}"/>
    <hyperlink ref="BW13" location="BSS!BI609" display="Email Tracker" xr:uid="{267E19DF-C979-4C59-876B-3746CEBD779F}"/>
    <hyperlink ref="BW14" location="BSS!BI628" display="Facilities" xr:uid="{794C303E-B93C-46E6-8A52-E873D05BC5A7}"/>
    <hyperlink ref="BW15" location="BSS!BI743" display="Ireland" xr:uid="{5CCBBC8D-AE3B-40AC-87B5-3AF09C6F60D0}"/>
    <hyperlink ref="BW16" location="BSS!BI799" display="Callbacks" xr:uid="{7F5C16F0-A562-4BE4-8987-416F78E8B683}"/>
  </hyperlinks>
  <printOptions horizontalCentered="1"/>
  <pageMargins left="0.25" right="0.25" top="0.25" bottom="0.5" header="0.3" footer="0.3"/>
  <pageSetup scale="66" orientation="landscape" r:id="rId1"/>
  <headerFooter>
    <oddFooter>&amp;R&amp;F | &amp;A
Printed &amp;D @ &amp;T
&amp;P</oddFooter>
  </headerFooter>
  <rowBreaks count="6" manualBreakCount="6">
    <brk id="33" max="57" man="1"/>
    <brk id="88" max="57" man="1"/>
    <brk id="162" max="57" man="1"/>
    <brk id="217" max="57" man="1"/>
    <brk id="272" max="57" man="1"/>
    <brk id="327" max="57" man="1"/>
  </rowBreaks>
  <ignoredErrors>
    <ignoredError sqref="BT183 BO45 BO48 BO51 BO54" formulaRange="1"/>
  </ignoredErrors>
  <drawing r:id="rId2"/>
  <legacyDrawing r:id="rId3"/>
  <extLst>
    <ext xmlns:x14="http://schemas.microsoft.com/office/spreadsheetml/2009/9/main" uri="{78C0D931-6437-407d-A8EE-F0AAD7539E65}">
      <x14:conditionalFormattings>
        <x14:conditionalFormatting xmlns:xm="http://schemas.microsoft.com/office/excel/2006/main">
          <x14:cfRule type="cellIs" priority="5159" operator="equal" id="{BC6A9E47-0A1D-421D-AA83-141E3E62B074}">
            <xm:f>AR!$A$1</xm:f>
            <x14:dxf>
              <font>
                <color theme="0"/>
              </font>
            </x14:dxf>
          </x14:cfRule>
          <xm:sqref>J24:J26</xm:sqref>
        </x14:conditionalFormatting>
        <x14:conditionalFormatting xmlns:xm="http://schemas.microsoft.com/office/excel/2006/main">
          <x14:cfRule type="cellIs" priority="3631" operator="equal" id="{E0C65FDA-01A9-46E3-878E-FC9C4BF4FE96}">
            <xm:f>AR!$A$1</xm:f>
            <x14:dxf>
              <font>
                <color theme="0"/>
              </font>
            </x14:dxf>
          </x14:cfRule>
          <xm:sqref>G24</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31">
    <tabColor theme="4"/>
  </sheetPr>
  <dimension ref="B1:CC154"/>
  <sheetViews>
    <sheetView showGridLines="0" topLeftCell="BP122" zoomScaleNormal="100" workbookViewId="0">
      <selection activeCell="BI20" sqref="BI20:CC152"/>
    </sheetView>
  </sheetViews>
  <sheetFormatPr defaultColWidth="3.28515625" defaultRowHeight="14.65" customHeight="1"/>
  <cols>
    <col min="1" max="1" width="3.28515625" style="6" customWidth="1"/>
    <col min="2" max="6" width="3.28515625" style="37"/>
    <col min="7" max="7" width="3.5703125" style="37" bestFit="1" customWidth="1"/>
    <col min="8" max="10" width="3.28515625" style="37"/>
    <col min="11" max="11" width="3.42578125" style="37" bestFit="1" customWidth="1"/>
    <col min="12" max="12" width="3.28515625" style="37"/>
    <col min="13" max="13" width="4" style="37" customWidth="1"/>
    <col min="14" max="15" width="3.28515625" style="37"/>
    <col min="16" max="16" width="3.42578125" style="37" bestFit="1" customWidth="1"/>
    <col min="17" max="20" width="3.28515625" style="37"/>
    <col min="21" max="22" width="3.42578125" style="37" bestFit="1" customWidth="1"/>
    <col min="23" max="26" width="3.28515625" style="37"/>
    <col min="27" max="27" width="3.42578125" style="37" bestFit="1" customWidth="1"/>
    <col min="28" max="36" width="3.28515625" style="37"/>
    <col min="37" max="37" width="3.5703125" style="37" bestFit="1" customWidth="1"/>
    <col min="38" max="38" width="3.28515625" style="37"/>
    <col min="39" max="39" width="3.5703125" style="37" bestFit="1" customWidth="1"/>
    <col min="40" max="41" width="3.28515625" style="37"/>
    <col min="42" max="42" width="4.28515625" style="37" customWidth="1"/>
    <col min="43" max="57" width="3.28515625" style="37"/>
    <col min="58" max="59" width="3.28515625" style="6"/>
    <col min="60" max="60" width="5" style="6" bestFit="1" customWidth="1"/>
    <col min="61" max="61" width="18.140625" style="270" customWidth="1"/>
    <col min="62" max="73" width="12.7109375" style="270" customWidth="1"/>
    <col min="74" max="74" width="10" style="270" customWidth="1"/>
    <col min="75" max="75" width="15.7109375" style="37" bestFit="1" customWidth="1"/>
    <col min="76" max="76" width="8.5703125" style="37" bestFit="1" customWidth="1"/>
    <col min="77" max="77" width="11.28515625" style="37" bestFit="1" customWidth="1"/>
    <col min="78" max="78" width="8.5703125" style="37" bestFit="1" customWidth="1"/>
    <col min="79" max="79" width="12.140625" style="37" customWidth="1"/>
    <col min="80" max="80" width="9.42578125" style="37" customWidth="1"/>
    <col min="81" max="81" width="9.7109375" style="37" customWidth="1"/>
    <col min="82" max="93" width="9.7109375" style="6" customWidth="1"/>
    <col min="94" max="16384" width="3.28515625" style="6"/>
  </cols>
  <sheetData>
    <row r="1" spans="2:76" ht="14.65" customHeight="1">
      <c r="BI1" s="1232" t="s">
        <v>89</v>
      </c>
      <c r="BJ1" s="1232"/>
      <c r="BK1" s="1232"/>
      <c r="BL1" s="1232"/>
      <c r="BM1" s="1232"/>
      <c r="BN1" s="1232"/>
      <c r="BO1" s="1232"/>
      <c r="BP1" s="1232"/>
      <c r="BQ1" s="1232"/>
      <c r="BR1" s="1232"/>
      <c r="BS1" s="1232"/>
      <c r="BT1" s="1232"/>
      <c r="BU1" s="1232"/>
    </row>
    <row r="2" spans="2:76" ht="14.65" customHeight="1">
      <c r="B2" s="1146" t="s">
        <v>180</v>
      </c>
      <c r="C2" s="1146"/>
      <c r="D2" s="1146"/>
      <c r="E2" s="1146"/>
      <c r="F2" s="1146"/>
      <c r="G2" s="1146"/>
      <c r="H2" s="1146"/>
      <c r="I2" s="1146"/>
      <c r="J2" s="1146"/>
      <c r="K2" s="1146"/>
      <c r="L2" s="1146"/>
      <c r="M2" s="1146"/>
      <c r="N2" s="1146"/>
      <c r="O2" s="1146"/>
      <c r="P2" s="1146"/>
      <c r="Q2" s="1146"/>
      <c r="R2" s="1146"/>
      <c r="S2" s="1146"/>
      <c r="T2" s="1146"/>
      <c r="U2" s="1146"/>
      <c r="V2" s="1146"/>
      <c r="W2" s="1146"/>
      <c r="X2" s="1146"/>
      <c r="Y2" s="1146"/>
      <c r="Z2" s="1146"/>
      <c r="AA2" s="1146"/>
      <c r="AB2" s="1146"/>
      <c r="AC2" s="1146"/>
      <c r="AD2" s="1146"/>
      <c r="AE2" s="1146"/>
      <c r="AF2" s="1146"/>
      <c r="AG2" s="1146"/>
      <c r="AH2" s="1146"/>
      <c r="AI2" s="1146"/>
      <c r="AJ2" s="1146"/>
      <c r="AK2" s="1146"/>
      <c r="AL2" s="1146"/>
      <c r="AM2" s="1146"/>
      <c r="AN2" s="1146"/>
      <c r="AO2" s="1146"/>
      <c r="AP2" s="1146"/>
      <c r="AQ2" s="1146"/>
      <c r="AR2" s="1146"/>
      <c r="AS2" s="1146"/>
      <c r="AT2" s="1146"/>
      <c r="AU2" s="1146"/>
      <c r="AV2" s="1146"/>
      <c r="AW2" s="1146"/>
      <c r="AX2" s="1146"/>
      <c r="AY2" s="1146"/>
      <c r="AZ2" s="1146"/>
      <c r="BA2" s="1146"/>
      <c r="BB2" s="1146"/>
      <c r="BC2" s="1146"/>
      <c r="BD2" s="1146"/>
      <c r="BE2" s="1146"/>
      <c r="BI2" s="271" t="s">
        <v>89</v>
      </c>
    </row>
    <row r="3" spans="2:76" ht="14.65" customHeight="1">
      <c r="B3" s="1146"/>
      <c r="C3" s="1146"/>
      <c r="D3" s="1146"/>
      <c r="E3" s="1146"/>
      <c r="F3" s="1146"/>
      <c r="G3" s="1146"/>
      <c r="H3" s="1146"/>
      <c r="I3" s="1146"/>
      <c r="J3" s="1146"/>
      <c r="K3" s="1146"/>
      <c r="L3" s="1146"/>
      <c r="M3" s="1146"/>
      <c r="N3" s="1146"/>
      <c r="O3" s="1146"/>
      <c r="P3" s="1146"/>
      <c r="Q3" s="1146"/>
      <c r="R3" s="1146"/>
      <c r="S3" s="1146"/>
      <c r="T3" s="1146"/>
      <c r="U3" s="1146"/>
      <c r="V3" s="1146"/>
      <c r="W3" s="1146"/>
      <c r="X3" s="1146"/>
      <c r="Y3" s="1146"/>
      <c r="Z3" s="1146"/>
      <c r="AA3" s="1146"/>
      <c r="AB3" s="1146"/>
      <c r="AC3" s="1146"/>
      <c r="AD3" s="1146"/>
      <c r="AE3" s="1146"/>
      <c r="AF3" s="1146"/>
      <c r="AG3" s="1146"/>
      <c r="AH3" s="1146"/>
      <c r="AI3" s="1146"/>
      <c r="AJ3" s="1146"/>
      <c r="AK3" s="1146"/>
      <c r="AL3" s="1146"/>
      <c r="AM3" s="1146"/>
      <c r="AN3" s="1146"/>
      <c r="AO3" s="1146"/>
      <c r="AP3" s="1146"/>
      <c r="AQ3" s="1146"/>
      <c r="AR3" s="1146"/>
      <c r="AS3" s="1146"/>
      <c r="AT3" s="1146"/>
      <c r="AU3" s="1146"/>
      <c r="AV3" s="1146"/>
      <c r="AW3" s="1146"/>
      <c r="AX3" s="1146"/>
      <c r="AY3" s="1146"/>
      <c r="AZ3" s="1146"/>
      <c r="BA3" s="1146"/>
      <c r="BB3" s="1146"/>
      <c r="BC3" s="1146"/>
      <c r="BD3" s="1146"/>
      <c r="BE3" s="1146"/>
      <c r="BI3" s="272" t="s">
        <v>261</v>
      </c>
    </row>
    <row r="4" spans="2:76" ht="14.65" customHeight="1">
      <c r="B4" s="1147"/>
      <c r="C4" s="1147"/>
      <c r="D4" s="1147"/>
      <c r="E4" s="1147"/>
      <c r="F4" s="1147"/>
      <c r="G4" s="1147"/>
      <c r="H4" s="1147"/>
      <c r="I4" s="1147"/>
      <c r="J4" s="1147"/>
      <c r="K4" s="1147"/>
      <c r="L4" s="1147"/>
      <c r="M4" s="1147"/>
      <c r="N4" s="1147"/>
      <c r="O4" s="1147"/>
      <c r="P4" s="1147"/>
      <c r="Q4" s="1147"/>
      <c r="R4" s="1147"/>
      <c r="S4" s="1147"/>
      <c r="T4" s="1147"/>
      <c r="U4" s="1147"/>
      <c r="V4" s="1147"/>
      <c r="W4" s="1147"/>
      <c r="X4" s="1147"/>
      <c r="Y4" s="1147"/>
      <c r="Z4" s="1147"/>
      <c r="AA4" s="1147"/>
      <c r="AB4" s="1147"/>
      <c r="AC4" s="1147"/>
      <c r="AD4" s="1147"/>
      <c r="AE4" s="1147"/>
      <c r="AF4" s="1147"/>
      <c r="AG4" s="1147"/>
      <c r="AH4" s="1147"/>
      <c r="AI4" s="1147"/>
      <c r="AJ4" s="1147"/>
      <c r="AK4" s="1147"/>
      <c r="AL4" s="1147"/>
      <c r="AM4" s="1147"/>
      <c r="AN4" s="1147"/>
      <c r="AO4" s="1147"/>
      <c r="AP4" s="1147"/>
      <c r="AQ4" s="1147"/>
      <c r="AR4" s="1147"/>
      <c r="AS4" s="1147"/>
      <c r="AT4" s="1147"/>
      <c r="AU4" s="1147"/>
      <c r="AV4" s="1147"/>
      <c r="AW4" s="1147"/>
      <c r="AX4" s="1147"/>
      <c r="AY4" s="1147"/>
      <c r="AZ4" s="1147"/>
      <c r="BA4" s="1147"/>
      <c r="BB4" s="1147"/>
      <c r="BC4" s="1147"/>
      <c r="BD4" s="1147"/>
      <c r="BE4" s="1147"/>
      <c r="BI4" s="273" t="s">
        <v>23</v>
      </c>
      <c r="BJ4" s="273" t="s">
        <v>24</v>
      </c>
      <c r="BK4" s="273" t="s">
        <v>25</v>
      </c>
      <c r="BL4" s="273" t="s">
        <v>26</v>
      </c>
      <c r="BM4" s="273" t="s">
        <v>27</v>
      </c>
      <c r="BN4" s="273" t="s">
        <v>28</v>
      </c>
      <c r="BO4" s="273" t="s">
        <v>29</v>
      </c>
      <c r="BP4" s="273" t="s">
        <v>30</v>
      </c>
      <c r="BQ4" s="273" t="s">
        <v>31</v>
      </c>
      <c r="BR4" s="273" t="s">
        <v>32</v>
      </c>
      <c r="BS4" s="273" t="s">
        <v>33</v>
      </c>
      <c r="BT4" s="273" t="s">
        <v>34</v>
      </c>
      <c r="BU4" s="273" t="s">
        <v>35</v>
      </c>
      <c r="BV4" s="273" t="s">
        <v>36</v>
      </c>
      <c r="BX4" s="274" t="s">
        <v>262</v>
      </c>
    </row>
    <row r="5" spans="2:76" ht="14.65" customHeight="1">
      <c r="B5" s="1234" t="str">
        <f>CC!BI1</f>
        <v>GBS - Contact Center - Facilities</v>
      </c>
      <c r="C5" s="1235"/>
      <c r="D5" s="1235"/>
      <c r="E5" s="1235"/>
      <c r="F5" s="1235"/>
      <c r="G5" s="1235"/>
      <c r="H5" s="1235"/>
      <c r="I5" s="1235"/>
      <c r="J5" s="1235"/>
      <c r="K5" s="1235"/>
      <c r="L5" s="1235"/>
      <c r="M5" s="1235"/>
      <c r="N5" s="1235"/>
      <c r="O5" s="1235"/>
      <c r="P5" s="1235"/>
      <c r="Q5" s="1235"/>
      <c r="R5" s="1235"/>
      <c r="S5" s="1235"/>
      <c r="T5" s="1235"/>
      <c r="U5" s="1235"/>
      <c r="V5" s="1235"/>
      <c r="W5" s="1235"/>
      <c r="X5" s="1235"/>
      <c r="Y5" s="1235"/>
      <c r="Z5" s="1235"/>
      <c r="AA5" s="1235"/>
      <c r="AB5" s="1235"/>
      <c r="AC5" s="1235"/>
      <c r="AD5" s="1235"/>
      <c r="AE5" s="1235"/>
      <c r="AF5" s="1235"/>
      <c r="AG5" s="1235"/>
      <c r="AH5" s="1235"/>
      <c r="AI5" s="1235"/>
      <c r="AJ5" s="1235"/>
      <c r="AK5" s="1235"/>
      <c r="AL5" s="1235"/>
      <c r="AM5" s="1235"/>
      <c r="AN5" s="1235"/>
      <c r="AO5" s="1235"/>
      <c r="AP5" s="1235"/>
      <c r="AQ5" s="1235"/>
      <c r="AR5" s="1235"/>
      <c r="AS5" s="630"/>
      <c r="AT5" s="630"/>
      <c r="AU5" s="630"/>
      <c r="AV5" s="630"/>
      <c r="AW5" s="630"/>
      <c r="AX5" s="630"/>
      <c r="AY5" s="630"/>
      <c r="AZ5" s="630"/>
      <c r="BA5" s="630"/>
      <c r="BB5" s="630"/>
      <c r="BC5" s="630"/>
      <c r="BD5" s="630"/>
      <c r="BE5" s="631" t="str">
        <f>Cover!M34</f>
        <v>OCT FY-24</v>
      </c>
      <c r="BI5" s="273" t="s">
        <v>37</v>
      </c>
      <c r="BJ5" s="273">
        <v>-1</v>
      </c>
      <c r="BK5" s="273">
        <v>1</v>
      </c>
      <c r="BL5" s="273">
        <v>2</v>
      </c>
      <c r="BM5" s="273">
        <v>3</v>
      </c>
      <c r="BN5" s="273">
        <v>4</v>
      </c>
      <c r="BO5" s="273">
        <v>5</v>
      </c>
      <c r="BP5" s="273">
        <v>6</v>
      </c>
      <c r="BQ5" s="273">
        <v>7</v>
      </c>
      <c r="BR5" s="273">
        <v>8</v>
      </c>
      <c r="BS5" s="273">
        <v>9</v>
      </c>
      <c r="BT5" s="273">
        <v>10</v>
      </c>
      <c r="BU5" s="273">
        <v>11</v>
      </c>
      <c r="BV5" s="273">
        <v>12</v>
      </c>
      <c r="BX5" s="271">
        <f>Cover!M36</f>
        <v>1</v>
      </c>
    </row>
    <row r="6" spans="2:76" ht="14.65" customHeight="1">
      <c r="BI6" s="271" t="s">
        <v>263</v>
      </c>
      <c r="BJ6" s="632">
        <v>10</v>
      </c>
      <c r="BK6" s="633">
        <f>BJ14-BJ13</f>
        <v>10</v>
      </c>
      <c r="BL6" s="633">
        <f>BK14-BK13</f>
        <v>10</v>
      </c>
      <c r="BM6" s="633">
        <f>BL14-BL13</f>
        <v>10</v>
      </c>
      <c r="BN6" s="633">
        <f>BM14-BM13</f>
        <v>10</v>
      </c>
      <c r="BO6" s="633">
        <f>BN14-BN13</f>
        <v>10</v>
      </c>
      <c r="BP6" s="633">
        <f t="shared" ref="BP6:BV6" si="0">BO14-BO13</f>
        <v>10</v>
      </c>
      <c r="BQ6" s="633">
        <f t="shared" si="0"/>
        <v>10</v>
      </c>
      <c r="BR6" s="633">
        <f t="shared" si="0"/>
        <v>10</v>
      </c>
      <c r="BS6" s="633">
        <f t="shared" si="0"/>
        <v>10</v>
      </c>
      <c r="BT6" s="633">
        <f t="shared" si="0"/>
        <v>10</v>
      </c>
      <c r="BU6" s="633">
        <f t="shared" si="0"/>
        <v>10</v>
      </c>
      <c r="BV6" s="633">
        <f t="shared" si="0"/>
        <v>10</v>
      </c>
      <c r="BX6" s="271"/>
    </row>
    <row r="7" spans="2:76" ht="14.65" customHeight="1">
      <c r="B7" s="531" t="s">
        <v>484</v>
      </c>
      <c r="C7" s="532"/>
      <c r="D7" s="532"/>
      <c r="E7" s="532"/>
      <c r="F7" s="532"/>
      <c r="G7" s="532"/>
      <c r="H7" s="532"/>
      <c r="I7" s="532"/>
      <c r="J7" s="532"/>
      <c r="K7" s="532"/>
      <c r="L7" s="532"/>
      <c r="M7" s="532"/>
      <c r="N7" s="532"/>
      <c r="O7" s="532"/>
      <c r="P7" s="532"/>
      <c r="Q7" s="532"/>
      <c r="R7" s="532"/>
      <c r="S7" s="532"/>
      <c r="T7" s="532"/>
      <c r="U7" s="532"/>
      <c r="V7" s="532"/>
      <c r="W7" s="532"/>
      <c r="X7" s="532"/>
      <c r="Y7" s="532"/>
      <c r="Z7" s="532"/>
      <c r="AA7" s="532"/>
      <c r="AB7" s="532"/>
      <c r="AE7" s="531" t="s">
        <v>265</v>
      </c>
      <c r="AF7" s="532"/>
      <c r="AG7" s="532"/>
      <c r="AH7" s="532"/>
      <c r="AI7" s="532"/>
      <c r="AJ7" s="532"/>
      <c r="AK7" s="532"/>
      <c r="AL7" s="532"/>
      <c r="AM7" s="532"/>
      <c r="AN7" s="532"/>
      <c r="AO7" s="532"/>
      <c r="AP7" s="532"/>
      <c r="AQ7" s="532"/>
      <c r="AR7" s="532"/>
      <c r="AS7" s="532"/>
      <c r="AT7" s="532"/>
      <c r="AU7" s="532"/>
      <c r="AV7" s="532"/>
      <c r="AW7" s="532"/>
      <c r="AX7" s="532"/>
      <c r="AY7" s="532"/>
      <c r="AZ7" s="532"/>
      <c r="BA7" s="532"/>
      <c r="BB7" s="532"/>
      <c r="BC7" s="532"/>
      <c r="BD7" s="532"/>
      <c r="BE7" s="532"/>
      <c r="BI7" s="271" t="s">
        <v>266</v>
      </c>
      <c r="BJ7" s="632"/>
      <c r="BK7" s="632"/>
      <c r="BL7" s="632"/>
      <c r="BM7" s="632"/>
      <c r="BN7" s="632"/>
      <c r="BO7" s="632"/>
      <c r="BP7" s="632"/>
      <c r="BQ7" s="632"/>
      <c r="BR7" s="632"/>
      <c r="BS7" s="632"/>
      <c r="BT7" s="632"/>
      <c r="BU7" s="632"/>
      <c r="BV7" s="632"/>
      <c r="BX7" s="271"/>
    </row>
    <row r="8" spans="2:76" ht="14.65" customHeight="1">
      <c r="B8" s="1137" t="s">
        <v>485</v>
      </c>
      <c r="C8" s="1414"/>
      <c r="D8" s="1414"/>
      <c r="E8" s="1414"/>
      <c r="F8" s="1414"/>
      <c r="G8" s="1414"/>
      <c r="H8" s="1414"/>
      <c r="I8" s="1414"/>
      <c r="J8" s="1414"/>
      <c r="K8" s="1414"/>
      <c r="L8" s="1414"/>
      <c r="M8" s="1414"/>
      <c r="N8" s="1414"/>
      <c r="O8" s="1414"/>
      <c r="P8" s="1414"/>
      <c r="Q8" s="1414"/>
      <c r="R8" s="1414"/>
      <c r="S8" s="1414"/>
      <c r="T8" s="1414"/>
      <c r="U8" s="1414"/>
      <c r="V8" s="1414"/>
      <c r="W8" s="1414"/>
      <c r="X8" s="1414"/>
      <c r="Y8" s="1414"/>
      <c r="Z8" s="1414"/>
      <c r="AA8" s="1414"/>
      <c r="AB8" s="1415"/>
      <c r="AE8" s="1137" t="s">
        <v>486</v>
      </c>
      <c r="AF8" s="1138"/>
      <c r="AG8" s="1138"/>
      <c r="AH8" s="1138"/>
      <c r="AI8" s="1138"/>
      <c r="AJ8" s="1138"/>
      <c r="AK8" s="1138"/>
      <c r="AL8" s="1138"/>
      <c r="AM8" s="1138"/>
      <c r="AN8" s="1138"/>
      <c r="AO8" s="1138"/>
      <c r="AP8" s="1138"/>
      <c r="AQ8" s="1138"/>
      <c r="AR8" s="1138"/>
      <c r="AS8" s="1138"/>
      <c r="AT8" s="1138"/>
      <c r="AU8" s="1138"/>
      <c r="AV8" s="1138"/>
      <c r="AW8" s="1138"/>
      <c r="AX8" s="1138"/>
      <c r="AY8" s="1138"/>
      <c r="AZ8" s="1138"/>
      <c r="BA8" s="1138"/>
      <c r="BB8" s="1138"/>
      <c r="BC8" s="1138"/>
      <c r="BD8" s="1138"/>
      <c r="BE8" s="1139"/>
      <c r="BI8" s="270" t="s">
        <v>269</v>
      </c>
      <c r="BJ8" s="632"/>
      <c r="BK8" s="632"/>
      <c r="BL8" s="632"/>
      <c r="BM8" s="632"/>
      <c r="BN8" s="632"/>
      <c r="BO8" s="632"/>
      <c r="BP8" s="632"/>
      <c r="BQ8" s="632"/>
      <c r="BR8" s="632"/>
      <c r="BS8" s="632"/>
      <c r="BT8" s="632"/>
      <c r="BU8" s="632"/>
      <c r="BV8" s="632"/>
      <c r="BX8" s="271"/>
    </row>
    <row r="9" spans="2:76" ht="14.65" customHeight="1">
      <c r="B9" s="1416"/>
      <c r="C9" s="1417"/>
      <c r="D9" s="1417"/>
      <c r="E9" s="1417"/>
      <c r="F9" s="1417"/>
      <c r="G9" s="1417"/>
      <c r="H9" s="1417"/>
      <c r="I9" s="1417"/>
      <c r="J9" s="1417"/>
      <c r="K9" s="1417"/>
      <c r="L9" s="1417"/>
      <c r="M9" s="1417"/>
      <c r="N9" s="1417"/>
      <c r="O9" s="1417"/>
      <c r="P9" s="1417"/>
      <c r="Q9" s="1417"/>
      <c r="R9" s="1417"/>
      <c r="S9" s="1417"/>
      <c r="T9" s="1417"/>
      <c r="U9" s="1417"/>
      <c r="V9" s="1417"/>
      <c r="W9" s="1417"/>
      <c r="X9" s="1417"/>
      <c r="Y9" s="1417"/>
      <c r="Z9" s="1417"/>
      <c r="AA9" s="1417"/>
      <c r="AB9" s="1418"/>
      <c r="AE9" s="1140"/>
      <c r="AF9" s="1141"/>
      <c r="AG9" s="1141"/>
      <c r="AH9" s="1141"/>
      <c r="AI9" s="1141"/>
      <c r="AJ9" s="1141"/>
      <c r="AK9" s="1141"/>
      <c r="AL9" s="1141"/>
      <c r="AM9" s="1141"/>
      <c r="AN9" s="1141"/>
      <c r="AO9" s="1141"/>
      <c r="AP9" s="1141"/>
      <c r="AQ9" s="1141"/>
      <c r="AR9" s="1141"/>
      <c r="AS9" s="1141"/>
      <c r="AT9" s="1141"/>
      <c r="AU9" s="1141"/>
      <c r="AV9" s="1141"/>
      <c r="AW9" s="1141"/>
      <c r="AX9" s="1141"/>
      <c r="AY9" s="1141"/>
      <c r="AZ9" s="1141"/>
      <c r="BA9" s="1141"/>
      <c r="BB9" s="1141"/>
      <c r="BC9" s="1141"/>
      <c r="BD9" s="1141"/>
      <c r="BE9" s="1142"/>
      <c r="BI9" s="270" t="s">
        <v>270</v>
      </c>
      <c r="BJ9" s="632"/>
      <c r="BK9" s="632"/>
      <c r="BL9" s="632"/>
      <c r="BM9" s="632"/>
      <c r="BN9" s="632"/>
      <c r="BO9" s="632"/>
      <c r="BP9" s="632"/>
      <c r="BQ9" s="632"/>
      <c r="BR9" s="632"/>
      <c r="BS9" s="632"/>
      <c r="BT9" s="632"/>
      <c r="BU9" s="632"/>
      <c r="BV9" s="632"/>
      <c r="BX9" s="271"/>
    </row>
    <row r="10" spans="2:76" ht="14.65" customHeight="1">
      <c r="B10" s="1416"/>
      <c r="C10" s="1417"/>
      <c r="D10" s="1417"/>
      <c r="E10" s="1417"/>
      <c r="F10" s="1417"/>
      <c r="G10" s="1417"/>
      <c r="H10" s="1417"/>
      <c r="I10" s="1417"/>
      <c r="J10" s="1417"/>
      <c r="K10" s="1417"/>
      <c r="L10" s="1417"/>
      <c r="M10" s="1417"/>
      <c r="N10" s="1417"/>
      <c r="O10" s="1417"/>
      <c r="P10" s="1417"/>
      <c r="Q10" s="1417"/>
      <c r="R10" s="1417"/>
      <c r="S10" s="1417"/>
      <c r="T10" s="1417"/>
      <c r="U10" s="1417"/>
      <c r="V10" s="1417"/>
      <c r="W10" s="1417"/>
      <c r="X10" s="1417"/>
      <c r="Y10" s="1417"/>
      <c r="Z10" s="1417"/>
      <c r="AA10" s="1417"/>
      <c r="AB10" s="1418"/>
      <c r="AE10" s="1140"/>
      <c r="AF10" s="1141"/>
      <c r="AG10" s="1141"/>
      <c r="AH10" s="1141"/>
      <c r="AI10" s="1141"/>
      <c r="AJ10" s="1141"/>
      <c r="AK10" s="1141"/>
      <c r="AL10" s="1141"/>
      <c r="AM10" s="1141"/>
      <c r="AN10" s="1141"/>
      <c r="AO10" s="1141"/>
      <c r="AP10" s="1141"/>
      <c r="AQ10" s="1141"/>
      <c r="AR10" s="1141"/>
      <c r="AS10" s="1141"/>
      <c r="AT10" s="1141"/>
      <c r="AU10" s="1141"/>
      <c r="AV10" s="1141"/>
      <c r="AW10" s="1141"/>
      <c r="AX10" s="1141"/>
      <c r="AY10" s="1141"/>
      <c r="AZ10" s="1141"/>
      <c r="BA10" s="1141"/>
      <c r="BB10" s="1141"/>
      <c r="BC10" s="1141"/>
      <c r="BD10" s="1141"/>
      <c r="BE10" s="1142"/>
      <c r="BI10" s="270" t="s">
        <v>271</v>
      </c>
      <c r="BJ10" s="632"/>
      <c r="BK10" s="632"/>
      <c r="BL10" s="632"/>
      <c r="BM10" s="632"/>
      <c r="BN10" s="632"/>
      <c r="BO10" s="632"/>
      <c r="BP10" s="632"/>
      <c r="BQ10" s="632"/>
      <c r="BR10" s="632"/>
      <c r="BS10" s="632"/>
      <c r="BT10" s="632"/>
      <c r="BU10" s="632"/>
      <c r="BV10" s="632"/>
      <c r="BX10" s="271"/>
    </row>
    <row r="11" spans="2:76" ht="12">
      <c r="B11" s="1419"/>
      <c r="C11" s="1420"/>
      <c r="D11" s="1420"/>
      <c r="E11" s="1420"/>
      <c r="F11" s="1420"/>
      <c r="G11" s="1420"/>
      <c r="H11" s="1420"/>
      <c r="I11" s="1420"/>
      <c r="J11" s="1420"/>
      <c r="K11" s="1420"/>
      <c r="L11" s="1420"/>
      <c r="M11" s="1420"/>
      <c r="N11" s="1420"/>
      <c r="O11" s="1420"/>
      <c r="P11" s="1420"/>
      <c r="Q11" s="1420"/>
      <c r="R11" s="1420"/>
      <c r="S11" s="1420"/>
      <c r="T11" s="1420"/>
      <c r="U11" s="1420"/>
      <c r="V11" s="1420"/>
      <c r="W11" s="1420"/>
      <c r="X11" s="1420"/>
      <c r="Y11" s="1420"/>
      <c r="Z11" s="1420"/>
      <c r="AA11" s="1420"/>
      <c r="AB11" s="1421"/>
      <c r="AE11" s="1143"/>
      <c r="AF11" s="1144"/>
      <c r="AG11" s="1144"/>
      <c r="AH11" s="1144"/>
      <c r="AI11" s="1144"/>
      <c r="AJ11" s="1144"/>
      <c r="AK11" s="1144"/>
      <c r="AL11" s="1144"/>
      <c r="AM11" s="1144"/>
      <c r="AN11" s="1144"/>
      <c r="AO11" s="1144"/>
      <c r="AP11" s="1144"/>
      <c r="AQ11" s="1144"/>
      <c r="AR11" s="1144"/>
      <c r="AS11" s="1144"/>
      <c r="AT11" s="1144"/>
      <c r="AU11" s="1144"/>
      <c r="AV11" s="1144"/>
      <c r="AW11" s="1144"/>
      <c r="AX11" s="1144"/>
      <c r="AY11" s="1144"/>
      <c r="AZ11" s="1144"/>
      <c r="BA11" s="1144"/>
      <c r="BB11" s="1144"/>
      <c r="BC11" s="1144"/>
      <c r="BD11" s="1144"/>
      <c r="BE11" s="1145"/>
      <c r="BI11" s="270" t="s">
        <v>272</v>
      </c>
      <c r="BJ11" s="632"/>
      <c r="BK11" s="632"/>
      <c r="BL11" s="632"/>
      <c r="BM11" s="632"/>
      <c r="BN11" s="632"/>
      <c r="BO11" s="632"/>
      <c r="BP11" s="632"/>
      <c r="BQ11" s="632"/>
      <c r="BR11" s="632"/>
      <c r="BS11" s="632"/>
      <c r="BT11" s="632"/>
      <c r="BU11" s="632"/>
      <c r="BV11" s="632"/>
      <c r="BX11" s="271"/>
    </row>
    <row r="12" spans="2:76" ht="14.65" customHeight="1">
      <c r="BI12" s="270" t="s">
        <v>273</v>
      </c>
      <c r="BJ12" s="632"/>
      <c r="BK12" s="632"/>
      <c r="BL12" s="632"/>
      <c r="BM12" s="632"/>
      <c r="BN12" s="632"/>
      <c r="BO12" s="632"/>
      <c r="BP12" s="632"/>
      <c r="BQ12" s="632"/>
      <c r="BR12" s="632"/>
      <c r="BS12" s="632"/>
      <c r="BT12" s="632"/>
      <c r="BU12" s="632"/>
      <c r="BV12" s="632"/>
      <c r="BX12" s="271"/>
    </row>
    <row r="13" spans="2:76" ht="14.65" customHeight="1">
      <c r="B13" s="531" t="s">
        <v>14</v>
      </c>
      <c r="C13" s="533"/>
      <c r="D13" s="533"/>
      <c r="E13" s="533"/>
      <c r="F13" s="532"/>
      <c r="G13" s="532"/>
      <c r="H13" s="532"/>
      <c r="I13" s="532"/>
      <c r="J13" s="532"/>
      <c r="K13" s="532"/>
      <c r="L13" s="532"/>
      <c r="M13" s="532"/>
      <c r="N13" s="532"/>
      <c r="O13" s="532"/>
      <c r="P13" s="532"/>
      <c r="Q13" s="532"/>
      <c r="R13" s="532"/>
      <c r="S13" s="532"/>
      <c r="T13" s="532"/>
      <c r="U13" s="532"/>
      <c r="V13" s="532"/>
      <c r="W13" s="532"/>
      <c r="X13" s="532"/>
      <c r="Y13" s="532"/>
      <c r="Z13" s="532"/>
      <c r="AA13" s="532"/>
      <c r="AB13" s="532"/>
      <c r="AE13" s="534" t="s">
        <v>59</v>
      </c>
      <c r="AF13" s="535"/>
      <c r="AG13" s="536"/>
      <c r="AH13" s="537"/>
      <c r="AI13" s="538"/>
      <c r="AJ13" s="538"/>
      <c r="AK13" s="538"/>
      <c r="AL13" s="538"/>
      <c r="AM13" s="538"/>
      <c r="AN13" s="538"/>
      <c r="AO13" s="538"/>
      <c r="AP13" s="538"/>
      <c r="AQ13" s="538"/>
      <c r="AR13" s="538"/>
      <c r="AS13" s="538"/>
      <c r="AT13" s="538"/>
      <c r="AU13" s="538"/>
      <c r="AV13" s="538"/>
      <c r="AW13" s="538"/>
      <c r="AX13" s="538"/>
      <c r="AY13" s="538"/>
      <c r="AZ13" s="538"/>
      <c r="BA13" s="538"/>
      <c r="BB13" s="538"/>
      <c r="BC13" s="538"/>
      <c r="BD13" s="538"/>
      <c r="BE13" s="538"/>
      <c r="BI13" s="270" t="s">
        <v>274</v>
      </c>
      <c r="BJ13" s="632"/>
      <c r="BK13" s="632"/>
      <c r="BL13" s="632"/>
      <c r="BM13" s="632"/>
      <c r="BN13" s="632"/>
      <c r="BO13" s="632"/>
      <c r="BP13" s="632"/>
      <c r="BQ13" s="632"/>
      <c r="BR13" s="632"/>
      <c r="BS13" s="632"/>
      <c r="BT13" s="632"/>
      <c r="BU13" s="632"/>
      <c r="BV13" s="632"/>
      <c r="BX13" s="271"/>
    </row>
    <row r="14" spans="2:76" ht="14.65" customHeight="1">
      <c r="B14" s="302"/>
      <c r="C14" s="302"/>
      <c r="D14" s="302"/>
      <c r="E14" s="302"/>
      <c r="F14" s="302"/>
      <c r="G14" s="302"/>
      <c r="H14" s="302"/>
      <c r="I14" s="303"/>
      <c r="J14" s="303"/>
      <c r="K14" s="304"/>
      <c r="L14" s="302"/>
      <c r="M14" s="302"/>
      <c r="N14" s="305"/>
      <c r="O14" s="302"/>
      <c r="P14" s="302"/>
      <c r="Q14" s="302"/>
      <c r="R14" s="302"/>
      <c r="S14" s="302"/>
      <c r="T14" s="302"/>
      <c r="U14" s="302"/>
      <c r="V14" s="1132"/>
      <c r="W14" s="1132"/>
      <c r="X14" s="302"/>
      <c r="Y14" s="302"/>
      <c r="Z14" s="302"/>
      <c r="AA14" s="302"/>
      <c r="AB14" s="302"/>
      <c r="AE14" s="306"/>
      <c r="AF14" s="302"/>
      <c r="AG14" s="302"/>
      <c r="AH14" s="302"/>
      <c r="AI14" s="302"/>
      <c r="AJ14" s="302"/>
      <c r="AK14" s="307"/>
      <c r="AL14" s="307"/>
      <c r="AM14" s="307"/>
      <c r="AN14" s="307"/>
      <c r="AO14" s="308"/>
      <c r="AP14" s="309"/>
      <c r="AQ14" s="309"/>
      <c r="AR14" s="309"/>
      <c r="AS14" s="307"/>
      <c r="AT14" s="308"/>
      <c r="AU14" s="307"/>
      <c r="AV14" s="307"/>
      <c r="AW14" s="307"/>
      <c r="AX14" s="302"/>
      <c r="AY14" s="302"/>
      <c r="AZ14" s="302"/>
      <c r="BA14" s="302"/>
      <c r="BB14" s="302"/>
      <c r="BC14" s="302"/>
      <c r="BD14" s="302"/>
      <c r="BE14" s="302"/>
      <c r="BI14" s="270" t="s">
        <v>41</v>
      </c>
      <c r="BJ14" s="275">
        <f t="shared" ref="BJ14:BV14" si="1">SUM(BJ6:BJ13)</f>
        <v>10</v>
      </c>
      <c r="BK14" s="275">
        <f t="shared" si="1"/>
        <v>10</v>
      </c>
      <c r="BL14" s="275">
        <f t="shared" si="1"/>
        <v>10</v>
      </c>
      <c r="BM14" s="275">
        <f t="shared" si="1"/>
        <v>10</v>
      </c>
      <c r="BN14" s="275">
        <f t="shared" si="1"/>
        <v>10</v>
      </c>
      <c r="BO14" s="275">
        <f t="shared" si="1"/>
        <v>10</v>
      </c>
      <c r="BP14" s="275">
        <f t="shared" si="1"/>
        <v>10</v>
      </c>
      <c r="BQ14" s="275">
        <f t="shared" si="1"/>
        <v>10</v>
      </c>
      <c r="BR14" s="275">
        <f t="shared" si="1"/>
        <v>10</v>
      </c>
      <c r="BS14" s="275">
        <f t="shared" si="1"/>
        <v>10</v>
      </c>
      <c r="BT14" s="275">
        <f t="shared" si="1"/>
        <v>10</v>
      </c>
      <c r="BU14" s="275">
        <f t="shared" si="1"/>
        <v>10</v>
      </c>
      <c r="BV14" s="275">
        <f t="shared" si="1"/>
        <v>10</v>
      </c>
      <c r="BX14" s="271"/>
    </row>
    <row r="15" spans="2:76" ht="15">
      <c r="B15" s="1128" t="s">
        <v>185</v>
      </c>
      <c r="C15" s="1128"/>
      <c r="D15" s="1128"/>
      <c r="E15" s="1128"/>
      <c r="F15" s="1128"/>
      <c r="G15" s="1128"/>
      <c r="I15" s="1128" t="s">
        <v>275</v>
      </c>
      <c r="J15" s="1134"/>
      <c r="K15" s="1134"/>
      <c r="L15" s="1134"/>
      <c r="M15" s="1134"/>
      <c r="N15" s="1134"/>
      <c r="O15" s="1134"/>
      <c r="P15" s="1134"/>
      <c r="Q15" s="1134"/>
      <c r="R15" s="1134"/>
      <c r="S15" s="1134"/>
      <c r="T15" s="1134"/>
      <c r="U15" s="1134"/>
      <c r="V15" s="1134"/>
      <c r="W15" s="310"/>
      <c r="X15" s="1135" t="s">
        <v>360</v>
      </c>
      <c r="Y15" s="1136"/>
      <c r="Z15" s="1136"/>
      <c r="AA15" s="1136"/>
      <c r="AB15" s="1136"/>
      <c r="AE15" s="1128" t="s">
        <v>277</v>
      </c>
      <c r="AF15" s="1128"/>
      <c r="AG15" s="1128"/>
      <c r="AH15" s="1128"/>
      <c r="AI15" s="1128"/>
      <c r="AJ15" s="1128"/>
      <c r="AK15" s="311"/>
      <c r="AL15" s="1129" t="s">
        <v>62</v>
      </c>
      <c r="AM15" s="1129"/>
      <c r="AN15" s="1129"/>
      <c r="AO15" s="1129"/>
      <c r="AP15" s="1128" t="str">
        <f>CONCATENATE(Cover!M36,"+",12-Cover!M36)</f>
        <v>1+11</v>
      </c>
      <c r="AQ15" s="1128"/>
      <c r="AR15" s="311"/>
      <c r="AS15" s="1128" t="s">
        <v>278</v>
      </c>
      <c r="AT15" s="1128"/>
      <c r="AU15" s="1128"/>
      <c r="AV15" s="1128"/>
      <c r="AW15" s="1128"/>
      <c r="AX15" s="1128"/>
      <c r="AY15" s="311"/>
      <c r="AZ15" s="1128" t="s">
        <v>279</v>
      </c>
      <c r="BA15" s="1128"/>
      <c r="BB15" s="1128"/>
      <c r="BC15" s="1128"/>
      <c r="BD15" s="1128"/>
      <c r="BE15" s="1128"/>
      <c r="BV15" s="37"/>
    </row>
    <row r="16" spans="2:76" ht="14.65" customHeight="1">
      <c r="E16" s="312" t="s">
        <v>263</v>
      </c>
      <c r="G16" s="313">
        <f>SUMIF(BJ4:BV4,BE5,BJ6:BV6)</f>
        <v>0</v>
      </c>
      <c r="I16" s="1112" t="s">
        <v>280</v>
      </c>
      <c r="J16" s="1113"/>
      <c r="K16" s="1113"/>
      <c r="L16" s="1114"/>
      <c r="N16" s="1112" t="s">
        <v>281</v>
      </c>
      <c r="O16" s="1113"/>
      <c r="P16" s="1113"/>
      <c r="Q16" s="1114"/>
      <c r="S16" s="1112" t="s">
        <v>282</v>
      </c>
      <c r="T16" s="1113"/>
      <c r="U16" s="1113"/>
      <c r="V16" s="1114"/>
      <c r="X16" s="314" t="s">
        <v>361</v>
      </c>
      <c r="Y16" s="315"/>
      <c r="Z16" s="316"/>
      <c r="AA16" s="314"/>
      <c r="AB16" s="314"/>
      <c r="AE16" s="311"/>
      <c r="AF16" s="311"/>
      <c r="AG16" s="311"/>
      <c r="AI16" s="311"/>
      <c r="AJ16" s="103" t="s">
        <v>61</v>
      </c>
      <c r="AK16" s="311"/>
      <c r="AL16" s="311"/>
      <c r="AM16" s="311"/>
      <c r="AN16" s="311"/>
      <c r="AO16" s="311"/>
      <c r="AP16" s="311"/>
      <c r="AQ16" s="311"/>
      <c r="AR16" s="311"/>
      <c r="AS16" s="311"/>
      <c r="AT16" s="311"/>
      <c r="AU16" s="311"/>
      <c r="AV16" s="311"/>
      <c r="AW16" s="311"/>
      <c r="AX16" s="311"/>
      <c r="AY16" s="311"/>
      <c r="AZ16" s="311"/>
      <c r="BA16" s="311"/>
      <c r="BB16" s="311"/>
      <c r="BC16" s="311"/>
      <c r="BD16" s="311"/>
      <c r="BE16" s="311"/>
      <c r="BI16" s="270" t="s">
        <v>284</v>
      </c>
      <c r="BJ16" s="635">
        <v>1</v>
      </c>
      <c r="BK16" s="635"/>
      <c r="BL16" s="635"/>
      <c r="BM16" s="635"/>
      <c r="BN16" s="635"/>
      <c r="BO16" s="635"/>
      <c r="BP16" s="635"/>
      <c r="BQ16" s="635"/>
      <c r="BR16" s="635"/>
      <c r="BS16" s="635"/>
      <c r="BT16" s="635"/>
      <c r="BU16" s="635"/>
      <c r="BV16" s="635"/>
    </row>
    <row r="17" spans="2:81" ht="14.65" customHeight="1">
      <c r="E17" s="312" t="s">
        <v>285</v>
      </c>
      <c r="G17" s="313">
        <f>V20</f>
        <v>0</v>
      </c>
      <c r="I17" s="317"/>
      <c r="J17" s="312" t="s">
        <v>266</v>
      </c>
      <c r="K17" s="313">
        <f>SUMIF(BJ4:BV4,BE5,BJ7:BV7)</f>
        <v>0</v>
      </c>
      <c r="L17" s="318"/>
      <c r="N17" s="317"/>
      <c r="O17" s="312" t="s">
        <v>286</v>
      </c>
      <c r="P17" s="313">
        <f>SUMIF(BJ4:BV4,BE5,BJ9:BV9)</f>
        <v>0</v>
      </c>
      <c r="Q17" s="318"/>
      <c r="S17" s="317"/>
      <c r="T17" s="312" t="s">
        <v>286</v>
      </c>
      <c r="U17" s="313">
        <f>SUMIF(BJ4:BV4,BE5,BJ11:BV11)</f>
        <v>0</v>
      </c>
      <c r="V17" s="319"/>
      <c r="X17" s="314" t="s">
        <v>287</v>
      </c>
      <c r="Y17" s="315"/>
      <c r="Z17" s="316"/>
      <c r="AA17" s="314">
        <f>SUMIF(Admin4!$B$5:$B$298,"8546",Admin4!$C$5:$C$298)</f>
        <v>0</v>
      </c>
      <c r="AB17" s="314"/>
      <c r="AE17" s="311"/>
      <c r="AF17" s="311"/>
      <c r="AG17" s="311"/>
      <c r="AI17" s="311"/>
      <c r="AJ17" s="320" t="s">
        <v>63</v>
      </c>
      <c r="AK17" s="311"/>
      <c r="AL17" s="311"/>
      <c r="AM17" s="311"/>
      <c r="AN17" s="1127">
        <f>SUMIF(Admin3!C8:O8,AR!BE5,Admin3!C477:O477)</f>
        <v>0</v>
      </c>
      <c r="AO17" s="1127"/>
      <c r="AP17" s="1127"/>
      <c r="AQ17" s="1127"/>
      <c r="AR17" s="311"/>
      <c r="AS17" s="311"/>
      <c r="AT17" s="311"/>
      <c r="AU17" s="1127">
        <f>SUMIF(Admin3!C8:O8,AR!BE5,Admin3!C481:O481)-SUMIF(Admin3!C8:O8,AR!BE5,Admin3!C477:O477)</f>
        <v>0</v>
      </c>
      <c r="AV17" s="1127"/>
      <c r="AW17" s="1127"/>
      <c r="AX17" s="1127"/>
      <c r="AY17" s="311"/>
      <c r="AZ17" s="311"/>
      <c r="BA17" s="311"/>
      <c r="BB17" s="1127">
        <f>SUMIF(Admin3!C8:O8,AR!BE5,Admin3!C485:O485)-SUMIF(Admin3!C8:O8,AR!BE5,Admin3!C477:O477)</f>
        <v>0</v>
      </c>
      <c r="BC17" s="1127"/>
      <c r="BD17" s="1127"/>
      <c r="BE17" s="1127"/>
    </row>
    <row r="18" spans="2:81" ht="14.65" customHeight="1">
      <c r="E18" s="312" t="s">
        <v>240</v>
      </c>
      <c r="G18" s="313">
        <f>SUMIF(BJ4:BV4,BE5,BJ13:BV13)</f>
        <v>0</v>
      </c>
      <c r="I18" s="321"/>
      <c r="J18" s="322" t="s">
        <v>288</v>
      </c>
      <c r="K18" s="323">
        <f>SUMIF(BJ4:BV4,BE5,BJ8:BV8)</f>
        <v>0</v>
      </c>
      <c r="L18" s="324"/>
      <c r="N18" s="321"/>
      <c r="O18" s="322" t="s">
        <v>289</v>
      </c>
      <c r="P18" s="323">
        <f>SUMIF(BJ4:BV4,BE5,BJ10:BV10)</f>
        <v>0</v>
      </c>
      <c r="Q18" s="324"/>
      <c r="S18" s="321"/>
      <c r="T18" s="322" t="s">
        <v>289</v>
      </c>
      <c r="U18" s="323">
        <f>SUMIF(BJ4:BV4,BE5,BJ12:BV12)</f>
        <v>0</v>
      </c>
      <c r="V18" s="325"/>
      <c r="X18" s="314"/>
      <c r="Y18" s="315"/>
      <c r="Z18" s="316"/>
      <c r="AA18" s="314"/>
      <c r="AB18" s="314"/>
      <c r="AE18" s="311"/>
      <c r="AF18" s="311"/>
      <c r="AG18" s="311"/>
      <c r="AH18" s="311"/>
      <c r="AI18" s="326"/>
      <c r="AJ18" s="320" t="s">
        <v>64</v>
      </c>
      <c r="AK18" s="311"/>
      <c r="AL18" s="311"/>
      <c r="AM18" s="311"/>
      <c r="AN18" s="1127">
        <f>SUMIF(Admin3!C8:O8,AR!BE5,Admin3!C478:O478)</f>
        <v>0</v>
      </c>
      <c r="AO18" s="1127"/>
      <c r="AP18" s="1127"/>
      <c r="AQ18" s="1127"/>
      <c r="AR18" s="311"/>
      <c r="AS18" s="311"/>
      <c r="AT18" s="311"/>
      <c r="AU18" s="1127">
        <f>SUMIF(Admin3!C8:O8,AR!BE5,Admin3!C482:O482)-SUMIF(Admin3!C8:O8,AR!BE5,Admin3!C478:O478)</f>
        <v>0</v>
      </c>
      <c r="AV18" s="1127"/>
      <c r="AW18" s="1127"/>
      <c r="AX18" s="1127"/>
      <c r="AY18" s="311"/>
      <c r="AZ18" s="311"/>
      <c r="BA18" s="311"/>
      <c r="BB18" s="1127">
        <f>SUMIF(Admin3!C8:O8,AR!BE5,Admin3!C486:O486)-SUMIF(Admin3!C8:O8,AR!BE5,Admin3!C478:O478)</f>
        <v>0</v>
      </c>
      <c r="BC18" s="1127"/>
      <c r="BD18" s="1127"/>
      <c r="BE18" s="1127"/>
    </row>
    <row r="19" spans="2:81" ht="14.65" customHeight="1" thickBot="1">
      <c r="E19" s="312" t="s">
        <v>41</v>
      </c>
      <c r="G19" s="327">
        <f>SUM(G16:G18)</f>
        <v>0</v>
      </c>
      <c r="I19" s="326"/>
      <c r="J19" s="326"/>
      <c r="K19" s="326"/>
      <c r="L19" s="326"/>
      <c r="M19" s="326"/>
      <c r="N19" s="326"/>
      <c r="O19" s="326"/>
      <c r="P19" s="326"/>
      <c r="Q19" s="326"/>
      <c r="R19" s="326"/>
      <c r="S19" s="326"/>
      <c r="T19" s="326"/>
      <c r="U19" s="326"/>
      <c r="V19" s="326"/>
      <c r="W19" s="326"/>
      <c r="X19" s="314" t="s">
        <v>290</v>
      </c>
      <c r="Y19" s="315"/>
      <c r="Z19" s="316"/>
      <c r="AA19" s="328"/>
      <c r="AB19" s="328"/>
      <c r="AE19" s="311"/>
      <c r="AF19" s="311"/>
      <c r="AG19" s="311"/>
      <c r="AH19" s="311"/>
      <c r="AJ19" s="320" t="s">
        <v>65</v>
      </c>
      <c r="AN19" s="1152">
        <f>SUM(AN17:AQ18)</f>
        <v>0</v>
      </c>
      <c r="AO19" s="1152"/>
      <c r="AP19" s="1152"/>
      <c r="AQ19" s="1152"/>
      <c r="AU19" s="1152">
        <f>SUM(AU17:AX18)</f>
        <v>0</v>
      </c>
      <c r="AV19" s="1152"/>
      <c r="AW19" s="1152"/>
      <c r="AX19" s="1152"/>
      <c r="BB19" s="1152">
        <f>SUM(BB17:BE18)</f>
        <v>0</v>
      </c>
      <c r="BC19" s="1152"/>
      <c r="BD19" s="1152"/>
      <c r="BE19" s="1152"/>
    </row>
    <row r="20" spans="2:81" ht="14.65" customHeight="1" thickTop="1" thickBot="1">
      <c r="B20" s="267"/>
      <c r="C20" s="267"/>
      <c r="D20" s="267"/>
      <c r="E20" s="312" t="s">
        <v>39</v>
      </c>
      <c r="G20" s="313">
        <f t="array" ref="G20">SUM(IF((Admin2!$C$6:$O$6=BE5)*(Admin2!$Q$9:$Q$83=BI2)*(Admin2!$B$9:$B$83="Annual Plan"),Admin2!$C$9:$O$83,0))</f>
        <v>0</v>
      </c>
      <c r="H20" s="326"/>
      <c r="I20" s="37" t="s">
        <v>284</v>
      </c>
      <c r="K20" s="326"/>
      <c r="L20" s="326"/>
      <c r="M20" s="329">
        <f>SUMIF(BJ4:BV4,BE5,BJ16:BV16)</f>
        <v>0</v>
      </c>
      <c r="T20" s="330" t="s">
        <v>291</v>
      </c>
      <c r="U20" s="326"/>
      <c r="V20" s="329">
        <f>SUM(K17:K18,P17:P18,U17:U18)</f>
        <v>0</v>
      </c>
      <c r="X20" s="314" t="s">
        <v>287</v>
      </c>
      <c r="Y20" s="315"/>
      <c r="Z20" s="316"/>
      <c r="AA20" s="314">
        <f>SUMIF(Admin4!$B$5:$B$298,"8546",Admin4!$D$5:$D$298)</f>
        <v>0</v>
      </c>
      <c r="AB20" s="314"/>
      <c r="AC20" s="326"/>
      <c r="AD20" s="326"/>
      <c r="AE20" s="305"/>
      <c r="AF20" s="305"/>
      <c r="AG20" s="305"/>
      <c r="AH20" s="305"/>
      <c r="BI20" s="272" t="s">
        <v>245</v>
      </c>
      <c r="BJ20" s="276"/>
      <c r="BK20" s="276"/>
      <c r="BL20" s="276"/>
      <c r="BM20" s="276"/>
      <c r="BN20" s="276"/>
      <c r="BO20" s="276"/>
      <c r="BP20" s="276"/>
      <c r="BQ20" s="276"/>
      <c r="BR20" s="276"/>
      <c r="BS20" s="276"/>
      <c r="BT20" s="276"/>
      <c r="BU20" s="276"/>
    </row>
    <row r="21" spans="2:81" ht="14.65" customHeight="1" thickTop="1" thickBot="1">
      <c r="B21" s="267"/>
      <c r="C21" s="267"/>
      <c r="D21" s="267"/>
      <c r="E21" s="312" t="s">
        <v>40</v>
      </c>
      <c r="F21" s="326"/>
      <c r="G21" s="327">
        <f t="array" ref="G21">SUM(IF((Admin2!$C$6:$O$6=BE5)*(Admin2!$Q$9:$Q$83=BI2)*(Admin2!$B$9:$B$83="Forecast"),Admin2!$C$9:$O$83,0))</f>
        <v>0</v>
      </c>
      <c r="H21" s="326"/>
      <c r="X21" s="314"/>
      <c r="Y21" s="315"/>
      <c r="Z21" s="316"/>
      <c r="AA21" s="314"/>
      <c r="AB21" s="314"/>
      <c r="AE21" s="302"/>
      <c r="AF21" s="302"/>
      <c r="AG21" s="302"/>
      <c r="AH21" s="302"/>
      <c r="AI21" s="311"/>
      <c r="AJ21" s="103" t="s">
        <v>23</v>
      </c>
      <c r="AK21" s="311"/>
      <c r="AL21" s="311"/>
      <c r="AM21" s="311"/>
      <c r="AN21" s="311"/>
      <c r="AO21" s="311"/>
      <c r="AP21" s="311"/>
      <c r="AQ21" s="311"/>
      <c r="AR21" s="311"/>
      <c r="AS21" s="311"/>
      <c r="AT21" s="311"/>
      <c r="AU21" s="311"/>
      <c r="AV21" s="311"/>
      <c r="AW21" s="311"/>
      <c r="AX21" s="311"/>
      <c r="AY21" s="311"/>
      <c r="AZ21" s="311"/>
      <c r="BA21" s="311"/>
      <c r="BB21" s="311"/>
      <c r="BC21" s="311"/>
      <c r="BD21" s="311"/>
      <c r="BE21" s="311"/>
      <c r="BI21" s="54" t="s">
        <v>292</v>
      </c>
      <c r="BJ21" s="1116" t="s">
        <v>463</v>
      </c>
      <c r="BK21" s="1116"/>
      <c r="BL21" s="1116"/>
      <c r="BM21" s="1116"/>
      <c r="BN21" s="1116"/>
      <c r="BO21" s="1116"/>
      <c r="BP21" s="1116"/>
      <c r="BQ21" s="1116"/>
      <c r="BR21" s="1116"/>
      <c r="BS21" s="1116"/>
      <c r="BT21" s="1116"/>
      <c r="BU21" s="1116"/>
    </row>
    <row r="22" spans="2:81" ht="14.65" customHeight="1" thickTop="1" thickBot="1">
      <c r="B22" s="267"/>
      <c r="C22" s="267"/>
      <c r="D22" s="267"/>
      <c r="E22" s="312" t="s">
        <v>294</v>
      </c>
      <c r="F22" s="326"/>
      <c r="G22" s="327">
        <f>$G$20-$G$19</f>
        <v>0</v>
      </c>
      <c r="H22" s="326"/>
      <c r="K22" s="326"/>
      <c r="L22" s="326"/>
      <c r="U22" s="326"/>
      <c r="V22" s="326"/>
      <c r="W22" s="326"/>
      <c r="X22" s="314" t="s">
        <v>295</v>
      </c>
      <c r="Y22" s="315"/>
      <c r="Z22" s="316"/>
      <c r="AA22" s="328"/>
      <c r="AB22" s="331"/>
      <c r="AE22" s="302"/>
      <c r="AF22" s="302"/>
      <c r="AG22" s="302"/>
      <c r="AH22" s="302"/>
      <c r="AI22" s="311"/>
      <c r="AJ22" s="320" t="s">
        <v>63</v>
      </c>
      <c r="AK22" s="311"/>
      <c r="AL22" s="311"/>
      <c r="AM22" s="311"/>
      <c r="AN22" s="1127">
        <f>SUMIF(Admin3!C8:O8,AR!BE5,Admin3!C490:O490)</f>
        <v>0</v>
      </c>
      <c r="AO22" s="1127"/>
      <c r="AP22" s="1127"/>
      <c r="AQ22" s="1127"/>
      <c r="AR22" s="311"/>
      <c r="AS22" s="311"/>
      <c r="AT22" s="311"/>
      <c r="AU22" s="1127">
        <f>SUMIF(Admin3!C8:O8,AR!BE5,Admin3!C494:O494)-SUMIF(Admin3!C8:O8,AR!BE5,Admin3!C490:O490)</f>
        <v>0</v>
      </c>
      <c r="AV22" s="1127"/>
      <c r="AW22" s="1127"/>
      <c r="AX22" s="1127"/>
      <c r="AY22" s="311"/>
      <c r="AZ22" s="311"/>
      <c r="BA22" s="311"/>
      <c r="BB22" s="1127">
        <f>SUMIF(Admin3!C8:O8,AR!BE5,Admin3!C498:O498)-SUMIF(Admin3!C8:O8,AR!BE5,Admin3!C490:O490)</f>
        <v>0</v>
      </c>
      <c r="BC22" s="1127"/>
      <c r="BD22" s="1127"/>
      <c r="BE22" s="1127"/>
      <c r="BI22" s="54" t="s">
        <v>296</v>
      </c>
      <c r="BJ22" s="1233" t="s">
        <v>461</v>
      </c>
      <c r="BK22" s="1233"/>
      <c r="BL22" s="1233"/>
      <c r="BM22" s="1233"/>
      <c r="BN22" s="1233"/>
      <c r="BO22" s="1233"/>
      <c r="BP22" s="1233"/>
      <c r="BQ22" s="1233"/>
      <c r="BR22" s="1233"/>
      <c r="BS22" s="1233"/>
      <c r="BT22" s="1233"/>
      <c r="BU22" s="1233"/>
    </row>
    <row r="23" spans="2:81" ht="14.65" customHeight="1" thickTop="1" thickBot="1">
      <c r="B23" s="267"/>
      <c r="C23" s="267"/>
      <c r="D23" s="267"/>
      <c r="E23" s="312" t="s">
        <v>298</v>
      </c>
      <c r="F23" s="326"/>
      <c r="G23" s="327">
        <f>$G$21-$G$19</f>
        <v>0</v>
      </c>
      <c r="H23" s="326"/>
      <c r="I23" s="96"/>
      <c r="J23" s="96"/>
      <c r="K23" s="326"/>
      <c r="L23" s="326"/>
      <c r="U23" s="326"/>
      <c r="V23" s="326"/>
      <c r="W23" s="326"/>
      <c r="X23" s="314" t="s">
        <v>299</v>
      </c>
      <c r="Y23" s="315"/>
      <c r="Z23" s="316"/>
      <c r="AA23" s="314">
        <f>SUMIF(Admin4!$L$5:$L$298,"8546",Admin4!$N$5:$N$298)</f>
        <v>0</v>
      </c>
      <c r="AB23" s="331"/>
      <c r="AE23" s="302"/>
      <c r="AF23" s="302"/>
      <c r="AG23" s="302"/>
      <c r="AH23" s="302"/>
      <c r="AI23" s="302"/>
      <c r="AJ23" s="320" t="s">
        <v>64</v>
      </c>
      <c r="AK23" s="311"/>
      <c r="AL23" s="311"/>
      <c r="AM23" s="311"/>
      <c r="AN23" s="1127">
        <f>SUMIF(Admin3!C8:O8,AR!BE5,Admin3!C491:O491)</f>
        <v>0</v>
      </c>
      <c r="AO23" s="1127"/>
      <c r="AP23" s="1127"/>
      <c r="AQ23" s="1127"/>
      <c r="AR23" s="311"/>
      <c r="AS23" s="311"/>
      <c r="AT23" s="311"/>
      <c r="AU23" s="1127">
        <f>SUMIF(Admin3!C8:O8,AR!BE5,Admin3!C495:O495)-SUMIF(Admin3!C8:O8,AR!BE5,Admin3!C491:O491)</f>
        <v>0</v>
      </c>
      <c r="AV23" s="1127"/>
      <c r="AW23" s="1127"/>
      <c r="AX23" s="1127"/>
      <c r="AY23" s="311"/>
      <c r="AZ23" s="311"/>
      <c r="BA23" s="311"/>
      <c r="BB23" s="1127">
        <f>SUMIF(Admin3!C8:O8,AR!BE5,Admin3!C499:O499)-SUMIF(Admin3!C8:O8,AR!BE5,Admin3!C491:O491)</f>
        <v>0</v>
      </c>
      <c r="BC23" s="1127"/>
      <c r="BD23" s="1127"/>
      <c r="BE23" s="1127"/>
      <c r="BI23" s="54" t="s">
        <v>300</v>
      </c>
      <c r="BJ23" s="1222" t="s">
        <v>462</v>
      </c>
      <c r="BK23" s="1222"/>
      <c r="BL23" s="1222"/>
      <c r="BM23" s="1222"/>
      <c r="BN23" s="1222"/>
      <c r="BO23" s="1222"/>
      <c r="BP23" s="1222"/>
      <c r="BQ23" s="1222"/>
      <c r="BR23" s="1222"/>
      <c r="BS23" s="1222"/>
      <c r="BT23" s="1222"/>
      <c r="BU23" s="1222"/>
    </row>
    <row r="24" spans="2:81" ht="14.65" customHeight="1" thickTop="1" thickBot="1">
      <c r="B24" s="267"/>
      <c r="C24" s="267"/>
      <c r="D24" s="267"/>
      <c r="E24" s="312"/>
      <c r="F24" s="326"/>
      <c r="G24" s="326"/>
      <c r="H24" s="326"/>
      <c r="I24" s="96"/>
      <c r="J24" s="96"/>
      <c r="K24" s="326"/>
      <c r="L24" s="326"/>
      <c r="U24" s="326"/>
      <c r="V24" s="326"/>
      <c r="W24" s="326"/>
      <c r="X24" s="239"/>
      <c r="Y24" s="239"/>
      <c r="Z24" s="240"/>
      <c r="AA24" s="239"/>
      <c r="AB24" s="241"/>
      <c r="AE24" s="302"/>
      <c r="AF24" s="302"/>
      <c r="AG24" s="302"/>
      <c r="AH24" s="302"/>
      <c r="AI24" s="302"/>
      <c r="AJ24" s="320" t="s">
        <v>65</v>
      </c>
      <c r="AK24" s="311"/>
      <c r="AL24" s="311"/>
      <c r="AM24" s="311"/>
      <c r="AN24" s="1152">
        <f>SUM(AN22:AQ23)</f>
        <v>0</v>
      </c>
      <c r="AO24" s="1152"/>
      <c r="AP24" s="1152"/>
      <c r="AQ24" s="1152"/>
      <c r="AR24" s="311"/>
      <c r="AS24" s="311"/>
      <c r="AT24" s="311"/>
      <c r="AU24" s="1152">
        <f>SUM(AU22:AX23)</f>
        <v>0</v>
      </c>
      <c r="AV24" s="1152"/>
      <c r="AW24" s="1152"/>
      <c r="AX24" s="1152"/>
      <c r="AY24" s="311"/>
      <c r="AZ24" s="311"/>
      <c r="BA24" s="311"/>
      <c r="BB24" s="1152">
        <f>SUM(BB22:BE23)</f>
        <v>0</v>
      </c>
      <c r="BC24" s="1152"/>
      <c r="BD24" s="1152"/>
      <c r="BE24" s="1152"/>
      <c r="BI24" s="1402" t="s">
        <v>457</v>
      </c>
      <c r="BJ24" s="1403"/>
      <c r="BK24" s="1404"/>
      <c r="BL24" s="1402" t="s">
        <v>487</v>
      </c>
      <c r="BM24" s="1403"/>
      <c r="BN24" s="1403"/>
      <c r="BO24" s="1403"/>
      <c r="BP24" s="1404"/>
      <c r="BQ24" s="1402" t="s">
        <v>301</v>
      </c>
      <c r="BR24" s="1403"/>
      <c r="BS24" s="1403"/>
      <c r="BT24" s="1403"/>
      <c r="BU24" s="1404"/>
      <c r="BW24" s="1402" t="s">
        <v>303</v>
      </c>
      <c r="BX24" s="1403"/>
      <c r="BY24" s="1403"/>
      <c r="BZ24" s="1403"/>
      <c r="CA24" s="1403"/>
      <c r="CB24" s="1403"/>
      <c r="CC24" s="1404"/>
    </row>
    <row r="25" spans="2:81" ht="14.65" customHeight="1" thickTop="1">
      <c r="B25" s="267"/>
      <c r="C25" s="267"/>
      <c r="D25" s="267"/>
      <c r="E25" s="312"/>
      <c r="F25" s="326"/>
      <c r="G25" s="95">
        <f>G26-SUM($G$16:$G$18)</f>
        <v>0</v>
      </c>
      <c r="H25" s="326"/>
      <c r="I25" s="96" t="str">
        <f>IF(G25&lt;&gt;0,"There is a variance in reported ending EEs.","")</f>
        <v/>
      </c>
      <c r="J25" s="96"/>
      <c r="K25" s="326"/>
      <c r="L25" s="326"/>
      <c r="U25" s="326"/>
      <c r="V25" s="326"/>
      <c r="W25" s="326"/>
      <c r="X25" s="326"/>
      <c r="Y25" s="326"/>
      <c r="Z25" s="320"/>
      <c r="AA25" s="326"/>
      <c r="AB25" s="332"/>
      <c r="AE25" s="302"/>
      <c r="AF25" s="302"/>
      <c r="AG25" s="302"/>
      <c r="AH25" s="302"/>
      <c r="AI25" s="302"/>
      <c r="AJ25" s="320"/>
      <c r="AK25" s="311"/>
      <c r="AL25" s="311"/>
      <c r="AM25" s="311"/>
      <c r="AN25" s="333"/>
      <c r="AO25" s="333"/>
      <c r="AP25" s="333"/>
      <c r="AQ25" s="333"/>
      <c r="AR25" s="311"/>
      <c r="AS25" s="311"/>
      <c r="AT25" s="311"/>
      <c r="AU25" s="333"/>
      <c r="AV25" s="333"/>
      <c r="AW25" s="333"/>
      <c r="AX25" s="333"/>
      <c r="AY25" s="311"/>
      <c r="AZ25" s="311"/>
      <c r="BA25" s="311"/>
      <c r="BB25" s="333"/>
      <c r="BC25" s="333"/>
      <c r="BD25" s="333"/>
      <c r="BE25" s="333"/>
      <c r="BI25" s="636" t="s">
        <v>23</v>
      </c>
      <c r="BJ25" s="636" t="s">
        <v>37</v>
      </c>
      <c r="BK25" s="636" t="s">
        <v>304</v>
      </c>
      <c r="BL25" s="637" t="s">
        <v>305</v>
      </c>
      <c r="BM25" s="637" t="s">
        <v>306</v>
      </c>
      <c r="BN25" s="637" t="s">
        <v>488</v>
      </c>
      <c r="BO25" s="278" t="s">
        <v>489</v>
      </c>
      <c r="BP25" s="637" t="s">
        <v>490</v>
      </c>
      <c r="BQ25" s="637" t="s">
        <v>305</v>
      </c>
      <c r="BR25" s="637" t="s">
        <v>310</v>
      </c>
      <c r="BS25" s="637" t="s">
        <v>307</v>
      </c>
      <c r="BT25" s="278" t="s">
        <v>308</v>
      </c>
      <c r="BU25" s="637" t="s">
        <v>309</v>
      </c>
      <c r="BW25" s="279" t="s">
        <v>314</v>
      </c>
      <c r="BX25" s="279" t="s">
        <v>23</v>
      </c>
      <c r="BY25" s="280" t="s">
        <v>315</v>
      </c>
      <c r="BZ25" s="279" t="s">
        <v>122</v>
      </c>
      <c r="CA25" s="279" t="s">
        <v>316</v>
      </c>
      <c r="CB25" s="279" t="s">
        <v>317</v>
      </c>
      <c r="CC25" s="279" t="s">
        <v>318</v>
      </c>
    </row>
    <row r="26" spans="2:81" ht="14.65" customHeight="1">
      <c r="B26" s="267"/>
      <c r="C26" s="267"/>
      <c r="D26" s="267"/>
      <c r="E26" s="312"/>
      <c r="F26" s="326"/>
      <c r="G26" s="95">
        <f t="array" ref="G26">SUM(IF((Admin2!$C$6:$O$6=$BE$5)*(Admin2!$Q$9:$Q$83=$BI$2)*(Admin2!$B$9:$B$83="Ending EEs"),Admin2!$C$9:$O$83,0))</f>
        <v>0</v>
      </c>
      <c r="H26" s="326"/>
      <c r="I26" s="96" t="str">
        <f>IF(G26&lt;&gt;0,"Ending headcount per Kronos/HCMS.","")</f>
        <v/>
      </c>
      <c r="J26" s="96"/>
      <c r="K26" s="326"/>
      <c r="L26" s="326"/>
      <c r="U26" s="326"/>
      <c r="V26" s="326"/>
      <c r="W26" s="326"/>
      <c r="X26" s="326"/>
      <c r="Y26" s="326"/>
      <c r="Z26" s="320"/>
      <c r="AA26" s="326"/>
      <c r="AB26" s="332"/>
      <c r="AE26" s="302"/>
      <c r="AF26" s="302"/>
      <c r="AG26" s="302"/>
      <c r="AH26" s="302"/>
      <c r="AI26" s="302"/>
      <c r="AJ26" s="320"/>
      <c r="AK26" s="311"/>
      <c r="AL26" s="311"/>
      <c r="AM26" s="311"/>
      <c r="AN26" s="333"/>
      <c r="AO26" s="333"/>
      <c r="AP26" s="333"/>
      <c r="AQ26" s="333"/>
      <c r="AR26" s="311"/>
      <c r="AS26" s="311"/>
      <c r="AT26" s="311"/>
      <c r="AU26" s="333"/>
      <c r="AV26" s="333"/>
      <c r="AW26" s="333"/>
      <c r="AX26" s="333"/>
      <c r="AY26" s="311"/>
      <c r="AZ26" s="311"/>
      <c r="BA26" s="311"/>
      <c r="BB26" s="333"/>
      <c r="BC26" s="333"/>
      <c r="BD26" s="333"/>
      <c r="BE26" s="333"/>
      <c r="BI26" s="638" t="s">
        <v>319</v>
      </c>
      <c r="BJ26" s="638">
        <v>1</v>
      </c>
      <c r="BK26" s="638" t="s">
        <v>320</v>
      </c>
      <c r="BL26" s="700">
        <v>0.85660000000000003</v>
      </c>
      <c r="BM26" s="700">
        <v>0.88600000000000001</v>
      </c>
      <c r="BN26" s="641">
        <f>IF(BM26=0,0,BL26/BM26)</f>
        <v>0.96681715575620775</v>
      </c>
      <c r="BO26" s="281">
        <f>IF(SUM(BM26:BM28=0),0,SUM(BL26:BL28)/SUM(BM26:BM28))</f>
        <v>0.96690324990661203</v>
      </c>
      <c r="BP26" s="641">
        <v>0.9</v>
      </c>
      <c r="BQ26" s="700"/>
      <c r="BR26" s="700"/>
      <c r="BS26" s="686">
        <f>IF(BR26=0,0,BQ26/BR26)</f>
        <v>0</v>
      </c>
      <c r="BT26" s="281">
        <f>IF(SUM(BR26:BR28=0),0,SUM(BQ26:BQ28)/SUM(BR26:BR28))</f>
        <v>0</v>
      </c>
      <c r="BU26" s="641">
        <v>0.9</v>
      </c>
      <c r="BX26" s="642" t="str">
        <f t="shared" ref="BX26:BX37" si="2">TEXT(CONCATENATE(CC26,"/01/20",CB26),"MMM")</f>
        <v>Oct</v>
      </c>
      <c r="BY26" s="643">
        <f>IF(CB26=$CB38,SUMIF($BI26:$BI37,$BX26,$BR26:$BR37),SUMIF($BI26:$BI37,$BX26,$BM26:$BM37))</f>
        <v>0.88600000000000001</v>
      </c>
      <c r="BZ26" s="641">
        <f>IF(IF(CB26=CB38,SUMIF(BI26:BI37,$BX26,BU26:BU37),SUMIF(BI26:BI37,$BX26,BP26:BP37))=0,NA(),IF(CB26=CB38,SUMIF(BI26:BI37,$BX26,BU26:BU37),SUMIF(BI26:BI37,$BX26,BP26:BP37)))</f>
        <v>0.9</v>
      </c>
      <c r="CA26" s="644">
        <f>IF(IF(CB26=CB38,SUMIF(BI26:BI37,$BX26,BS26:BS37),SUMIF(BI26:BI37,$BX26,BN26:BN37))=0,NA(),IF(CB26=CB38,SUMIF(BI26:BI37,$BX26,BS26:BS37),SUMIF(BI26:BI37,$BX26,BN26:BN37)))</f>
        <v>0.96681715575620775</v>
      </c>
      <c r="CB26" s="645">
        <v>22</v>
      </c>
      <c r="CC26" s="645">
        <f t="shared" ref="CC26:CC36" si="3">IF(CC27-1&lt;1,CC27+11,CC27-1)</f>
        <v>10</v>
      </c>
    </row>
    <row r="27" spans="2:81" ht="14.65" customHeight="1">
      <c r="B27" s="267"/>
      <c r="C27" s="267"/>
      <c r="D27" s="267"/>
      <c r="E27" s="312"/>
      <c r="F27" s="326"/>
      <c r="G27" s="312"/>
      <c r="H27" s="312"/>
      <c r="I27" s="312"/>
      <c r="J27" s="312"/>
      <c r="K27" s="326"/>
      <c r="L27" s="326"/>
      <c r="U27" s="326"/>
      <c r="V27" s="326"/>
      <c r="W27" s="326"/>
      <c r="X27" s="326"/>
      <c r="Y27" s="326"/>
      <c r="Z27" s="320"/>
      <c r="AA27" s="326"/>
      <c r="AB27" s="332"/>
      <c r="AE27" s="302"/>
      <c r="AF27" s="302"/>
      <c r="AG27" s="302"/>
      <c r="AH27" s="302"/>
      <c r="AI27" s="302"/>
      <c r="AJ27" s="320"/>
      <c r="AK27" s="311"/>
      <c r="AL27" s="311"/>
      <c r="AM27" s="311"/>
      <c r="AN27" s="333"/>
      <c r="AO27" s="333"/>
      <c r="AP27" s="333"/>
      <c r="AQ27" s="333"/>
      <c r="AR27" s="311"/>
      <c r="AS27" s="311"/>
      <c r="AT27" s="311"/>
      <c r="AU27" s="333"/>
      <c r="AV27" s="333"/>
      <c r="AW27" s="333"/>
      <c r="AX27" s="333"/>
      <c r="AY27" s="311"/>
      <c r="AZ27" s="311"/>
      <c r="BA27" s="311"/>
      <c r="BB27" s="333"/>
      <c r="BC27" s="333"/>
      <c r="BD27" s="333"/>
      <c r="BE27" s="333"/>
      <c r="BI27" s="638" t="s">
        <v>321</v>
      </c>
      <c r="BJ27" s="638">
        <v>2</v>
      </c>
      <c r="BK27" s="638" t="s">
        <v>320</v>
      </c>
      <c r="BL27" s="700">
        <v>0.74439999999999995</v>
      </c>
      <c r="BM27" s="700">
        <v>0.76800000000000002</v>
      </c>
      <c r="BN27" s="641">
        <f t="shared" ref="BN27:BN37" si="4">IF(BM27=0,0,BL27/BM27)</f>
        <v>0.9692708333333333</v>
      </c>
      <c r="BO27" s="282"/>
      <c r="BP27" s="641">
        <v>0.9</v>
      </c>
      <c r="BQ27" s="700"/>
      <c r="BR27" s="700"/>
      <c r="BS27" s="686">
        <f t="shared" ref="BS27:BS37" si="5">IF(BR27=0,0,BQ27/BR27)</f>
        <v>0</v>
      </c>
      <c r="BT27" s="282"/>
      <c r="BU27" s="641">
        <v>0.9</v>
      </c>
      <c r="BX27" s="642" t="str">
        <f t="shared" si="2"/>
        <v>Nov</v>
      </c>
      <c r="BY27" s="643">
        <f>IF(CB27=$CB38,SUMIF($BI26:$BI37,$BX27,$BR26:$BR37),SUMIF($BI26:$BI37,$BX27,$BM26:$BM37))</f>
        <v>0.76800000000000002</v>
      </c>
      <c r="BZ27" s="641">
        <f>IF(IF(CB27=CB38,SUMIF(BI26:BI37,$BX27,BU26:BU37),SUMIF(BI26:BI37,$BX27,BP26:BP37))=0,NA(),IF(CB27=CB38,SUMIF(BI26:BI37,$BX27,BU26:BU37),SUMIF(BI26:BI37,$BX27,BP26:BP37)))</f>
        <v>0.9</v>
      </c>
      <c r="CA27" s="644">
        <f>IF(IF(CB27=CB38,SUMIF(BI26:BI37,$BX27,BS26:BS37),SUMIF(BI26:BI37,$BX27,BN26:BN37))=0,NA(),IF(CB27=CB38,SUMIF(BI26:BI37,$BX27,BS26:BS37),SUMIF(BI26:BI37,$BX27,BN26:BN37)))</f>
        <v>0.9692708333333333</v>
      </c>
      <c r="CB27" s="645">
        <v>22</v>
      </c>
      <c r="CC27" s="645">
        <f t="shared" si="3"/>
        <v>11</v>
      </c>
    </row>
    <row r="28" spans="2:81" ht="14.65" customHeight="1">
      <c r="B28" s="267" t="s">
        <v>242</v>
      </c>
      <c r="C28" s="267"/>
      <c r="D28" s="267"/>
      <c r="E28" s="334"/>
      <c r="F28" s="326"/>
      <c r="G28" s="326"/>
      <c r="H28" s="326"/>
      <c r="I28" s="326"/>
      <c r="J28" s="326"/>
      <c r="K28" s="326"/>
      <c r="L28" s="326"/>
      <c r="M28" s="326"/>
      <c r="N28" s="326"/>
      <c r="O28" s="326"/>
      <c r="P28" s="326"/>
      <c r="Q28" s="326"/>
      <c r="R28" s="326"/>
      <c r="S28" s="326"/>
      <c r="T28" s="326"/>
      <c r="U28" s="326"/>
      <c r="V28" s="326"/>
      <c r="W28" s="326"/>
      <c r="X28" s="326"/>
      <c r="Y28" s="326"/>
      <c r="Z28" s="326"/>
      <c r="AA28" s="326"/>
      <c r="AB28" s="326"/>
      <c r="AE28" s="267" t="s">
        <v>242</v>
      </c>
      <c r="AF28" s="267"/>
      <c r="AG28" s="267"/>
      <c r="AH28" s="334"/>
      <c r="AI28" s="326"/>
      <c r="AJ28" s="326"/>
      <c r="AK28" s="326"/>
      <c r="AL28" s="326"/>
      <c r="AM28" s="326"/>
      <c r="AN28" s="326"/>
      <c r="AO28" s="326"/>
      <c r="AP28" s="326"/>
      <c r="AQ28" s="326"/>
      <c r="AR28" s="326"/>
      <c r="AS28" s="326"/>
      <c r="AT28" s="326"/>
      <c r="AU28" s="326"/>
      <c r="AV28" s="326"/>
      <c r="AW28" s="326"/>
      <c r="AX28" s="326"/>
      <c r="AY28" s="326"/>
      <c r="AZ28" s="326"/>
      <c r="BA28" s="326"/>
      <c r="BB28" s="326"/>
      <c r="BC28" s="326"/>
      <c r="BD28" s="326"/>
      <c r="BE28" s="326"/>
      <c r="BI28" s="638" t="s">
        <v>322</v>
      </c>
      <c r="BJ28" s="638">
        <v>3</v>
      </c>
      <c r="BK28" s="638" t="s">
        <v>320</v>
      </c>
      <c r="BL28" s="700">
        <v>0.98740000000000006</v>
      </c>
      <c r="BM28" s="700">
        <v>1.0229999999999999</v>
      </c>
      <c r="BN28" s="641">
        <f t="shared" si="4"/>
        <v>0.96520039100684274</v>
      </c>
      <c r="BO28" s="282"/>
      <c r="BP28" s="641">
        <v>0.9</v>
      </c>
      <c r="BQ28" s="700"/>
      <c r="BR28" s="700"/>
      <c r="BS28" s="686">
        <f t="shared" si="5"/>
        <v>0</v>
      </c>
      <c r="BT28" s="282"/>
      <c r="BU28" s="641">
        <v>0.9</v>
      </c>
      <c r="BX28" s="642" t="str">
        <f t="shared" si="2"/>
        <v>Dec</v>
      </c>
      <c r="BY28" s="643">
        <f>IF(CB28=$CB38,SUMIF($BI26:$BI37,$BX28,$BR26:$BR37),SUMIF($BI26:$BI37,$BX28,$BM26:$BM37))</f>
        <v>1.0229999999999999</v>
      </c>
      <c r="BZ28" s="641">
        <f>IF(IF(CB28=CB38,SUMIF(BI26:BI37,$BX28,BU26:BU37),SUMIF(BI26:BI37,$BX28,BP26:BP37))=0,NA(),IF(CB28=CB38,SUMIF(BI26:BI37,$BX28,BU26:BU37),SUMIF(BI26:BI37,$BX28,BP26:BP37)))</f>
        <v>0.9</v>
      </c>
      <c r="CA28" s="644">
        <f>IF(IF(CB28=CB38,SUMIF(BI26:BI37,$BX28,BS26:BS37),SUMIF(BI26:BI37,$BX28,BN26:BN37))=0,NA(),IF(CB28=CB38,SUMIF(BI26:BI37,$BX28,BS26:BS37),SUMIF(BI26:BI37,$BX28,BN26:BN37)))</f>
        <v>0.96520039100684274</v>
      </c>
      <c r="CB28" s="645">
        <v>22</v>
      </c>
      <c r="CC28" s="645">
        <f t="shared" si="3"/>
        <v>12</v>
      </c>
    </row>
    <row r="29" spans="2:81" ht="12" customHeight="1">
      <c r="B29" s="1479" t="s">
        <v>491</v>
      </c>
      <c r="C29" s="1480"/>
      <c r="D29" s="1480"/>
      <c r="E29" s="1480"/>
      <c r="F29" s="1480"/>
      <c r="G29" s="1480"/>
      <c r="H29" s="1480"/>
      <c r="I29" s="1480"/>
      <c r="J29" s="1480"/>
      <c r="K29" s="1480"/>
      <c r="L29" s="1480"/>
      <c r="M29" s="1480"/>
      <c r="N29" s="1480"/>
      <c r="O29" s="1480"/>
      <c r="P29" s="1480"/>
      <c r="Q29" s="1480"/>
      <c r="R29" s="1480"/>
      <c r="S29" s="1480"/>
      <c r="T29" s="1480"/>
      <c r="U29" s="1480"/>
      <c r="V29" s="1480"/>
      <c r="W29" s="1480"/>
      <c r="X29" s="1480"/>
      <c r="Y29" s="1480"/>
      <c r="Z29" s="1480"/>
      <c r="AA29" s="1480"/>
      <c r="AB29" s="1481"/>
      <c r="AE29" s="1137" t="s">
        <v>492</v>
      </c>
      <c r="AF29" s="1138"/>
      <c r="AG29" s="1138"/>
      <c r="AH29" s="1138"/>
      <c r="AI29" s="1138"/>
      <c r="AJ29" s="1138"/>
      <c r="AK29" s="1138"/>
      <c r="AL29" s="1138"/>
      <c r="AM29" s="1138"/>
      <c r="AN29" s="1138"/>
      <c r="AO29" s="1138"/>
      <c r="AP29" s="1138"/>
      <c r="AQ29" s="1138"/>
      <c r="AR29" s="1138"/>
      <c r="AS29" s="1138"/>
      <c r="AT29" s="1138"/>
      <c r="AU29" s="1138"/>
      <c r="AV29" s="1138"/>
      <c r="AW29" s="1138"/>
      <c r="AX29" s="1138"/>
      <c r="AY29" s="1138"/>
      <c r="AZ29" s="1138"/>
      <c r="BA29" s="1138"/>
      <c r="BB29" s="1138"/>
      <c r="BC29" s="1138"/>
      <c r="BD29" s="1138"/>
      <c r="BE29" s="1139"/>
      <c r="BI29" s="638" t="s">
        <v>323</v>
      </c>
      <c r="BJ29" s="638">
        <v>4</v>
      </c>
      <c r="BK29" s="638" t="s">
        <v>324</v>
      </c>
      <c r="BL29" s="700">
        <v>0.88700000000000001</v>
      </c>
      <c r="BM29" s="700">
        <v>0.91500000000000004</v>
      </c>
      <c r="BN29" s="641">
        <f t="shared" si="4"/>
        <v>0.96939890710382515</v>
      </c>
      <c r="BO29" s="281">
        <f>IF(SUM(BM29:BM31=0),0,SUM(BL29:BL31)/SUM(BM29:BM31))</f>
        <v>0.95907402114889961</v>
      </c>
      <c r="BP29" s="641">
        <v>0.9</v>
      </c>
      <c r="BQ29" s="700"/>
      <c r="BR29" s="700"/>
      <c r="BS29" s="686">
        <f t="shared" si="5"/>
        <v>0</v>
      </c>
      <c r="BT29" s="281">
        <f>IF(SUM(BR29:BR31=0),0,SUM(BQ29:BQ31)/SUM(BR29:BR31))</f>
        <v>0</v>
      </c>
      <c r="BU29" s="641">
        <v>0.9</v>
      </c>
      <c r="BX29" s="642" t="str">
        <f t="shared" si="2"/>
        <v>Jan</v>
      </c>
      <c r="BY29" s="643">
        <f>IF(CB29=$CB38,SUMIF($BI26:$BI37,$BX29,$BR26:$BR37),SUMIF($BI26:$BI37,$BX29,$BM26:$BM37))</f>
        <v>0.91500000000000004</v>
      </c>
      <c r="BZ29" s="641">
        <f>IF(IF(CB29=CB38,SUMIF(BI26:BI37,$BX29,BU26:BU37),SUMIF(BI26:BI37,$BX29,BP26:BP37))=0,NA(),IF(CB29=CB38,SUMIF(BI26:BI37,$BX29,BU26:BU37),SUMIF(BI26:BI37,$BX29,BP26:BP37)))</f>
        <v>0.9</v>
      </c>
      <c r="CA29" s="644">
        <f>IF(IF(CB29=CB38,SUMIF(BI26:BI37,$BX29,BS26:BS37),SUMIF(BI26:BI37,$BX29,BN26:BN37))=0,NA(),IF(CB29=CB38,SUMIF(BI26:BI37,$BX29,BS26:BS37),SUMIF(BI26:BI37,$BX29,BN26:BN37)))</f>
        <v>0.96939890710382515</v>
      </c>
      <c r="CB29" s="645">
        <v>22</v>
      </c>
      <c r="CC29" s="645">
        <f t="shared" si="3"/>
        <v>1</v>
      </c>
    </row>
    <row r="30" spans="2:81" ht="14.65" customHeight="1">
      <c r="B30" s="1482"/>
      <c r="C30" s="1483"/>
      <c r="D30" s="1483"/>
      <c r="E30" s="1483"/>
      <c r="F30" s="1483"/>
      <c r="G30" s="1483"/>
      <c r="H30" s="1483"/>
      <c r="I30" s="1483"/>
      <c r="J30" s="1483"/>
      <c r="K30" s="1483"/>
      <c r="L30" s="1483"/>
      <c r="M30" s="1483"/>
      <c r="N30" s="1483"/>
      <c r="O30" s="1483"/>
      <c r="P30" s="1483"/>
      <c r="Q30" s="1483"/>
      <c r="R30" s="1483"/>
      <c r="S30" s="1483"/>
      <c r="T30" s="1483"/>
      <c r="U30" s="1483"/>
      <c r="V30" s="1483"/>
      <c r="W30" s="1483"/>
      <c r="X30" s="1483"/>
      <c r="Y30" s="1483"/>
      <c r="Z30" s="1483"/>
      <c r="AA30" s="1483"/>
      <c r="AB30" s="1484"/>
      <c r="AE30" s="1140"/>
      <c r="AF30" s="1141"/>
      <c r="AG30" s="1141"/>
      <c r="AH30" s="1141"/>
      <c r="AI30" s="1141"/>
      <c r="AJ30" s="1141"/>
      <c r="AK30" s="1141"/>
      <c r="AL30" s="1141"/>
      <c r="AM30" s="1141"/>
      <c r="AN30" s="1141"/>
      <c r="AO30" s="1141"/>
      <c r="AP30" s="1141"/>
      <c r="AQ30" s="1141"/>
      <c r="AR30" s="1141"/>
      <c r="AS30" s="1141"/>
      <c r="AT30" s="1141"/>
      <c r="AU30" s="1141"/>
      <c r="AV30" s="1141"/>
      <c r="AW30" s="1141"/>
      <c r="AX30" s="1141"/>
      <c r="AY30" s="1141"/>
      <c r="AZ30" s="1141"/>
      <c r="BA30" s="1141"/>
      <c r="BB30" s="1141"/>
      <c r="BC30" s="1141"/>
      <c r="BD30" s="1141"/>
      <c r="BE30" s="1142"/>
      <c r="BI30" s="638" t="s">
        <v>325</v>
      </c>
      <c r="BJ30" s="638">
        <v>5</v>
      </c>
      <c r="BK30" s="638" t="s">
        <v>324</v>
      </c>
      <c r="BL30" s="697">
        <v>1.1299999999999999</v>
      </c>
      <c r="BM30" s="697">
        <v>1.1839999999999999</v>
      </c>
      <c r="BN30" s="641">
        <f t="shared" si="4"/>
        <v>0.95439189189189189</v>
      </c>
      <c r="BO30" s="282"/>
      <c r="BP30" s="641">
        <v>0.9</v>
      </c>
      <c r="BQ30" s="697"/>
      <c r="BR30" s="697"/>
      <c r="BS30" s="686">
        <f t="shared" si="5"/>
        <v>0</v>
      </c>
      <c r="BT30" s="282"/>
      <c r="BU30" s="641">
        <v>0.9</v>
      </c>
      <c r="BX30" s="642" t="str">
        <f t="shared" si="2"/>
        <v>Feb</v>
      </c>
      <c r="BY30" s="643">
        <f>IF(CB30=$CB38,SUMIF($BI26:$BI37,$BX30,$BR26:$BR37),SUMIF($BI26:$BI37,$BX30,$BM26:$BM37))</f>
        <v>1.1839999999999999</v>
      </c>
      <c r="BZ30" s="641">
        <f>IF(IF(CB30=CB38,SUMIF(BI26:BI37,$BX30,BU26:BU37),SUMIF(BI26:BI37,$BX30,BP26:BP37))=0,NA(),IF(CB30=CB38,SUMIF(BI26:BI37,$BX30,BU26:BU37),SUMIF(BI26:BI37,$BX30,BP26:BP37)))</f>
        <v>0.9</v>
      </c>
      <c r="CA30" s="644">
        <f>IF(IF(CB30=CB38,SUMIF(BI26:BI37,$BX30,BS26:BS37),SUMIF(BI26:BI37,$BX30,BN26:BN37))=0,NA(),IF(CB30=CB38,SUMIF(BI26:BI37,$BX30,BS26:BS37),SUMIF(BI26:BI37,$BX30,BN26:BN37)))</f>
        <v>0.95439189189189189</v>
      </c>
      <c r="CB30" s="645">
        <v>22</v>
      </c>
      <c r="CC30" s="645">
        <f t="shared" si="3"/>
        <v>2</v>
      </c>
    </row>
    <row r="31" spans="2:81" ht="14.65" customHeight="1">
      <c r="B31" s="1482"/>
      <c r="C31" s="1483"/>
      <c r="D31" s="1483"/>
      <c r="E31" s="1483"/>
      <c r="F31" s="1483"/>
      <c r="G31" s="1483"/>
      <c r="H31" s="1483"/>
      <c r="I31" s="1483"/>
      <c r="J31" s="1483"/>
      <c r="K31" s="1483"/>
      <c r="L31" s="1483"/>
      <c r="M31" s="1483"/>
      <c r="N31" s="1483"/>
      <c r="O31" s="1483"/>
      <c r="P31" s="1483"/>
      <c r="Q31" s="1483"/>
      <c r="R31" s="1483"/>
      <c r="S31" s="1483"/>
      <c r="T31" s="1483"/>
      <c r="U31" s="1483"/>
      <c r="V31" s="1483"/>
      <c r="W31" s="1483"/>
      <c r="X31" s="1483"/>
      <c r="Y31" s="1483"/>
      <c r="Z31" s="1483"/>
      <c r="AA31" s="1483"/>
      <c r="AB31" s="1484"/>
      <c r="AE31" s="1140"/>
      <c r="AF31" s="1141"/>
      <c r="AG31" s="1141"/>
      <c r="AH31" s="1141"/>
      <c r="AI31" s="1141"/>
      <c r="AJ31" s="1141"/>
      <c r="AK31" s="1141"/>
      <c r="AL31" s="1141"/>
      <c r="AM31" s="1141"/>
      <c r="AN31" s="1141"/>
      <c r="AO31" s="1141"/>
      <c r="AP31" s="1141"/>
      <c r="AQ31" s="1141"/>
      <c r="AR31" s="1141"/>
      <c r="AS31" s="1141"/>
      <c r="AT31" s="1141"/>
      <c r="AU31" s="1141"/>
      <c r="AV31" s="1141"/>
      <c r="AW31" s="1141"/>
      <c r="AX31" s="1141"/>
      <c r="AY31" s="1141"/>
      <c r="AZ31" s="1141"/>
      <c r="BA31" s="1141"/>
      <c r="BB31" s="1141"/>
      <c r="BC31" s="1141"/>
      <c r="BD31" s="1141"/>
      <c r="BE31" s="1142"/>
      <c r="BI31" s="638" t="s">
        <v>326</v>
      </c>
      <c r="BJ31" s="638">
        <v>6</v>
      </c>
      <c r="BK31" s="638" t="s">
        <v>324</v>
      </c>
      <c r="BL31" s="697">
        <v>1.3388</v>
      </c>
      <c r="BM31" s="697">
        <v>1.4</v>
      </c>
      <c r="BN31" s="641">
        <f t="shared" si="4"/>
        <v>0.95628571428571429</v>
      </c>
      <c r="BO31" s="282"/>
      <c r="BP31" s="641">
        <v>0.9</v>
      </c>
      <c r="BQ31" s="697"/>
      <c r="BR31" s="697"/>
      <c r="BS31" s="686">
        <f t="shared" si="5"/>
        <v>0</v>
      </c>
      <c r="BT31" s="282"/>
      <c r="BU31" s="641">
        <v>0.9</v>
      </c>
      <c r="BX31" s="642" t="str">
        <f t="shared" si="2"/>
        <v>Mar</v>
      </c>
      <c r="BY31" s="643">
        <f>IF(CB31=$CB38,SUMIF($BI26:$BI37,$BX31,$BR26:$BR37),SUMIF($BI26:$BI37,$BX31,$BM26:$BM37))</f>
        <v>1.4</v>
      </c>
      <c r="BZ31" s="641">
        <f>IF(IF(CB31=CB38,SUMIF(BI26:BI37,$BX31,BU26:BU37),SUMIF(BI26:BI37,$BX31,BP26:BP37))=0,NA(),IF(CB31=CB38,SUMIF(BI26:BI37,$BX31,BU26:BU37),SUMIF(BI26:BI37,$BX31,BP26:BP37)))</f>
        <v>0.9</v>
      </c>
      <c r="CA31" s="644">
        <f>IF(IF(CB31=CB38,SUMIF(BI26:BI37,$BX31,BS26:BS37),SUMIF(BI26:BI37,$BX31,BN26:BN37))=0,NA(),IF(CB31=CB38,SUMIF(BI26:BI37,$BX31,BS26:BS37),SUMIF(BI26:BI37,$BX31,BN26:BN37)))</f>
        <v>0.95628571428571429</v>
      </c>
      <c r="CB31" s="645">
        <v>22</v>
      </c>
      <c r="CC31" s="645">
        <f t="shared" si="3"/>
        <v>3</v>
      </c>
    </row>
    <row r="32" spans="2:81" ht="12">
      <c r="B32" s="1485"/>
      <c r="C32" s="1486"/>
      <c r="D32" s="1486"/>
      <c r="E32" s="1486"/>
      <c r="F32" s="1486"/>
      <c r="G32" s="1486"/>
      <c r="H32" s="1486"/>
      <c r="I32" s="1486"/>
      <c r="J32" s="1486"/>
      <c r="K32" s="1486"/>
      <c r="L32" s="1486"/>
      <c r="M32" s="1486"/>
      <c r="N32" s="1486"/>
      <c r="O32" s="1486"/>
      <c r="P32" s="1486"/>
      <c r="Q32" s="1486"/>
      <c r="R32" s="1486"/>
      <c r="S32" s="1486"/>
      <c r="T32" s="1486"/>
      <c r="U32" s="1486"/>
      <c r="V32" s="1486"/>
      <c r="W32" s="1486"/>
      <c r="X32" s="1486"/>
      <c r="Y32" s="1486"/>
      <c r="Z32" s="1486"/>
      <c r="AA32" s="1486"/>
      <c r="AB32" s="1487"/>
      <c r="AE32" s="1143"/>
      <c r="AF32" s="1144"/>
      <c r="AG32" s="1144"/>
      <c r="AH32" s="1144"/>
      <c r="AI32" s="1144"/>
      <c r="AJ32" s="1144"/>
      <c r="AK32" s="1144"/>
      <c r="AL32" s="1144"/>
      <c r="AM32" s="1144"/>
      <c r="AN32" s="1144"/>
      <c r="AO32" s="1144"/>
      <c r="AP32" s="1144"/>
      <c r="AQ32" s="1144"/>
      <c r="AR32" s="1144"/>
      <c r="AS32" s="1144"/>
      <c r="AT32" s="1144"/>
      <c r="AU32" s="1144"/>
      <c r="AV32" s="1144"/>
      <c r="AW32" s="1144"/>
      <c r="AX32" s="1144"/>
      <c r="AY32" s="1144"/>
      <c r="AZ32" s="1144"/>
      <c r="BA32" s="1144"/>
      <c r="BB32" s="1144"/>
      <c r="BC32" s="1144"/>
      <c r="BD32" s="1144"/>
      <c r="BE32" s="1145"/>
      <c r="BI32" s="638" t="s">
        <v>327</v>
      </c>
      <c r="BJ32" s="638">
        <v>7</v>
      </c>
      <c r="BK32" s="638" t="s">
        <v>328</v>
      </c>
      <c r="BL32" s="697">
        <v>8.3759999999999994</v>
      </c>
      <c r="BM32" s="697">
        <v>8.81</v>
      </c>
      <c r="BN32" s="641">
        <f t="shared" si="4"/>
        <v>0.95073779795686708</v>
      </c>
      <c r="BO32" s="281">
        <f>IF(SUM(BM32:BM34=0),0,SUM(BL32:BL34)/SUM(BM32:BM34))</f>
        <v>0.94522156967431925</v>
      </c>
      <c r="BP32" s="641">
        <v>0.9</v>
      </c>
      <c r="BQ32" s="697"/>
      <c r="BR32" s="697"/>
      <c r="BS32" s="686">
        <f t="shared" si="5"/>
        <v>0</v>
      </c>
      <c r="BT32" s="281">
        <f>IF(SUM(BR32:BR34=0),0,SUM(BQ32:BQ34)/SUM(BR32:BR34))</f>
        <v>0</v>
      </c>
      <c r="BU32" s="641">
        <v>0.9</v>
      </c>
      <c r="BX32" s="642" t="str">
        <f t="shared" si="2"/>
        <v>Apr</v>
      </c>
      <c r="BY32" s="643">
        <f>IF(CB32=$CB38,SUMIF($BI26:$BI37,$BX32,$BR26:$BR37),SUMIF($BI26:$BI37,$BX32,$BM26:$BM37))</f>
        <v>8.81</v>
      </c>
      <c r="BZ32" s="641">
        <f>IF(IF(CB32=CB38,SUMIF(BI26:BI37,$BX32,BU26:BU37),SUMIF(BI26:BI37,$BX32,BP26:BP37))=0,NA(),IF(CB32=CB38,SUMIF(BI26:BI37,$BX32,BU26:BU37),SUMIF(BI26:BI37,$BX32,BP26:BP37)))</f>
        <v>0.9</v>
      </c>
      <c r="CA32" s="644">
        <f>IF(IF(CB32=CB38,SUMIF(BI26:BI37,$BX32,BS26:BS37),SUMIF(BI26:BI37,$BX32,BN26:BN37))=0,NA(),IF(CB32=CB38,SUMIF(BI26:BI37,$BX32,BS26:BS37),SUMIF(BI26:BI37,$BX32,BN26:BN37)))</f>
        <v>0.95073779795686708</v>
      </c>
      <c r="CB32" s="645">
        <v>22</v>
      </c>
      <c r="CC32" s="645">
        <f t="shared" si="3"/>
        <v>4</v>
      </c>
    </row>
    <row r="33" spans="2:81" ht="14.65" customHeight="1">
      <c r="BI33" s="638" t="s">
        <v>329</v>
      </c>
      <c r="BJ33" s="638">
        <v>8</v>
      </c>
      <c r="BK33" s="638" t="s">
        <v>328</v>
      </c>
      <c r="BL33" s="697">
        <v>6.1219999999999999</v>
      </c>
      <c r="BM33" s="697">
        <v>6.51</v>
      </c>
      <c r="BN33" s="641">
        <f t="shared" si="4"/>
        <v>0.94039938556067593</v>
      </c>
      <c r="BO33" s="282"/>
      <c r="BP33" s="641">
        <v>0.9</v>
      </c>
      <c r="BQ33" s="697"/>
      <c r="BR33" s="697"/>
      <c r="BS33" s="686">
        <f t="shared" si="5"/>
        <v>0</v>
      </c>
      <c r="BT33" s="282"/>
      <c r="BU33" s="641">
        <v>0.9</v>
      </c>
      <c r="BX33" s="642" t="str">
        <f t="shared" si="2"/>
        <v>May</v>
      </c>
      <c r="BY33" s="643">
        <f>IF(CB33=$CB38,SUMIF($BI26:$BI37,$BX33,$BR26:$BR37),SUMIF($BI26:$BI37,$BX33,$BM26:$BM37))</f>
        <v>6.51</v>
      </c>
      <c r="BZ33" s="641">
        <f>IF(IF(CB33=CB38,SUMIF(BI26:BI37,$BX33,BU26:BU37),SUMIF(BI26:BI37,$BX33,BP26:BP37))=0,NA(),IF(CB33=CB38,SUMIF(BI26:BI37,$BX33,BU26:BU37),SUMIF(BI26:BI37,$BX33,BP26:BP37)))</f>
        <v>0.9</v>
      </c>
      <c r="CA33" s="644">
        <f>IF(IF(CB33=CB38,SUMIF(BI26:BI37,$BX33,BS26:BS37),SUMIF(BI26:BI37,$BX33,BN26:BN37))=0,NA(),IF(CB33=CB38,SUMIF(BI26:BI37,$BX33,BS26:BS37),SUMIF(BI26:BI37,$BX33,BN26:BN37)))</f>
        <v>0.94039938556067593</v>
      </c>
      <c r="CB33" s="645">
        <v>22</v>
      </c>
      <c r="CC33" s="645">
        <f t="shared" si="3"/>
        <v>5</v>
      </c>
    </row>
    <row r="34" spans="2:81" ht="14.65" customHeight="1">
      <c r="B34" s="531" t="s">
        <v>493</v>
      </c>
      <c r="C34" s="542"/>
      <c r="D34" s="542"/>
      <c r="E34" s="542"/>
      <c r="F34" s="542"/>
      <c r="G34" s="543"/>
      <c r="H34" s="543"/>
      <c r="I34" s="543"/>
      <c r="J34" s="543"/>
      <c r="K34" s="543"/>
      <c r="L34" s="544"/>
      <c r="M34" s="542"/>
      <c r="N34" s="542"/>
      <c r="O34" s="532"/>
      <c r="P34" s="532"/>
      <c r="Q34" s="532"/>
      <c r="R34" s="532"/>
      <c r="S34" s="532"/>
      <c r="T34" s="532"/>
      <c r="U34" s="532"/>
      <c r="V34" s="532"/>
      <c r="W34" s="532"/>
      <c r="X34" s="532"/>
      <c r="Y34" s="532"/>
      <c r="Z34" s="532"/>
      <c r="AA34" s="532"/>
      <c r="AB34" s="532"/>
      <c r="AC34" s="532"/>
      <c r="AD34" s="532"/>
      <c r="AE34" s="532"/>
      <c r="AF34" s="532"/>
      <c r="AG34" s="532"/>
      <c r="AH34" s="532"/>
      <c r="AI34" s="532"/>
      <c r="AJ34" s="532"/>
      <c r="AK34" s="532"/>
      <c r="AL34" s="532"/>
      <c r="AM34" s="532"/>
      <c r="AN34" s="532"/>
      <c r="AO34" s="532"/>
      <c r="AP34" s="532"/>
      <c r="AQ34" s="532"/>
      <c r="AR34" s="532"/>
      <c r="AS34" s="532"/>
      <c r="AT34" s="532"/>
      <c r="AU34" s="532"/>
      <c r="AV34" s="532"/>
      <c r="AW34" s="532"/>
      <c r="AX34" s="532"/>
      <c r="AY34" s="532"/>
      <c r="AZ34" s="532"/>
      <c r="BA34" s="532"/>
      <c r="BB34" s="532"/>
      <c r="BC34" s="532"/>
      <c r="BD34" s="532"/>
      <c r="BE34" s="532"/>
      <c r="BI34" s="638" t="s">
        <v>331</v>
      </c>
      <c r="BJ34" s="638">
        <v>9</v>
      </c>
      <c r="BK34" s="638" t="s">
        <v>328</v>
      </c>
      <c r="BL34" s="697">
        <v>3.206</v>
      </c>
      <c r="BM34" s="697">
        <v>3.41</v>
      </c>
      <c r="BN34" s="641">
        <f t="shared" si="4"/>
        <v>0.94017595307917878</v>
      </c>
      <c r="BO34" s="282"/>
      <c r="BP34" s="641">
        <v>0.9</v>
      </c>
      <c r="BQ34" s="697"/>
      <c r="BR34" s="697"/>
      <c r="BS34" s="686">
        <f t="shared" si="5"/>
        <v>0</v>
      </c>
      <c r="BT34" s="282"/>
      <c r="BU34" s="641">
        <v>0.9</v>
      </c>
      <c r="BX34" s="642" t="str">
        <f t="shared" si="2"/>
        <v>Jun</v>
      </c>
      <c r="BY34" s="643">
        <f>IF(CB34=$CB38,SUMIF($BI26:$BI37,$BX34,$BR26:$BR37),SUMIF($BI26:$BI37,$BX34,$BM26:$BM37))</f>
        <v>3.41</v>
      </c>
      <c r="BZ34" s="641">
        <f>IF(IF(CB34=CB38,SUMIF(BI26:BI37,$BX34,BU26:BU37),SUMIF(BI26:BI37,$BX34,BP26:BP37))=0,NA(),IF(CB34=CB38,SUMIF(BI26:BI37,$BX34,BU26:BU37),SUMIF(BI26:BI37,$BX34,BP26:BP37)))</f>
        <v>0.9</v>
      </c>
      <c r="CA34" s="644">
        <f>IF(IF(CB34=CB38,SUMIF(BI26:BI37,$BX34,BS26:BS37),SUMIF(BI26:BI37,$BX34,BN26:BN37))=0,NA(),IF(CB34=CB38,SUMIF(BI26:BI37,$BX34,BS26:BS37),SUMIF(BI26:BI37,$BX34,BN26:BN37)))</f>
        <v>0.94017595307917878</v>
      </c>
      <c r="CB34" s="645">
        <v>22</v>
      </c>
      <c r="CC34" s="645">
        <f t="shared" si="3"/>
        <v>6</v>
      </c>
    </row>
    <row r="35" spans="2:81" ht="14.65" customHeight="1">
      <c r="BH35" s="224"/>
      <c r="BI35" s="638" t="s">
        <v>337</v>
      </c>
      <c r="BJ35" s="638">
        <v>10</v>
      </c>
      <c r="BK35" s="638" t="s">
        <v>338</v>
      </c>
      <c r="BL35" s="697">
        <v>3.1920000000000002</v>
      </c>
      <c r="BM35" s="697">
        <v>3.32</v>
      </c>
      <c r="BN35" s="641">
        <f t="shared" si="4"/>
        <v>0.96144578313253026</v>
      </c>
      <c r="BO35" s="281">
        <f>IF(SUM(BM35:BM37=0),0,SUM(BL35:BL37)/SUM(BM35:BM37))</f>
        <v>0.95438311688311683</v>
      </c>
      <c r="BP35" s="641">
        <v>0.9</v>
      </c>
      <c r="BQ35" s="697"/>
      <c r="BR35" s="697"/>
      <c r="BS35" s="686">
        <f t="shared" si="5"/>
        <v>0</v>
      </c>
      <c r="BT35" s="281">
        <f>IF(SUM(BR35:BR37=0),0,SUM(BQ35:BQ37)/SUM(BR35:BR37))</f>
        <v>0</v>
      </c>
      <c r="BU35" s="641">
        <v>0.9</v>
      </c>
      <c r="BX35" s="642" t="str">
        <f t="shared" si="2"/>
        <v>Jul</v>
      </c>
      <c r="BY35" s="643">
        <f>IF(CB35=$CB38,SUMIF($BI26:$BI37,$BX35,$BR26:$BR37),SUMIF($BI26:$BI37,$BX35,$BM26:$BM37))</f>
        <v>3.32</v>
      </c>
      <c r="BZ35" s="641">
        <f>IF(IF(CB35=CB38,SUMIF(BI26:BI37,$BX35,BU26:BU37),SUMIF(BI26:BI37,$BX35,BP26:BP37))=0,NA(),IF(CB35=CB38,SUMIF(BI26:BI37,$BX35,BU26:BU37),SUMIF(BI26:BI37,$BX35,BP26:BP37)))</f>
        <v>0.9</v>
      </c>
      <c r="CA35" s="644">
        <f>IF(IF(CB35=CB38,SUMIF(BI26:BI37,$BX35,BS26:BS37),SUMIF(BI26:BI37,$BX35,BN26:BN37))=0,NA(),IF(CB35=CB38,SUMIF(BI26:BI37,$BX35,BS26:BS37),SUMIF(BI26:BI37,$BX35,BN26:BN37)))</f>
        <v>0.96144578313253026</v>
      </c>
      <c r="CB35" s="645">
        <v>22</v>
      </c>
      <c r="CC35" s="645">
        <f t="shared" si="3"/>
        <v>7</v>
      </c>
    </row>
    <row r="36" spans="2:81" ht="14.65" customHeight="1">
      <c r="B36" s="1468" t="s">
        <v>457</v>
      </c>
      <c r="C36" s="1468"/>
      <c r="D36" s="1468"/>
      <c r="E36" s="1468"/>
      <c r="F36" s="1468"/>
      <c r="G36" s="1468"/>
      <c r="H36" s="1468"/>
      <c r="I36" s="1468"/>
      <c r="J36" s="1468"/>
      <c r="K36" s="1468" t="s">
        <v>333</v>
      </c>
      <c r="L36" s="1468"/>
      <c r="M36" s="1468"/>
      <c r="N36" s="1468"/>
      <c r="O36" s="1468"/>
      <c r="P36" s="1468"/>
      <c r="Q36" s="1464" t="s">
        <v>334</v>
      </c>
      <c r="R36" s="1464"/>
      <c r="S36" s="1464"/>
      <c r="T36" s="1468" t="s">
        <v>335</v>
      </c>
      <c r="U36" s="1468"/>
      <c r="V36" s="1468"/>
      <c r="W36" s="1468"/>
      <c r="X36" s="1468"/>
      <c r="Y36" s="1468"/>
      <c r="Z36" s="1468"/>
      <c r="AA36" s="1468"/>
      <c r="AB36" s="1468"/>
      <c r="AC36" s="391"/>
      <c r="AD36" s="391"/>
      <c r="AE36" s="1468" t="s">
        <v>457</v>
      </c>
      <c r="AF36" s="1468"/>
      <c r="AG36" s="1468"/>
      <c r="AH36" s="1468"/>
      <c r="AI36" s="1468"/>
      <c r="AJ36" s="1468"/>
      <c r="AK36" s="1468"/>
      <c r="AL36" s="1468"/>
      <c r="AM36" s="1468"/>
      <c r="AN36" s="1468" t="s">
        <v>333</v>
      </c>
      <c r="AO36" s="1468"/>
      <c r="AP36" s="1468"/>
      <c r="AQ36" s="1468"/>
      <c r="AR36" s="1468"/>
      <c r="AS36" s="1468"/>
      <c r="AT36" s="1464" t="s">
        <v>334</v>
      </c>
      <c r="AU36" s="1464"/>
      <c r="AV36" s="1464"/>
      <c r="AW36" s="1468" t="s">
        <v>335</v>
      </c>
      <c r="AX36" s="1468"/>
      <c r="AY36" s="1468"/>
      <c r="AZ36" s="1468"/>
      <c r="BA36" s="1468"/>
      <c r="BB36" s="1468"/>
      <c r="BC36" s="1468"/>
      <c r="BD36" s="1468"/>
      <c r="BE36" s="1468"/>
      <c r="BH36" s="223"/>
      <c r="BI36" s="638" t="s">
        <v>343</v>
      </c>
      <c r="BJ36" s="638">
        <v>11</v>
      </c>
      <c r="BK36" s="638" t="s">
        <v>338</v>
      </c>
      <c r="BL36" s="697">
        <v>3.2559999999999998</v>
      </c>
      <c r="BM36" s="697">
        <v>3.38</v>
      </c>
      <c r="BN36" s="641">
        <f t="shared" si="4"/>
        <v>0.96331360946745559</v>
      </c>
      <c r="BO36" s="282"/>
      <c r="BP36" s="641">
        <v>0.9</v>
      </c>
      <c r="BQ36" s="697"/>
      <c r="BR36" s="697"/>
      <c r="BS36" s="686">
        <f t="shared" si="5"/>
        <v>0</v>
      </c>
      <c r="BT36" s="282"/>
      <c r="BU36" s="641">
        <v>0.9</v>
      </c>
      <c r="BX36" s="642" t="str">
        <f t="shared" si="2"/>
        <v>Aug</v>
      </c>
      <c r="BY36" s="643">
        <f>IF(CB36=$CB38,SUMIF($BI26:$BI37,$BX36,$BR26:$BR37),SUMIF($BI26:$BI37,$BX36,$BM26:$BM37))</f>
        <v>3.38</v>
      </c>
      <c r="BZ36" s="641">
        <f>IF(IF(CB36=CB38,SUMIF(BI26:BI37,$BX36,BU26:BU37),SUMIF(BI26:BI37,$BX36,BP26:BP37))=0,NA(),IF(CB36=CB38,SUMIF(BI26:BI37,$BX36,BU26:BU37),SUMIF(BI26:BI37,$BX36,BP26:BP37)))</f>
        <v>0.9</v>
      </c>
      <c r="CA36" s="644">
        <f>IF(IF(CB36=CB38,SUMIF(BI26:BI37,$BX36,BS26:BS37),SUMIF(BI26:BI37,$BX36,BN26:BN37))=0,NA(),IF(CB36=CB38,SUMIF(BI26:BI37,$BX36,BS26:BS37),SUMIF(BI26:BI37,$BX36,BN26:BN37)))</f>
        <v>0.96331360946745559</v>
      </c>
      <c r="CB36" s="645">
        <v>22</v>
      </c>
      <c r="CC36" s="645">
        <f t="shared" si="3"/>
        <v>8</v>
      </c>
    </row>
    <row r="37" spans="2:81" ht="14.65" customHeight="1">
      <c r="B37" s="1469" t="s">
        <v>332</v>
      </c>
      <c r="C37" s="1470"/>
      <c r="D37" s="1470"/>
      <c r="E37" s="1470"/>
      <c r="F37" s="1470"/>
      <c r="G37" s="1470"/>
      <c r="H37" s="1470"/>
      <c r="I37" s="1470"/>
      <c r="J37" s="1471"/>
      <c r="K37" s="1468" t="s">
        <v>23</v>
      </c>
      <c r="L37" s="1468"/>
      <c r="M37" s="1468"/>
      <c r="N37" s="1468" t="s">
        <v>339</v>
      </c>
      <c r="O37" s="1468"/>
      <c r="P37" s="1468"/>
      <c r="Q37" s="1464"/>
      <c r="R37" s="1464"/>
      <c r="S37" s="1464"/>
      <c r="T37" s="1464" t="s">
        <v>340</v>
      </c>
      <c r="U37" s="1464"/>
      <c r="V37" s="1464"/>
      <c r="W37" s="1464" t="s">
        <v>341</v>
      </c>
      <c r="X37" s="1464"/>
      <c r="Y37" s="1464"/>
      <c r="Z37" s="1464" t="s">
        <v>342</v>
      </c>
      <c r="AA37" s="1464"/>
      <c r="AB37" s="1464"/>
      <c r="AC37" s="391"/>
      <c r="AD37" s="391"/>
      <c r="AE37" s="1469" t="s">
        <v>332</v>
      </c>
      <c r="AF37" s="1470"/>
      <c r="AG37" s="1470"/>
      <c r="AH37" s="1470"/>
      <c r="AI37" s="1470"/>
      <c r="AJ37" s="1470"/>
      <c r="AK37" s="1470"/>
      <c r="AL37" s="1470"/>
      <c r="AM37" s="1471"/>
      <c r="AN37" s="1468" t="s">
        <v>23</v>
      </c>
      <c r="AO37" s="1468"/>
      <c r="AP37" s="1468"/>
      <c r="AQ37" s="1468" t="s">
        <v>339</v>
      </c>
      <c r="AR37" s="1468"/>
      <c r="AS37" s="1468"/>
      <c r="AT37" s="1464"/>
      <c r="AU37" s="1464"/>
      <c r="AV37" s="1464"/>
      <c r="AW37" s="1464" t="s">
        <v>340</v>
      </c>
      <c r="AX37" s="1464"/>
      <c r="AY37" s="1464"/>
      <c r="AZ37" s="1464" t="s">
        <v>341</v>
      </c>
      <c r="BA37" s="1464"/>
      <c r="BB37" s="1464"/>
      <c r="BC37" s="1464" t="s">
        <v>342</v>
      </c>
      <c r="BD37" s="1464"/>
      <c r="BE37" s="1464"/>
      <c r="BH37" s="224"/>
      <c r="BI37" s="638" t="s">
        <v>344</v>
      </c>
      <c r="BJ37" s="638">
        <v>12</v>
      </c>
      <c r="BK37" s="638" t="s">
        <v>338</v>
      </c>
      <c r="BL37" s="697">
        <v>5.31</v>
      </c>
      <c r="BM37" s="697">
        <v>5.62</v>
      </c>
      <c r="BN37" s="641">
        <f t="shared" si="4"/>
        <v>0.94483985765124545</v>
      </c>
      <c r="BO37" s="282"/>
      <c r="BP37" s="641">
        <v>0.9</v>
      </c>
      <c r="BQ37" s="697"/>
      <c r="BR37" s="697"/>
      <c r="BS37" s="686">
        <f t="shared" si="5"/>
        <v>0</v>
      </c>
      <c r="BT37" s="282"/>
      <c r="BU37" s="641">
        <v>0.9</v>
      </c>
      <c r="BX37" s="642" t="str">
        <f t="shared" si="2"/>
        <v>Sep</v>
      </c>
      <c r="BY37" s="643">
        <f>IF(CB37=$CB38,SUMIF($BI26:$BI37,$BX37,$BR26:$BR37),SUMIF($BI26:$BI37,$BX37,$BM26:$BM37))</f>
        <v>5.62</v>
      </c>
      <c r="BZ37" s="641">
        <f>IF(IF(CB37=CB38,SUMIF(BI26:BI37,$BX37,BU26:BU37),SUMIF(BI26:BI37,$BX37,BP26:BP37))=0,NA(),IF(CB37=CB38,SUMIF(BI26:BI37,$BX37,BU26:BU37),SUMIF(BI26:BI37,$BX37,BP26:BP37)))</f>
        <v>0.9</v>
      </c>
      <c r="CA37" s="644">
        <f>IF(IF(CB37=CB38,SUMIF(BI26:BI37,$BX37,BS26:BS37),SUMIF(BI26:BI37,$BX37,BN26:BN37))=0,NA(),IF(CB37=CB38,SUMIF(BI26:BI37,$BX37,BS26:BS37),SUMIF(BI26:BI37,$BX37,BN26:BN37)))</f>
        <v>0.94483985765124545</v>
      </c>
      <c r="CB37" s="645">
        <v>22</v>
      </c>
      <c r="CC37" s="645">
        <f>IF(CC38-1&lt;1,CC38+11,CC38-1)</f>
        <v>9</v>
      </c>
    </row>
    <row r="38" spans="2:81" ht="14.65" customHeight="1">
      <c r="B38" s="1472"/>
      <c r="C38" s="1473"/>
      <c r="D38" s="1473"/>
      <c r="E38" s="1473"/>
      <c r="F38" s="1473"/>
      <c r="G38" s="1473"/>
      <c r="H38" s="1473"/>
      <c r="I38" s="1473"/>
      <c r="J38" s="1474"/>
      <c r="K38" s="1468"/>
      <c r="L38" s="1468"/>
      <c r="M38" s="1468"/>
      <c r="N38" s="1468"/>
      <c r="O38" s="1468"/>
      <c r="P38" s="1468"/>
      <c r="Q38" s="1464"/>
      <c r="R38" s="1464"/>
      <c r="S38" s="1464"/>
      <c r="T38" s="1464"/>
      <c r="U38" s="1464"/>
      <c r="V38" s="1464"/>
      <c r="W38" s="1464"/>
      <c r="X38" s="1464"/>
      <c r="Y38" s="1464"/>
      <c r="Z38" s="1464"/>
      <c r="AA38" s="1464"/>
      <c r="AB38" s="1464"/>
      <c r="AC38" s="391"/>
      <c r="AD38" s="391"/>
      <c r="AE38" s="1472"/>
      <c r="AF38" s="1473"/>
      <c r="AG38" s="1473"/>
      <c r="AH38" s="1473"/>
      <c r="AI38" s="1473"/>
      <c r="AJ38" s="1473"/>
      <c r="AK38" s="1473"/>
      <c r="AL38" s="1473"/>
      <c r="AM38" s="1474"/>
      <c r="AN38" s="1468"/>
      <c r="AO38" s="1468"/>
      <c r="AP38" s="1468"/>
      <c r="AQ38" s="1468"/>
      <c r="AR38" s="1468"/>
      <c r="AS38" s="1468"/>
      <c r="AT38" s="1464"/>
      <c r="AU38" s="1464"/>
      <c r="AV38" s="1464"/>
      <c r="AW38" s="1464"/>
      <c r="AX38" s="1464"/>
      <c r="AY38" s="1464"/>
      <c r="AZ38" s="1464"/>
      <c r="BA38" s="1464"/>
      <c r="BB38" s="1464"/>
      <c r="BC38" s="1464"/>
      <c r="BD38" s="1464"/>
      <c r="BE38" s="1464"/>
      <c r="BH38" s="160">
        <f>IF(Q39=0,4,IF(W39=0,0,IF(Q39="","",IF(W39&gt;=Q39,1,IF(W39&lt;Q39*0.9,3,2)))))</f>
        <v>0</v>
      </c>
      <c r="BJ38" s="277"/>
      <c r="BK38" s="277"/>
      <c r="BL38" s="277"/>
      <c r="BM38" s="277"/>
      <c r="BN38" s="277"/>
      <c r="BO38" s="277"/>
      <c r="BP38" s="277"/>
      <c r="BQ38" s="277"/>
      <c r="BR38" s="277"/>
      <c r="BS38" s="277"/>
      <c r="BT38" s="277"/>
      <c r="BW38" s="647" t="str">
        <f>Cover!$M$34</f>
        <v>OCT FY-24</v>
      </c>
      <c r="BX38" s="642" t="str">
        <f>TEXT(CONCATENATE(CC38,"/01/20",CB38),"MMM")</f>
        <v>Oct</v>
      </c>
      <c r="BY38" s="643">
        <f>SUMIF($BI26:$BI37,$BX38,$BR26:$BR37)</f>
        <v>0</v>
      </c>
      <c r="BZ38" s="641">
        <f>IF(IF(CB38=CB38,SUMIF(BI26:BI37,$BX38,BU26:BU37),SUMIF(BI26:BI37,$BX38,BP26:BP37))=0,NA(),IF(CB38=CB38,SUMIF(BI26:BI37,$BX38,BU26:BU37),SUMIF(BI26:BI37,$BX38,BP26:BP37)))</f>
        <v>0.9</v>
      </c>
      <c r="CA38" s="644" t="e">
        <f>IF(SUMIF($BI26:$BI37,$BX38,$BS26:$BS37)=0,NA(),SUMIF($BI26:$BI37,$BX38,$BS26:$BS37))</f>
        <v>#N/A</v>
      </c>
      <c r="CB38" s="645">
        <v>23</v>
      </c>
      <c r="CC38" s="645">
        <f>MONTH(DATEVALUE(LEFT(BW38,3)&amp;" 1"))</f>
        <v>10</v>
      </c>
    </row>
    <row r="39" spans="2:81" ht="14.65" customHeight="1">
      <c r="B39" s="1193" t="s">
        <v>463</v>
      </c>
      <c r="C39" s="1193"/>
      <c r="D39" s="1193"/>
      <c r="E39" s="1193"/>
      <c r="F39" s="1193"/>
      <c r="G39" s="1193"/>
      <c r="H39" s="1193"/>
      <c r="I39" s="1193"/>
      <c r="J39" s="1193"/>
      <c r="K39" s="1125">
        <f>SUMIF(CC!$BJ$26:$BJ$37,Cover!$M$36,CC!$BN$26:$BN$37)</f>
        <v>0.96681715575620775</v>
      </c>
      <c r="L39" s="1125"/>
      <c r="M39" s="1125"/>
      <c r="N39" s="1125">
        <f>SUMIF(CC!$BK$26:$BK$37,Cover!$M$35,CC!$BO$26:$BO$37)</f>
        <v>0.96690324990661203</v>
      </c>
      <c r="O39" s="1125"/>
      <c r="P39" s="1125"/>
      <c r="Q39" s="1489">
        <f>SUMIF(CC!$BJ$26:$BJ$37,Cover!$M$36,CC!$BU$26:$BU$37)</f>
        <v>0.9</v>
      </c>
      <c r="R39" s="1489"/>
      <c r="S39" s="1489"/>
      <c r="T39" s="1125">
        <f>IF(Cover!$M$36=1,SUMIF($BJ$26:$BJ$37,12,$BN$26:$BN$37),SUMIF(CC!$BJ$26:$BJ$37,Cover!$M$36-1,CC!$BS$26:$BS$37))</f>
        <v>0.94483985765124545</v>
      </c>
      <c r="U39" s="1125"/>
      <c r="V39" s="1125"/>
      <c r="W39" s="1125">
        <f>SUMIF(CC!$BJ$26:$BJ$37,Cover!$M$36,CC!$BS$26:$BS$37)</f>
        <v>0</v>
      </c>
      <c r="X39" s="1125"/>
      <c r="Y39" s="1125"/>
      <c r="Z39" s="1125">
        <f>SUMIF(CC!$BK$26:$BK$37,Cover!$M$35,CC!$BT$26:$BT$37)</f>
        <v>0</v>
      </c>
      <c r="AA39" s="1125"/>
      <c r="AB39" s="1125"/>
      <c r="AC39" s="391"/>
      <c r="AD39" s="391"/>
      <c r="AE39" s="1177" t="s">
        <v>465</v>
      </c>
      <c r="AF39" s="1178"/>
      <c r="AG39" s="1178"/>
      <c r="AH39" s="1178"/>
      <c r="AI39" s="1178"/>
      <c r="AJ39" s="1178"/>
      <c r="AK39" s="1178"/>
      <c r="AL39" s="1178"/>
      <c r="AM39" s="1178"/>
      <c r="AN39" s="1478">
        <f>SUMIF(CC!$BJ$45:$BJ$56,Cover!$M$36,CC!$BN$45:$BN$56)</f>
        <v>9.2592592592592588E-5</v>
      </c>
      <c r="AO39" s="1478"/>
      <c r="AP39" s="1478"/>
      <c r="AQ39" s="1478">
        <f>SUMIF(BSS!$BK$161:$BK$172,Cover!$M$35,CC!$BO$45:$BO$56)</f>
        <v>8.9030809668072896E-5</v>
      </c>
      <c r="AR39" s="1478"/>
      <c r="AS39" s="1478"/>
      <c r="AT39" s="1488">
        <f>SUMIF(CC!$BJ$45:$BJ$56,Cover!$M$36,CC!$BU$45:$BU$56)</f>
        <v>6.9444444444444447E-4</v>
      </c>
      <c r="AU39" s="1488"/>
      <c r="AV39" s="1488"/>
      <c r="AW39" s="1478">
        <f>IF(Cover!$M$36=1,SUMIF($BJ$45:$BJ$56,12,$BN$45:$BN$56),SUMIF(CC!$BJ$45:$BJ$56,Cover!$M$36-1,CC!$BS$45:$BS$56))</f>
        <v>1.9675925925925926E-4</v>
      </c>
      <c r="AX39" s="1478"/>
      <c r="AY39" s="1478"/>
      <c r="AZ39" s="1478">
        <f>SUMIF(CC!$BJ$45:$BJ$56,Cover!$M$36,CC!$BS$45:$BS$56)</f>
        <v>0</v>
      </c>
      <c r="BA39" s="1478"/>
      <c r="BB39" s="1478"/>
      <c r="BC39" s="1478">
        <f>SUMIF(CC!$BK$45:$BK$56,Cover!$M$35,CC!$BT$45:$BT$56)</f>
        <v>0</v>
      </c>
      <c r="BD39" s="1478"/>
      <c r="BE39" s="1478"/>
      <c r="BH39" s="160">
        <f>IF(AT39=0,4,IF(AZ39=0,0,IF(AT39="","",IF(AZ39&lt;=AT39,1,IF(AZ39&gt;AT39*0.9,3,2)))))</f>
        <v>0</v>
      </c>
    </row>
    <row r="40" spans="2:81" ht="14.65" customHeight="1">
      <c r="F40" s="337"/>
      <c r="G40" s="338"/>
      <c r="BH40" s="160">
        <f>IF(Q57=0,4,IF(W57=0,0,IF(Q57="","",IF(W57&lt;=Q57,1,IF(W57&gt;Q57*0.9,3,2)))))</f>
        <v>0</v>
      </c>
      <c r="BI40" s="54" t="s">
        <v>292</v>
      </c>
      <c r="BJ40" s="1116" t="s">
        <v>465</v>
      </c>
      <c r="BK40" s="1116"/>
      <c r="BL40" s="1116"/>
      <c r="BM40" s="1116"/>
      <c r="BN40" s="1116"/>
      <c r="BO40" s="1116"/>
      <c r="BP40" s="1116"/>
      <c r="BQ40" s="1116"/>
      <c r="BR40" s="1116"/>
      <c r="BS40" s="1116"/>
      <c r="BT40" s="1116"/>
      <c r="BU40" s="1116"/>
      <c r="BY40" s="270"/>
      <c r="BZ40" s="270"/>
      <c r="CA40" s="270"/>
      <c r="CB40" s="270"/>
      <c r="CC40" s="270"/>
    </row>
    <row r="41" spans="2:81" ht="14.65" customHeight="1">
      <c r="B41" s="52"/>
      <c r="F41" s="337"/>
      <c r="G41" s="338"/>
      <c r="V41" s="267" t="s">
        <v>242</v>
      </c>
      <c r="AD41" s="336"/>
      <c r="AY41" s="267" t="s">
        <v>242</v>
      </c>
      <c r="BH41" s="160">
        <f>IF(AT57=0,4,IF(AZ57=0,0,IF(AT57="","",IF(AZ57&gt;=AT57,1,IF(AZ57&lt;AT57*0.9,3,2)))))</f>
        <v>0</v>
      </c>
      <c r="BI41" s="54" t="s">
        <v>296</v>
      </c>
      <c r="BJ41" s="283" t="s">
        <v>472</v>
      </c>
      <c r="BK41" s="283"/>
      <c r="BL41" s="283"/>
      <c r="BM41" s="283"/>
      <c r="BN41" s="283"/>
      <c r="BO41" s="283"/>
      <c r="BP41" s="283"/>
      <c r="BQ41" s="283"/>
      <c r="BR41" s="283"/>
      <c r="BS41" s="283"/>
      <c r="BT41" s="283"/>
      <c r="BU41" s="283"/>
      <c r="BW41" s="270"/>
      <c r="BX41" s="270"/>
    </row>
    <row r="42" spans="2:81" ht="14.65" customHeight="1" thickBot="1">
      <c r="V42" s="1446" t="s">
        <v>494</v>
      </c>
      <c r="W42" s="1447"/>
      <c r="X42" s="1447"/>
      <c r="Y42" s="1447"/>
      <c r="Z42" s="1447"/>
      <c r="AA42" s="1447"/>
      <c r="AB42" s="1448"/>
      <c r="AY42" s="1446" t="s">
        <v>495</v>
      </c>
      <c r="AZ42" s="1447"/>
      <c r="BA42" s="1447"/>
      <c r="BB42" s="1447"/>
      <c r="BC42" s="1447"/>
      <c r="BD42" s="1447"/>
      <c r="BE42" s="1448"/>
      <c r="BH42" s="160"/>
      <c r="BI42" s="54" t="s">
        <v>300</v>
      </c>
      <c r="BJ42" s="283" t="s">
        <v>473</v>
      </c>
      <c r="BK42" s="283"/>
      <c r="BL42" s="283"/>
      <c r="BM42" s="283"/>
      <c r="BN42" s="283"/>
      <c r="BO42" s="283"/>
      <c r="BP42" s="283"/>
      <c r="BQ42" s="283"/>
      <c r="BR42" s="283"/>
      <c r="BS42" s="283"/>
      <c r="BT42" s="283"/>
      <c r="BU42" s="283"/>
      <c r="BY42" s="270"/>
      <c r="BZ42" s="270"/>
      <c r="CA42" s="270"/>
      <c r="CB42" s="270"/>
      <c r="CC42" s="270"/>
    </row>
    <row r="43" spans="2:81" ht="14.65" customHeight="1" thickBot="1">
      <c r="V43" s="1449"/>
      <c r="W43" s="1450"/>
      <c r="X43" s="1450"/>
      <c r="Y43" s="1450"/>
      <c r="Z43" s="1450"/>
      <c r="AA43" s="1450"/>
      <c r="AB43" s="1451"/>
      <c r="AY43" s="1449"/>
      <c r="AZ43" s="1450"/>
      <c r="BA43" s="1450"/>
      <c r="BB43" s="1450"/>
      <c r="BC43" s="1450"/>
      <c r="BD43" s="1450"/>
      <c r="BE43" s="1451"/>
      <c r="BH43" s="160"/>
      <c r="BI43" s="1402" t="s">
        <v>457</v>
      </c>
      <c r="BJ43" s="1403"/>
      <c r="BK43" s="1404"/>
      <c r="BL43" s="1402" t="s">
        <v>487</v>
      </c>
      <c r="BM43" s="1403"/>
      <c r="BN43" s="1403"/>
      <c r="BO43" s="1403"/>
      <c r="BP43" s="1404"/>
      <c r="BQ43" s="1402" t="s">
        <v>301</v>
      </c>
      <c r="BR43" s="1403"/>
      <c r="BS43" s="1403"/>
      <c r="BT43" s="1403"/>
      <c r="BU43" s="1404"/>
      <c r="BW43" s="1402" t="s">
        <v>303</v>
      </c>
      <c r="BX43" s="1403"/>
      <c r="BY43" s="1403"/>
      <c r="BZ43" s="1403"/>
      <c r="CA43" s="1403"/>
      <c r="CB43" s="1403"/>
      <c r="CC43" s="1404"/>
    </row>
    <row r="44" spans="2:81" ht="14.65" customHeight="1">
      <c r="V44" s="1449"/>
      <c r="W44" s="1450"/>
      <c r="X44" s="1450"/>
      <c r="Y44" s="1450"/>
      <c r="Z44" s="1450"/>
      <c r="AA44" s="1450"/>
      <c r="AB44" s="1451"/>
      <c r="AY44" s="1449"/>
      <c r="AZ44" s="1450"/>
      <c r="BA44" s="1450"/>
      <c r="BB44" s="1450"/>
      <c r="BC44" s="1450"/>
      <c r="BD44" s="1450"/>
      <c r="BE44" s="1451"/>
      <c r="BI44" s="636" t="s">
        <v>23</v>
      </c>
      <c r="BJ44" s="636" t="s">
        <v>37</v>
      </c>
      <c r="BK44" s="636" t="s">
        <v>304</v>
      </c>
      <c r="BL44" s="637" t="s">
        <v>305</v>
      </c>
      <c r="BM44" s="637" t="s">
        <v>306</v>
      </c>
      <c r="BN44" s="637" t="s">
        <v>488</v>
      </c>
      <c r="BO44" s="278" t="s">
        <v>489</v>
      </c>
      <c r="BP44" s="637" t="s">
        <v>490</v>
      </c>
      <c r="BQ44" s="637" t="s">
        <v>305</v>
      </c>
      <c r="BR44" s="637" t="s">
        <v>310</v>
      </c>
      <c r="BS44" s="637" t="s">
        <v>307</v>
      </c>
      <c r="BT44" s="278" t="s">
        <v>308</v>
      </c>
      <c r="BU44" s="637" t="s">
        <v>309</v>
      </c>
      <c r="BW44" s="279" t="s">
        <v>314</v>
      </c>
      <c r="BX44" s="279" t="s">
        <v>23</v>
      </c>
      <c r="BY44" s="280" t="s">
        <v>315</v>
      </c>
      <c r="BZ44" s="279" t="s">
        <v>122</v>
      </c>
      <c r="CA44" s="279" t="s">
        <v>316</v>
      </c>
      <c r="CB44" s="279" t="s">
        <v>317</v>
      </c>
      <c r="CC44" s="279" t="s">
        <v>318</v>
      </c>
    </row>
    <row r="45" spans="2:81" ht="14.65" customHeight="1">
      <c r="V45" s="1449"/>
      <c r="W45" s="1450"/>
      <c r="X45" s="1450"/>
      <c r="Y45" s="1450"/>
      <c r="Z45" s="1450"/>
      <c r="AA45" s="1450"/>
      <c r="AB45" s="1451"/>
      <c r="AY45" s="1449"/>
      <c r="AZ45" s="1450"/>
      <c r="BA45" s="1450"/>
      <c r="BB45" s="1450"/>
      <c r="BC45" s="1450"/>
      <c r="BD45" s="1450"/>
      <c r="BE45" s="1451"/>
      <c r="BI45" s="638" t="s">
        <v>319</v>
      </c>
      <c r="BJ45" s="638">
        <v>1</v>
      </c>
      <c r="BK45" s="638" t="s">
        <v>320</v>
      </c>
      <c r="BL45" s="691">
        <f t="shared" ref="BL45:BL51" si="6">BN45*BM45</f>
        <v>3.682407407407407E-4</v>
      </c>
      <c r="BM45" s="685">
        <v>3.9769999999999999</v>
      </c>
      <c r="BN45" s="705">
        <v>9.2592592592592588E-5</v>
      </c>
      <c r="BO45" s="284">
        <f>IF(SUM(BM45:BM47=0),0,SUM(BL45:BL47)/SUM(BM45:BM47))</f>
        <v>8.9030809668072896E-5</v>
      </c>
      <c r="BP45" s="692">
        <v>6.9444444444444447E-4</v>
      </c>
      <c r="BQ45" s="691">
        <f>BS45*BR45</f>
        <v>0</v>
      </c>
      <c r="BR45" s="685"/>
      <c r="BS45" s="705"/>
      <c r="BT45" s="284">
        <f>IF(SUM(BR45:BR47=0),0,SUM(BQ45:BQ47)/SUM(BR45:BR47))</f>
        <v>0</v>
      </c>
      <c r="BU45" s="692">
        <v>6.9444444444444447E-4</v>
      </c>
      <c r="BX45" s="642" t="str">
        <f t="shared" ref="BX45:BX56" si="7">TEXT(CONCATENATE(CC45,"/01/20",CB45),"MMM")</f>
        <v>Oct</v>
      </c>
      <c r="BY45" s="643">
        <f>IF(CB45=$CB57,SUMIF($BI45:$BI56,$BX45,$BR45:$BR56),SUMIF($BI45:$BI56,$BX45,$BM45:$BM56))</f>
        <v>3.9769999999999999</v>
      </c>
      <c r="BZ45" s="693">
        <f>IF(IF(CB45=CB57,SUMIF(BI45:BI56,$BX45,BU45:BU56),SUMIF(BI45:BI56,$BX45,BP45:BP56))=0,NA(),IF(CB45=CB57,SUMIF(BI45:BI56,$BX45,BU45:BU56),SUMIF(BI45:BI56,$BX45,BP45:BP56)))</f>
        <v>6.9444444444444447E-4</v>
      </c>
      <c r="CA45" s="694">
        <f>IF(IF(CB45=CB57,SUMIF(BI45:BI56,$BX45,BS45:BS56),SUMIF(BI45:BI56,$BX45,BN45:BN56))=0,NA(),IF(CB45=CB57,SUMIF(BI45:BI56,$BX45,BS45:BS56),SUMIF(BI45:BI56,$BX45,BN45:BN56)))</f>
        <v>9.2592592592592588E-5</v>
      </c>
      <c r="CB45" s="645">
        <f>CB26</f>
        <v>22</v>
      </c>
      <c r="CC45" s="645">
        <f t="shared" ref="CC45:CC55" si="8">IF(CC46-1&lt;1,CC46+11,CC46-1)</f>
        <v>10</v>
      </c>
    </row>
    <row r="46" spans="2:81" ht="14.65" customHeight="1">
      <c r="V46" s="1449"/>
      <c r="W46" s="1450"/>
      <c r="X46" s="1450"/>
      <c r="Y46" s="1450"/>
      <c r="Z46" s="1450"/>
      <c r="AA46" s="1450"/>
      <c r="AB46" s="1451"/>
      <c r="AY46" s="1449"/>
      <c r="AZ46" s="1450"/>
      <c r="BA46" s="1450"/>
      <c r="BB46" s="1450"/>
      <c r="BC46" s="1450"/>
      <c r="BD46" s="1450"/>
      <c r="BE46" s="1451"/>
      <c r="BI46" s="638" t="s">
        <v>321</v>
      </c>
      <c r="BJ46" s="638">
        <v>2</v>
      </c>
      <c r="BK46" s="638" t="s">
        <v>320</v>
      </c>
      <c r="BL46" s="691">
        <f t="shared" si="6"/>
        <v>2.9353009259259263E-4</v>
      </c>
      <c r="BM46" s="685">
        <v>3.6230000000000002</v>
      </c>
      <c r="BN46" s="705">
        <v>8.1018518518518516E-5</v>
      </c>
      <c r="BO46" s="285"/>
      <c r="BP46" s="692">
        <v>6.9444444444444447E-4</v>
      </c>
      <c r="BQ46" s="691">
        <f t="shared" ref="BQ46:BQ56" si="9">BS46*BR46</f>
        <v>0</v>
      </c>
      <c r="BR46" s="685"/>
      <c r="BS46" s="705"/>
      <c r="BT46" s="285"/>
      <c r="BU46" s="692">
        <v>6.9444444444444447E-4</v>
      </c>
      <c r="BX46" s="642" t="str">
        <f t="shared" si="7"/>
        <v>Nov</v>
      </c>
      <c r="BY46" s="643">
        <f>IF(CB46=$CB57,SUMIF($BI45:$BI56,$BX46,$BR45:$BR56),SUMIF($BI45:$BI56,$BX46,$BM45:$BM56))</f>
        <v>3.6230000000000002</v>
      </c>
      <c r="BZ46" s="693">
        <f>IF(IF(CB46=CB57,SUMIF(BI45:BI56,$BX46,BU45:BU56),SUMIF(BI45:BI56,$BX46,BP45:BP56))=0,NA(),IF(CB46=CB57,SUMIF(BI45:BI56,$BX46,BU45:BU56),SUMIF(BI45:BI56,$BX46,BP45:BP56)))</f>
        <v>6.9444444444444447E-4</v>
      </c>
      <c r="CA46" s="694">
        <f>IF(IF(CB46=CB57,SUMIF(BI45:BI56,$BX46,BS45:BS56),SUMIF(BI45:BI56,$BX46,BN45:BN56))=0,NA(),IF(CB46=CB57,SUMIF(BI45:BI56,$BX46,BS45:BS56),SUMIF(BI45:BI56,$BX46,BN45:BN56)))</f>
        <v>8.1018518518518516E-5</v>
      </c>
      <c r="CB46" s="645">
        <f t="shared" ref="CB46:CB57" si="10">CB27</f>
        <v>22</v>
      </c>
      <c r="CC46" s="645">
        <f t="shared" si="8"/>
        <v>11</v>
      </c>
    </row>
    <row r="47" spans="2:81" ht="14.65" customHeight="1">
      <c r="V47" s="1449"/>
      <c r="W47" s="1450"/>
      <c r="X47" s="1450"/>
      <c r="Y47" s="1450"/>
      <c r="Z47" s="1450"/>
      <c r="AA47" s="1450"/>
      <c r="AB47" s="1451"/>
      <c r="AY47" s="1449"/>
      <c r="AZ47" s="1450"/>
      <c r="BA47" s="1450"/>
      <c r="BB47" s="1450"/>
      <c r="BC47" s="1450"/>
      <c r="BD47" s="1450"/>
      <c r="BE47" s="1451"/>
      <c r="BI47" s="638" t="s">
        <v>322</v>
      </c>
      <c r="BJ47" s="638">
        <v>3</v>
      </c>
      <c r="BK47" s="638" t="s">
        <v>320</v>
      </c>
      <c r="BL47" s="691">
        <f t="shared" si="6"/>
        <v>3.8638888888888886E-4</v>
      </c>
      <c r="BM47" s="685">
        <v>4.173</v>
      </c>
      <c r="BN47" s="705">
        <v>9.2592592592592588E-5</v>
      </c>
      <c r="BO47" s="285"/>
      <c r="BP47" s="692">
        <v>6.9444444444444447E-4</v>
      </c>
      <c r="BQ47" s="691">
        <f t="shared" si="9"/>
        <v>0</v>
      </c>
      <c r="BR47" s="685"/>
      <c r="BS47" s="705"/>
      <c r="BT47" s="285"/>
      <c r="BU47" s="692">
        <v>6.9444444444444447E-4</v>
      </c>
      <c r="BX47" s="642" t="str">
        <f t="shared" si="7"/>
        <v>Dec</v>
      </c>
      <c r="BY47" s="643">
        <f>IF(CB47=$CB57,SUMIF($BI45:$BI56,$BX47,$BR45:$BR56),SUMIF($BI45:$BI56,$BX47,$BM45:$BM56))</f>
        <v>4.173</v>
      </c>
      <c r="BZ47" s="693">
        <f>IF(IF(CB47=CB57,SUMIF(BI45:BI56,$BX47,BU45:BU56),SUMIF(BI45:BI56,$BX47,BP45:BP56))=0,NA(),IF(CB47=CB57,SUMIF(BI45:BI56,$BX47,BU45:BU56),SUMIF(BI45:BI56,$BX47,BP45:BP56)))</f>
        <v>6.9444444444444447E-4</v>
      </c>
      <c r="CA47" s="694">
        <f>IF(IF(CB47=CB57,SUMIF(BI45:BI56,$BX47,BS45:BS56),SUMIF(BI45:BI56,$BX47,BN45:BN56))=0,NA(),IF(CB47=CB57,SUMIF(BI45:BI56,$BX47,BS45:BS56),SUMIF(BI45:BI56,$BX47,BN45:BN56)))</f>
        <v>9.2592592592592588E-5</v>
      </c>
      <c r="CB47" s="645">
        <f t="shared" si="10"/>
        <v>22</v>
      </c>
      <c r="CC47" s="645">
        <f t="shared" si="8"/>
        <v>12</v>
      </c>
    </row>
    <row r="48" spans="2:81" ht="14.65" customHeight="1">
      <c r="V48" s="1449"/>
      <c r="W48" s="1450"/>
      <c r="X48" s="1450"/>
      <c r="Y48" s="1450"/>
      <c r="Z48" s="1450"/>
      <c r="AA48" s="1450"/>
      <c r="AB48" s="1451"/>
      <c r="AY48" s="1449"/>
      <c r="AZ48" s="1450"/>
      <c r="BA48" s="1450"/>
      <c r="BB48" s="1450"/>
      <c r="BC48" s="1450"/>
      <c r="BD48" s="1450"/>
      <c r="BE48" s="1451"/>
      <c r="BI48" s="638" t="s">
        <v>323</v>
      </c>
      <c r="BJ48" s="638">
        <v>4</v>
      </c>
      <c r="BK48" s="638" t="s">
        <v>324</v>
      </c>
      <c r="BL48" s="691">
        <f t="shared" si="6"/>
        <v>3.3E-4</v>
      </c>
      <c r="BM48" s="685">
        <v>3.5640000000000001</v>
      </c>
      <c r="BN48" s="705">
        <v>9.2592592592592588E-5</v>
      </c>
      <c r="BO48" s="284">
        <f>IF(SUM(BM48:BM50=0),0,SUM(BL48:BL50)/SUM(BM48:BM50))</f>
        <v>9.5423863990040439E-5</v>
      </c>
      <c r="BP48" s="692">
        <v>6.9444444444444447E-4</v>
      </c>
      <c r="BQ48" s="691">
        <f t="shared" si="9"/>
        <v>0</v>
      </c>
      <c r="BR48" s="685"/>
      <c r="BS48" s="705"/>
      <c r="BT48" s="284">
        <f>IF(SUM(BR48:BR50=0),0,SUM(BQ48:BQ50)/SUM(BR48:BR50))</f>
        <v>0</v>
      </c>
      <c r="BU48" s="692">
        <v>6.9444444444444447E-4</v>
      </c>
      <c r="BX48" s="642" t="str">
        <f t="shared" si="7"/>
        <v>Jan</v>
      </c>
      <c r="BY48" s="643">
        <f>IF(CB48=$CB57,SUMIF($BI45:$BI56,$BX48,$BR45:$BR56),SUMIF($BI45:$BI56,$BX48,$BM45:$BM56))</f>
        <v>3.5640000000000001</v>
      </c>
      <c r="BZ48" s="693">
        <f>IF(IF(CB48=CB57,SUMIF(BI45:BI56,$BX48,BU45:BU56),SUMIF(BI45:BI56,$BX48,BP45:BP56))=0,NA(),IF(CB48=CB57,SUMIF(BI45:BI56,$BX48,BU45:BU56),SUMIF(BI45:BI56,$BX48,BP45:BP56)))</f>
        <v>6.9444444444444447E-4</v>
      </c>
      <c r="CA48" s="694">
        <f>IF(IF(CB48=CB57,SUMIF(BI45:BI56,$BX48,BS45:BS56),SUMIF(BI45:BI56,$BX48,BN45:BN56))=0,NA(),IF(CB48=CB57,SUMIF(BI45:BI56,$BX48,BS45:BS56),SUMIF(BI45:BI56,$BX48,BN45:BN56)))</f>
        <v>9.2592592592592588E-5</v>
      </c>
      <c r="CB48" s="645">
        <f t="shared" si="10"/>
        <v>22</v>
      </c>
      <c r="CC48" s="645">
        <f t="shared" si="8"/>
        <v>1</v>
      </c>
    </row>
    <row r="49" spans="2:81" ht="14.65" customHeight="1">
      <c r="V49" s="1449"/>
      <c r="W49" s="1450"/>
      <c r="X49" s="1450"/>
      <c r="Y49" s="1450"/>
      <c r="Z49" s="1450"/>
      <c r="AA49" s="1450"/>
      <c r="AB49" s="1451"/>
      <c r="AY49" s="1449"/>
      <c r="AZ49" s="1450"/>
      <c r="BA49" s="1450"/>
      <c r="BB49" s="1450"/>
      <c r="BC49" s="1450"/>
      <c r="BD49" s="1450"/>
      <c r="BE49" s="1451"/>
      <c r="BI49" s="638" t="s">
        <v>325</v>
      </c>
      <c r="BJ49" s="638">
        <v>5</v>
      </c>
      <c r="BK49" s="638" t="s">
        <v>324</v>
      </c>
      <c r="BL49" s="691">
        <f t="shared" si="6"/>
        <v>4.3391203703703701E-4</v>
      </c>
      <c r="BM49" s="687">
        <v>3.7490000000000001</v>
      </c>
      <c r="BN49" s="696">
        <v>1.1574074074074073E-4</v>
      </c>
      <c r="BO49" s="285"/>
      <c r="BP49" s="692">
        <v>6.9444444444444447E-4</v>
      </c>
      <c r="BQ49" s="691">
        <f t="shared" si="9"/>
        <v>0</v>
      </c>
      <c r="BR49" s="687"/>
      <c r="BS49" s="696"/>
      <c r="BT49" s="285"/>
      <c r="BU49" s="692">
        <v>6.9444444444444447E-4</v>
      </c>
      <c r="BX49" s="642" t="str">
        <f t="shared" si="7"/>
        <v>Feb</v>
      </c>
      <c r="BY49" s="643">
        <f>IF(CB49=$CB57,SUMIF($BI45:$BI56,$BX49,$BR45:$BR56),SUMIF($BI45:$BI56,$BX49,$BM45:$BM56))</f>
        <v>3.7490000000000001</v>
      </c>
      <c r="BZ49" s="693">
        <f>IF(IF(CB49=CB57,SUMIF(BI45:BI56,$BX49,BU45:BU56),SUMIF(BI45:BI56,$BX49,BP45:BP56))=0,NA(),IF(CB49=CB57,SUMIF(BI45:BI56,$BX49,BU45:BU56),SUMIF(BI45:BI56,$BX49,BP45:BP56)))</f>
        <v>6.9444444444444447E-4</v>
      </c>
      <c r="CA49" s="694">
        <f>IF(IF(CB49=CB57,SUMIF(BI45:BI56,$BX49,BS45:BS56),SUMIF(BI45:BI56,$BX49,BN45:BN56))=0,NA(),IF(CB49=CB57,SUMIF(BI45:BI56,$BX49,BS45:BS56),SUMIF(BI45:BI56,$BX49,BN45:BN56)))</f>
        <v>1.1574074074074073E-4</v>
      </c>
      <c r="CB49" s="645">
        <f t="shared" si="10"/>
        <v>22</v>
      </c>
      <c r="CC49" s="645">
        <f t="shared" si="8"/>
        <v>2</v>
      </c>
    </row>
    <row r="50" spans="2:81" ht="14.65" customHeight="1">
      <c r="V50" s="1449"/>
      <c r="W50" s="1450"/>
      <c r="X50" s="1450"/>
      <c r="Y50" s="1450"/>
      <c r="Z50" s="1450"/>
      <c r="AA50" s="1450"/>
      <c r="AB50" s="1451"/>
      <c r="AY50" s="1449"/>
      <c r="AZ50" s="1450"/>
      <c r="BA50" s="1450"/>
      <c r="BB50" s="1450"/>
      <c r="BC50" s="1450"/>
      <c r="BD50" s="1450"/>
      <c r="BE50" s="1451"/>
      <c r="BI50" s="638" t="s">
        <v>326</v>
      </c>
      <c r="BJ50" s="638">
        <v>6</v>
      </c>
      <c r="BK50" s="638" t="s">
        <v>324</v>
      </c>
      <c r="BL50" s="691">
        <f t="shared" si="6"/>
        <v>3.716319444444444E-4</v>
      </c>
      <c r="BM50" s="687">
        <v>4.5869999999999997</v>
      </c>
      <c r="BN50" s="696">
        <v>8.1018518518518516E-5</v>
      </c>
      <c r="BO50" s="285"/>
      <c r="BP50" s="692">
        <v>6.9444444444444447E-4</v>
      </c>
      <c r="BQ50" s="691">
        <f t="shared" si="9"/>
        <v>0</v>
      </c>
      <c r="BR50" s="687"/>
      <c r="BS50" s="696"/>
      <c r="BT50" s="285"/>
      <c r="BU50" s="692">
        <v>6.9444444444444447E-4</v>
      </c>
      <c r="BX50" s="642" t="str">
        <f t="shared" si="7"/>
        <v>Mar</v>
      </c>
      <c r="BY50" s="643">
        <f>IF(CB50=$CB57,SUMIF($BI45:$BI56,$BX50,$BR45:$BR56),SUMIF($BI45:$BI56,$BX50,$BM45:$BM56))</f>
        <v>4.5869999999999997</v>
      </c>
      <c r="BZ50" s="693">
        <f>IF(IF(CB50=CB57,SUMIF(BI45:BI56,$BX50,BU45:BU56),SUMIF(BI45:BI56,$BX50,BP45:BP56))=0,NA(),IF(CB50=CB57,SUMIF(BI45:BI56,$BX50,BU45:BU56),SUMIF(BI45:BI56,$BX50,BP45:BP56)))</f>
        <v>6.9444444444444447E-4</v>
      </c>
      <c r="CA50" s="694">
        <f>IF(IF(CB50=CB57,SUMIF(BI45:BI56,$BX50,BS45:BS56),SUMIF(BI45:BI56,$BX50,BN45:BN56))=0,NA(),IF(CB50=CB57,SUMIF(BI45:BI56,$BX50,BS45:BS56),SUMIF(BI45:BI56,$BX50,BN45:BN56)))</f>
        <v>8.1018518518518516E-5</v>
      </c>
      <c r="CB50" s="645">
        <f t="shared" si="10"/>
        <v>22</v>
      </c>
      <c r="CC50" s="645">
        <f t="shared" si="8"/>
        <v>3</v>
      </c>
    </row>
    <row r="51" spans="2:81" ht="14.65" customHeight="1">
      <c r="V51" s="1452"/>
      <c r="W51" s="1453"/>
      <c r="X51" s="1453"/>
      <c r="Y51" s="1453"/>
      <c r="Z51" s="1453"/>
      <c r="AA51" s="1453"/>
      <c r="AB51" s="1454"/>
      <c r="AY51" s="1452"/>
      <c r="AZ51" s="1453"/>
      <c r="BA51" s="1453"/>
      <c r="BB51" s="1453"/>
      <c r="BC51" s="1453"/>
      <c r="BD51" s="1453"/>
      <c r="BE51" s="1454"/>
      <c r="BI51" s="638" t="s">
        <v>327</v>
      </c>
      <c r="BJ51" s="638">
        <v>7</v>
      </c>
      <c r="BK51" s="638" t="s">
        <v>328</v>
      </c>
      <c r="BL51" s="691">
        <f t="shared" si="6"/>
        <v>2.847800925925926E-4</v>
      </c>
      <c r="BM51" s="687">
        <v>3.5150000000000001</v>
      </c>
      <c r="BN51" s="696">
        <v>8.1018518518518516E-5</v>
      </c>
      <c r="BO51" s="284">
        <f>IF(SUM(BM51:BM53=0),0,SUM(BL51:BL53)/SUM(BM51:BM53))</f>
        <v>8.3603307038080879E-5</v>
      </c>
      <c r="BP51" s="692">
        <v>6.9444444444444447E-4</v>
      </c>
      <c r="BQ51" s="691">
        <f t="shared" si="9"/>
        <v>0</v>
      </c>
      <c r="BR51" s="687"/>
      <c r="BS51" s="696"/>
      <c r="BT51" s="284">
        <f>IF(SUM(BR51:BR53=0),0,SUM(BQ51:BQ53)/SUM(BR51:BR53))</f>
        <v>0</v>
      </c>
      <c r="BU51" s="692">
        <v>6.9444444444444447E-4</v>
      </c>
      <c r="BX51" s="642" t="str">
        <f t="shared" si="7"/>
        <v>Apr</v>
      </c>
      <c r="BY51" s="643">
        <f>IF(CB51=$CB57,SUMIF($BI45:$BI56,$BX51,$BR45:$BR56),SUMIF($BI45:$BI56,$BX51,$BM45:$BM56))</f>
        <v>3.5150000000000001</v>
      </c>
      <c r="BZ51" s="693">
        <f>IF(IF(CB51=CB57,SUMIF(BI45:BI56,$BX51,BU45:BU56),SUMIF(BI45:BI56,$BX51,BP45:BP56))=0,NA(),IF(CB51=CB57,SUMIF(BI45:BI56,$BX51,BU45:BU56),SUMIF(BI45:BI56,$BX51,BP45:BP56)))</f>
        <v>6.9444444444444447E-4</v>
      </c>
      <c r="CA51" s="694">
        <f>IF(IF(CB51=CB57,SUMIF(BI45:BI56,$BX51,BS45:BS56),SUMIF(BI45:BI56,$BX51,BN45:BN56))=0,NA(),IF(CB51=CB57,SUMIF(BI45:BI56,$BX51,BS45:BS56),SUMIF(BI45:BI56,$BX51,BN45:BN56)))</f>
        <v>8.1018518518518516E-5</v>
      </c>
      <c r="CB51" s="645">
        <f t="shared" si="10"/>
        <v>22</v>
      </c>
      <c r="CC51" s="645">
        <f t="shared" si="8"/>
        <v>4</v>
      </c>
    </row>
    <row r="52" spans="2:81" ht="14.65" customHeight="1">
      <c r="BI52" s="638" t="s">
        <v>329</v>
      </c>
      <c r="BJ52" s="638">
        <v>8</v>
      </c>
      <c r="BK52" s="638" t="s">
        <v>328</v>
      </c>
      <c r="BL52" s="691">
        <f>BN52*BM52</f>
        <v>2.5925925925925921E-4</v>
      </c>
      <c r="BM52" s="687">
        <v>2.8</v>
      </c>
      <c r="BN52" s="696">
        <v>9.2592592592592588E-5</v>
      </c>
      <c r="BO52" s="285"/>
      <c r="BP52" s="692">
        <v>6.9444444444444447E-4</v>
      </c>
      <c r="BQ52" s="691">
        <f t="shared" si="9"/>
        <v>0</v>
      </c>
      <c r="BR52" s="687"/>
      <c r="BS52" s="696"/>
      <c r="BT52" s="285"/>
      <c r="BU52" s="692">
        <v>6.9444444444444447E-4</v>
      </c>
      <c r="BX52" s="642" t="str">
        <f t="shared" si="7"/>
        <v>May</v>
      </c>
      <c r="BY52" s="643">
        <f>IF(CB52=$CB57,SUMIF($BI45:$BI56,$BX52,$BR45:$BR56),SUMIF($BI45:$BI56,$BX52,$BM45:$BM56))</f>
        <v>2.8</v>
      </c>
      <c r="BZ52" s="693">
        <f>IF(IF(CB52=CB57,SUMIF(BI45:BI56,$BX52,BU45:BU56),SUMIF(BI45:BI56,$BX52,BP45:BP56))=0,NA(),IF(CB52=CB57,SUMIF(BI45:BI56,$BX52,BU45:BU56),SUMIF(BI45:BI56,$BX52,BP45:BP56)))</f>
        <v>6.9444444444444447E-4</v>
      </c>
      <c r="CA52" s="694">
        <f>IF(IF(CB52=CB57,SUMIF(BI45:BI56,$BX52,BS45:BS56),SUMIF(BI45:BI56,$BX52,BN45:BN56))=0,NA(),IF(CB52=CB57,SUMIF(BI45:BI56,$BX52,BS45:BS56),SUMIF(BI45:BI56,$BX52,BN45:BN56)))</f>
        <v>9.2592592592592588E-5</v>
      </c>
      <c r="CB52" s="645">
        <f t="shared" si="10"/>
        <v>22</v>
      </c>
      <c r="CC52" s="645">
        <f t="shared" si="8"/>
        <v>5</v>
      </c>
    </row>
    <row r="53" spans="2:81" ht="14.65" customHeight="1">
      <c r="B53" s="6"/>
      <c r="C53" s="6"/>
      <c r="D53" s="6"/>
      <c r="E53" s="6"/>
      <c r="F53" s="6"/>
      <c r="G53" s="6"/>
      <c r="H53" s="6"/>
      <c r="I53" s="6"/>
      <c r="J53" s="6"/>
      <c r="K53" s="6"/>
      <c r="L53" s="6"/>
      <c r="M53" s="6"/>
      <c r="N53" s="6"/>
      <c r="O53" s="6"/>
      <c r="P53" s="6"/>
      <c r="Q53" s="6"/>
      <c r="R53" s="6"/>
      <c r="S53" s="6"/>
      <c r="T53" s="6"/>
      <c r="U53" s="6"/>
      <c r="V53" s="6"/>
      <c r="W53" s="6"/>
      <c r="X53" s="6"/>
      <c r="Y53" s="6"/>
      <c r="Z53" s="6"/>
      <c r="AA53" s="6"/>
      <c r="AB53" s="6"/>
      <c r="BI53" s="638" t="s">
        <v>331</v>
      </c>
      <c r="BJ53" s="638">
        <v>9</v>
      </c>
      <c r="BK53" s="638" t="s">
        <v>328</v>
      </c>
      <c r="BL53" s="691">
        <f>BN53*BM53</f>
        <v>7.888888888888888E-5</v>
      </c>
      <c r="BM53" s="687">
        <v>1.1359999999999999</v>
      </c>
      <c r="BN53" s="696">
        <v>6.9444444444444444E-5</v>
      </c>
      <c r="BO53" s="285"/>
      <c r="BP53" s="692">
        <v>6.9444444444444447E-4</v>
      </c>
      <c r="BQ53" s="691">
        <f>BS53*BR53</f>
        <v>0</v>
      </c>
      <c r="BR53" s="687"/>
      <c r="BS53" s="696"/>
      <c r="BT53" s="285"/>
      <c r="BU53" s="692">
        <v>6.9444444444444447E-4</v>
      </c>
      <c r="BX53" s="642" t="str">
        <f t="shared" si="7"/>
        <v>Jun</v>
      </c>
      <c r="BY53" s="643">
        <f>IF(CB53=$CB57,SUMIF($BI45:$BI56,$BX53,$BR45:$BR56),SUMIF($BI45:$BI56,$BX53,$BM45:$BM56))</f>
        <v>1.1359999999999999</v>
      </c>
      <c r="BZ53" s="693">
        <f>IF(IF(CB53=CB57,SUMIF(BI45:BI56,$BX53,BU45:BU56),SUMIF(BI45:BI56,$BX53,BP45:BP56))=0,NA(),IF(CB53=CB57,SUMIF(BI45:BI56,$BX53,BU45:BU56),SUMIF(BI45:BI56,$BX53,BP45:BP56)))</f>
        <v>6.9444444444444447E-4</v>
      </c>
      <c r="CA53" s="694">
        <f>IF(IF(CB53=CB57,SUMIF(BI45:BI56,$BX53,BS45:BS56),SUMIF(BI45:BI56,$BX53,BN45:BN56))=0,NA(),IF(CB53=CB57,SUMIF(BI45:BI56,$BX53,BS45:BS56),SUMIF(BI45:BI56,$BX53,BN45:BN56)))</f>
        <v>6.9444444444444444E-5</v>
      </c>
      <c r="CB53" s="645">
        <f t="shared" si="10"/>
        <v>22</v>
      </c>
      <c r="CC53" s="645">
        <f t="shared" si="8"/>
        <v>6</v>
      </c>
    </row>
    <row r="54" spans="2:81" ht="14.65" customHeight="1">
      <c r="B54" s="1468" t="s">
        <v>457</v>
      </c>
      <c r="C54" s="1468"/>
      <c r="D54" s="1468"/>
      <c r="E54" s="1468"/>
      <c r="F54" s="1468"/>
      <c r="G54" s="1468"/>
      <c r="H54" s="1468"/>
      <c r="I54" s="1468"/>
      <c r="J54" s="1468"/>
      <c r="K54" s="1468" t="s">
        <v>333</v>
      </c>
      <c r="L54" s="1468"/>
      <c r="M54" s="1468"/>
      <c r="N54" s="1468"/>
      <c r="O54" s="1468"/>
      <c r="P54" s="1468"/>
      <c r="Q54" s="1464" t="s">
        <v>334</v>
      </c>
      <c r="R54" s="1464"/>
      <c r="S54" s="1464"/>
      <c r="T54" s="1468" t="s">
        <v>335</v>
      </c>
      <c r="U54" s="1468"/>
      <c r="V54" s="1468"/>
      <c r="W54" s="1468"/>
      <c r="X54" s="1468"/>
      <c r="Y54" s="1468"/>
      <c r="Z54" s="1468"/>
      <c r="AA54" s="1468"/>
      <c r="AB54" s="1468"/>
      <c r="AE54" s="1468" t="s">
        <v>457</v>
      </c>
      <c r="AF54" s="1468"/>
      <c r="AG54" s="1468"/>
      <c r="AH54" s="1468"/>
      <c r="AI54" s="1468"/>
      <c r="AJ54" s="1468"/>
      <c r="AK54" s="1468"/>
      <c r="AL54" s="1468"/>
      <c r="AM54" s="1468"/>
      <c r="AN54" s="1468" t="s">
        <v>333</v>
      </c>
      <c r="AO54" s="1468"/>
      <c r="AP54" s="1468"/>
      <c r="AQ54" s="1468"/>
      <c r="AR54" s="1468"/>
      <c r="AS54" s="1468"/>
      <c r="AT54" s="1464" t="s">
        <v>334</v>
      </c>
      <c r="AU54" s="1464"/>
      <c r="AV54" s="1464"/>
      <c r="AW54" s="1468" t="s">
        <v>335</v>
      </c>
      <c r="AX54" s="1468"/>
      <c r="AY54" s="1468"/>
      <c r="AZ54" s="1468"/>
      <c r="BA54" s="1468"/>
      <c r="BB54" s="1468"/>
      <c r="BC54" s="1468"/>
      <c r="BD54" s="1468"/>
      <c r="BE54" s="1468"/>
      <c r="BI54" s="638" t="s">
        <v>337</v>
      </c>
      <c r="BJ54" s="638">
        <v>10</v>
      </c>
      <c r="BK54" s="638" t="s">
        <v>338</v>
      </c>
      <c r="BL54" s="691">
        <f>BN54*BM54</f>
        <v>8.5729166666666666E-5</v>
      </c>
      <c r="BM54" s="687">
        <v>0.82299999999999995</v>
      </c>
      <c r="BN54" s="696">
        <v>1.0416666666666667E-4</v>
      </c>
      <c r="BO54" s="284">
        <f>IF(SUM(BM54:BM56=0),0,SUM(BL54:BL56)/SUM(BM54:BM56))</f>
        <v>1.50507332359742E-4</v>
      </c>
      <c r="BP54" s="692">
        <v>6.9444444444444447E-4</v>
      </c>
      <c r="BQ54" s="691">
        <f t="shared" si="9"/>
        <v>0</v>
      </c>
      <c r="BR54" s="687"/>
      <c r="BS54" s="696"/>
      <c r="BT54" s="284">
        <f>IF(SUM(BR54:BR56=0),0,SUM(BQ54:BQ56)/SUM(BR54:BR56))</f>
        <v>0</v>
      </c>
      <c r="BU54" s="692">
        <v>6.9444444444444447E-4</v>
      </c>
      <c r="BX54" s="642" t="str">
        <f t="shared" si="7"/>
        <v>Jul</v>
      </c>
      <c r="BY54" s="643">
        <f>IF(CB54=$CB57,SUMIF($BI45:$BI56,$BX54,$BR45:$BR56),SUMIF($BI45:$BI56,$BX54,$BM45:$BM56))</f>
        <v>0.82299999999999995</v>
      </c>
      <c r="BZ54" s="693">
        <f>IF(IF(CB54=CB57,SUMIF(BI45:BI56,$BX54,BU45:BU56),SUMIF(BI45:BI56,$BX54,BP45:BP56))=0,NA(),IF(CB54=CB57,SUMIF(BI45:BI56,$BX54,BU45:BU56),SUMIF(BI45:BI56,$BX54,BP45:BP56)))</f>
        <v>6.9444444444444447E-4</v>
      </c>
      <c r="CA54" s="694">
        <f>IF(IF(CB54=CB57,SUMIF(BI45:BI56,$BX54,BS45:BS56),SUMIF(BI45:BI56,$BX54,BN45:BN56))=0,NA(),IF(CB54=CB57,SUMIF(BI45:BI56,$BX54,BS45:BS56),SUMIF(BI45:BI56,$BX54,BN45:BN56)))</f>
        <v>1.0416666666666667E-4</v>
      </c>
      <c r="CB54" s="645">
        <f t="shared" si="10"/>
        <v>22</v>
      </c>
      <c r="CC54" s="645">
        <f t="shared" si="8"/>
        <v>7</v>
      </c>
    </row>
    <row r="55" spans="2:81" ht="14.65" customHeight="1">
      <c r="B55" s="1469" t="s">
        <v>332</v>
      </c>
      <c r="C55" s="1470"/>
      <c r="D55" s="1470"/>
      <c r="E55" s="1470"/>
      <c r="F55" s="1470"/>
      <c r="G55" s="1470"/>
      <c r="H55" s="1470"/>
      <c r="I55" s="1470"/>
      <c r="J55" s="1471"/>
      <c r="K55" s="1468" t="s">
        <v>23</v>
      </c>
      <c r="L55" s="1468"/>
      <c r="M55" s="1468"/>
      <c r="N55" s="1468" t="s">
        <v>339</v>
      </c>
      <c r="O55" s="1468"/>
      <c r="P55" s="1468"/>
      <c r="Q55" s="1464"/>
      <c r="R55" s="1464"/>
      <c r="S55" s="1464"/>
      <c r="T55" s="1464" t="s">
        <v>340</v>
      </c>
      <c r="U55" s="1464"/>
      <c r="V55" s="1464"/>
      <c r="W55" s="1464" t="s">
        <v>341</v>
      </c>
      <c r="X55" s="1464"/>
      <c r="Y55" s="1464"/>
      <c r="Z55" s="1464" t="s">
        <v>342</v>
      </c>
      <c r="AA55" s="1464"/>
      <c r="AB55" s="1464"/>
      <c r="AE55" s="1469" t="s">
        <v>332</v>
      </c>
      <c r="AF55" s="1470"/>
      <c r="AG55" s="1470"/>
      <c r="AH55" s="1470"/>
      <c r="AI55" s="1470"/>
      <c r="AJ55" s="1470"/>
      <c r="AK55" s="1470"/>
      <c r="AL55" s="1470"/>
      <c r="AM55" s="1471"/>
      <c r="AN55" s="1468" t="s">
        <v>23</v>
      </c>
      <c r="AO55" s="1468"/>
      <c r="AP55" s="1468"/>
      <c r="AQ55" s="1468" t="s">
        <v>339</v>
      </c>
      <c r="AR55" s="1468"/>
      <c r="AS55" s="1468"/>
      <c r="AT55" s="1464"/>
      <c r="AU55" s="1464"/>
      <c r="AV55" s="1464"/>
      <c r="AW55" s="1464" t="s">
        <v>340</v>
      </c>
      <c r="AX55" s="1464"/>
      <c r="AY55" s="1464"/>
      <c r="AZ55" s="1464" t="s">
        <v>341</v>
      </c>
      <c r="BA55" s="1464"/>
      <c r="BB55" s="1464"/>
      <c r="BC55" s="1464" t="s">
        <v>342</v>
      </c>
      <c r="BD55" s="1464"/>
      <c r="BE55" s="1464"/>
      <c r="BI55" s="638" t="s">
        <v>343</v>
      </c>
      <c r="BJ55" s="638">
        <v>11</v>
      </c>
      <c r="BK55" s="638" t="s">
        <v>338</v>
      </c>
      <c r="BL55" s="691">
        <f>BN55*BM55</f>
        <v>8.240740740740741E-5</v>
      </c>
      <c r="BM55" s="687">
        <v>0.89</v>
      </c>
      <c r="BN55" s="696">
        <v>9.2592592592592588E-5</v>
      </c>
      <c r="BO55" s="285"/>
      <c r="BP55" s="692">
        <v>6.9444444444444447E-4</v>
      </c>
      <c r="BQ55" s="691">
        <f t="shared" si="9"/>
        <v>0</v>
      </c>
      <c r="BR55" s="687"/>
      <c r="BS55" s="696"/>
      <c r="BT55" s="285"/>
      <c r="BU55" s="692">
        <v>6.9444444444444447E-4</v>
      </c>
      <c r="BX55" s="642" t="str">
        <f t="shared" si="7"/>
        <v>Aug</v>
      </c>
      <c r="BY55" s="643">
        <f>IF(CB55=$CB57,SUMIF($BI45:$BI56,$BX55,$BR45:$BR56),SUMIF($BI45:$BI56,$BX55,$BM45:$BM56))</f>
        <v>0.89</v>
      </c>
      <c r="BZ55" s="693">
        <f>IF(IF(CB55=CB57,SUMIF(BI45:BI56,$BX55,BU45:BU56),SUMIF(BI45:BI56,$BX55,BP45:BP56))=0,NA(),IF(CB55=CB57,SUMIF(BI45:BI56,$BX55,BU45:BU56),SUMIF(BI45:BI56,$BX55,BP45:BP56)))</f>
        <v>6.9444444444444447E-4</v>
      </c>
      <c r="CA55" s="694">
        <f>IF(IF(CB55=CB57,SUMIF(BI45:BI56,$BX55,BS45:BS56),SUMIF(BI45:BI56,$BX55,BN45:BN56))=0,NA(),IF(CB55=CB57,SUMIF(BI45:BI56,$BX55,BS45:BS56),SUMIF(BI45:BI56,$BX55,BN45:BN56)))</f>
        <v>9.2592592592592588E-5</v>
      </c>
      <c r="CB55" s="645">
        <f t="shared" si="10"/>
        <v>22</v>
      </c>
      <c r="CC55" s="645">
        <f t="shared" si="8"/>
        <v>8</v>
      </c>
    </row>
    <row r="56" spans="2:81" ht="14.65" customHeight="1">
      <c r="B56" s="1472"/>
      <c r="C56" s="1473"/>
      <c r="D56" s="1473"/>
      <c r="E56" s="1473"/>
      <c r="F56" s="1473"/>
      <c r="G56" s="1473"/>
      <c r="H56" s="1473"/>
      <c r="I56" s="1473"/>
      <c r="J56" s="1474"/>
      <c r="K56" s="1468"/>
      <c r="L56" s="1468"/>
      <c r="M56" s="1468"/>
      <c r="N56" s="1468"/>
      <c r="O56" s="1468"/>
      <c r="P56" s="1468"/>
      <c r="Q56" s="1464"/>
      <c r="R56" s="1464"/>
      <c r="S56" s="1464"/>
      <c r="T56" s="1464"/>
      <c r="U56" s="1464"/>
      <c r="V56" s="1464"/>
      <c r="W56" s="1464"/>
      <c r="X56" s="1464"/>
      <c r="Y56" s="1464"/>
      <c r="Z56" s="1464"/>
      <c r="AA56" s="1464"/>
      <c r="AB56" s="1464"/>
      <c r="AE56" s="1472"/>
      <c r="AF56" s="1473"/>
      <c r="AG56" s="1473"/>
      <c r="AH56" s="1473"/>
      <c r="AI56" s="1473"/>
      <c r="AJ56" s="1473"/>
      <c r="AK56" s="1473"/>
      <c r="AL56" s="1473"/>
      <c r="AM56" s="1474"/>
      <c r="AN56" s="1468"/>
      <c r="AO56" s="1468"/>
      <c r="AP56" s="1468"/>
      <c r="AQ56" s="1468"/>
      <c r="AR56" s="1468"/>
      <c r="AS56" s="1468"/>
      <c r="AT56" s="1464"/>
      <c r="AU56" s="1464"/>
      <c r="AV56" s="1464"/>
      <c r="AW56" s="1464"/>
      <c r="AX56" s="1464"/>
      <c r="AY56" s="1464"/>
      <c r="AZ56" s="1464"/>
      <c r="BA56" s="1464"/>
      <c r="BB56" s="1464"/>
      <c r="BC56" s="1464"/>
      <c r="BD56" s="1464"/>
      <c r="BE56" s="1464"/>
      <c r="BI56" s="638" t="s">
        <v>344</v>
      </c>
      <c r="BJ56" s="638">
        <v>12</v>
      </c>
      <c r="BK56" s="638" t="s">
        <v>338</v>
      </c>
      <c r="BL56" s="691">
        <f>BN56*BM56</f>
        <v>3.8151620370370374E-4</v>
      </c>
      <c r="BM56" s="687">
        <v>1.9390000000000001</v>
      </c>
      <c r="BN56" s="696">
        <v>1.9675925925925926E-4</v>
      </c>
      <c r="BO56" s="286"/>
      <c r="BP56" s="692">
        <v>6.9444444444444447E-4</v>
      </c>
      <c r="BQ56" s="691">
        <f t="shared" si="9"/>
        <v>0</v>
      </c>
      <c r="BR56" s="687"/>
      <c r="BS56" s="696"/>
      <c r="BT56" s="286"/>
      <c r="BU56" s="692">
        <v>6.9444444444444447E-4</v>
      </c>
      <c r="BX56" s="642" t="str">
        <f t="shared" si="7"/>
        <v>Sep</v>
      </c>
      <c r="BY56" s="643">
        <f>IF(CB56=$CB57,SUMIF($BI45:$BI56,$BX56,$BR45:$BR56),SUMIF($BI45:$BI56,$BX56,$BM45:$BM56))</f>
        <v>1.9390000000000001</v>
      </c>
      <c r="BZ56" s="693">
        <f>IF(IF(CB56=CB57,SUMIF(BI45:BI56,$BX56,BU45:BU56),SUMIF(BI45:BI56,$BX56,BP45:BP56))=0,NA(),IF(CB56=CB57,SUMIF(BI45:BI56,$BX56,BU45:BU56),SUMIF(BI45:BI56,$BX56,BP45:BP56)))</f>
        <v>6.9444444444444447E-4</v>
      </c>
      <c r="CA56" s="694">
        <f>IF(IF(CB56=CB57,SUMIF(BI45:BI56,$BX56,BS45:BS56),SUMIF(BI45:BI56,$BX56,BN45:BN56))=0,NA(),IF(CB56=CB57,SUMIF(BI45:BI56,$BX56,BS45:BS56),SUMIF(BI45:BI56,$BX56,BN45:BN56)))</f>
        <v>1.9675925925925926E-4</v>
      </c>
      <c r="CB56" s="645">
        <f t="shared" si="10"/>
        <v>22</v>
      </c>
      <c r="CC56" s="645">
        <f>IF(CC57-1&lt;1,CC57+11,CC57-1)</f>
        <v>9</v>
      </c>
    </row>
    <row r="57" spans="2:81" ht="14.65" customHeight="1">
      <c r="B57" s="1193" t="s">
        <v>467</v>
      </c>
      <c r="C57" s="1194"/>
      <c r="D57" s="1194"/>
      <c r="E57" s="1194"/>
      <c r="F57" s="1194"/>
      <c r="G57" s="1194"/>
      <c r="H57" s="1194"/>
      <c r="I57" s="1194"/>
      <c r="J57" s="1194"/>
      <c r="K57" s="1265">
        <f>SUMIF(CC!$BJ$64:$BJ$75,Cover!$M$36,CC!$BN$64:$BN$75)</f>
        <v>8.0462660296706061E-3</v>
      </c>
      <c r="L57" s="1266"/>
      <c r="M57" s="1267"/>
      <c r="N57" s="1265">
        <f>SUMIF(CC!$BK$64:$BK$75,Cover!$M$35,CC!$BO$64:$BO$75)</f>
        <v>8.5253650713260753E-3</v>
      </c>
      <c r="O57" s="1266"/>
      <c r="P57" s="1267"/>
      <c r="Q57" s="1475">
        <f>SUMIF(CC!$BJ$64:$BJ$75,Cover!$M$36,CC!$BU$64:$BU$75)</f>
        <v>0.05</v>
      </c>
      <c r="R57" s="1476"/>
      <c r="S57" s="1477"/>
      <c r="T57" s="1265">
        <f>IF(Cover!$M$36=1,SUMIF($BJ$64:$BJ$75,12,$BN$64:$BN$75),SUMIF(CC!$BJ$64:$BJ$75,Cover!$M$36-1,CC!$BS$64:$BS$75))</f>
        <v>3.5731767009300044E-2</v>
      </c>
      <c r="U57" s="1266"/>
      <c r="V57" s="1267"/>
      <c r="W57" s="1265">
        <f>SUMIF(CC!$BJ$64:$BJ$75,Cover!$M$36,CC!$BS$64:$BS$75)</f>
        <v>0</v>
      </c>
      <c r="X57" s="1266"/>
      <c r="Y57" s="1267"/>
      <c r="Z57" s="1265">
        <f>SUMIF(CC!$BK$64:$BK$75,Cover!$M$35,CC!$BT$64:$BT$75)</f>
        <v>0</v>
      </c>
      <c r="AA57" s="1266"/>
      <c r="AB57" s="1267"/>
      <c r="AE57" s="1177" t="s">
        <v>469</v>
      </c>
      <c r="AF57" s="1178"/>
      <c r="AG57" s="1178"/>
      <c r="AH57" s="1178"/>
      <c r="AI57" s="1178"/>
      <c r="AJ57" s="1178"/>
      <c r="AK57" s="1178"/>
      <c r="AL57" s="1178"/>
      <c r="AM57" s="1178"/>
      <c r="AN57" s="1411">
        <f>SUMIF(CC!$BJ$83:$BJ$94,Cover!$M$36,CC!$BN$83:$BN$94)</f>
        <v>0.96266192532385064</v>
      </c>
      <c r="AO57" s="1411"/>
      <c r="AP57" s="1411"/>
      <c r="AQ57" s="1411">
        <f>SUMIF(CC!$BK$83:$BK$94,Cover!$M$35,CC!$BO$83:$BO$94)</f>
        <v>0.96485623003194887</v>
      </c>
      <c r="AR57" s="1411"/>
      <c r="AS57" s="1411"/>
      <c r="AT57" s="1176">
        <f>SUMIF(CC!$BJ$83:$BJ$94,Cover!$M$36,CC!$BU$83:$BU$94)</f>
        <v>0.8</v>
      </c>
      <c r="AU57" s="1176"/>
      <c r="AV57" s="1176"/>
      <c r="AW57" s="1411">
        <f>IF(Cover!$M$36=1,SUMIF($BJ$83:$BJ$94,12,$BN$83:$BN$94),SUMIF(CC!$BJ$83:$BJ$94,Cover!$M$36-1,CC!$BS$83:$BS$94))</f>
        <v>0.92882929345023202</v>
      </c>
      <c r="AX57" s="1411"/>
      <c r="AY57" s="1411"/>
      <c r="AZ57" s="1440">
        <f>SUMIF(CC!$BJ$83:$BJ$94,Cover!$M$36,CC!$BS$83:$BS$94)</f>
        <v>0</v>
      </c>
      <c r="BA57" s="1441"/>
      <c r="BB57" s="1442"/>
      <c r="BC57" s="1411">
        <f>SUMIF(CC!$BK$83:$BK$94,Cover!$M$35,CC!$BT$83:$BT$94)</f>
        <v>0</v>
      </c>
      <c r="BD57" s="1411"/>
      <c r="BE57" s="1411"/>
      <c r="BJ57" s="277"/>
      <c r="BK57" s="277"/>
      <c r="BL57" s="277"/>
      <c r="BM57" s="277"/>
      <c r="BN57" s="277"/>
      <c r="BO57" s="277"/>
      <c r="BP57" s="277"/>
      <c r="BQ57" s="277"/>
      <c r="BR57" s="277"/>
      <c r="BS57" s="277"/>
      <c r="BT57" s="277"/>
      <c r="BW57" s="647" t="str">
        <f>Cover!$M$34</f>
        <v>OCT FY-24</v>
      </c>
      <c r="BX57" s="642" t="str">
        <f>TEXT(CONCATENATE(CC57,"/01/20",CB57),"MMM")</f>
        <v>Oct</v>
      </c>
      <c r="BY57" s="643">
        <f>SUMIF($BI45:$BI56,$BX57,$BR45:$BR56)</f>
        <v>0</v>
      </c>
      <c r="BZ57" s="693">
        <f>IF(IF(CB57=CB57,SUMIF(BI45:BI56,$BX57,BU45:BU56),SUMIF(BI45:BI56,$BX57,BP45:BP56))=0,NA(),IF(CB57=CB57,SUMIF(BI45:BI56,$BX57,BU45:BU56),SUMIF(BI45:BI56,$BX57,BP45:BP56)))</f>
        <v>6.9444444444444447E-4</v>
      </c>
      <c r="CA57" s="694" t="e">
        <f>IF(SUMIF($BI45:$BI56,$BX57,$BS45:$BS56)=0,NA(),SUMIF($BI45:$BI56,$BX57,$BS45:$BS56))</f>
        <v>#N/A</v>
      </c>
      <c r="CB57" s="645">
        <f t="shared" si="10"/>
        <v>23</v>
      </c>
      <c r="CC57" s="645">
        <f>MONTH(DATEVALUE(LEFT(BW57,3)&amp;" 1"))</f>
        <v>10</v>
      </c>
    </row>
    <row r="58" spans="2:81" ht="14.65" customHeight="1">
      <c r="BI58" s="37"/>
      <c r="BJ58" s="37"/>
      <c r="BK58" s="37"/>
      <c r="BL58" s="37"/>
      <c r="BM58" s="37"/>
      <c r="BN58" s="37"/>
      <c r="BO58" s="37"/>
      <c r="BP58" s="37"/>
      <c r="BQ58" s="37"/>
      <c r="BR58" s="37"/>
      <c r="BS58" s="37"/>
      <c r="BT58" s="37"/>
      <c r="BU58" s="37"/>
      <c r="BV58" s="37"/>
    </row>
    <row r="59" spans="2:81" ht="14.65" customHeight="1">
      <c r="B59" s="52"/>
      <c r="V59" s="267" t="s">
        <v>242</v>
      </c>
      <c r="AD59" s="336"/>
      <c r="AY59" s="267" t="s">
        <v>242</v>
      </c>
      <c r="BI59" s="54" t="s">
        <v>292</v>
      </c>
      <c r="BJ59" s="287" t="s">
        <v>478</v>
      </c>
      <c r="BK59" s="287"/>
      <c r="BL59" s="287"/>
      <c r="BM59" s="287"/>
      <c r="BN59" s="287"/>
      <c r="BO59" s="287"/>
      <c r="BP59" s="287"/>
      <c r="BQ59" s="287"/>
      <c r="BR59" s="287"/>
      <c r="BS59" s="287"/>
      <c r="BT59" s="287"/>
      <c r="BU59" s="287"/>
    </row>
    <row r="60" spans="2:81" ht="14.65" customHeight="1">
      <c r="V60" s="1446" t="s">
        <v>496</v>
      </c>
      <c r="W60" s="1447"/>
      <c r="X60" s="1447"/>
      <c r="Y60" s="1447"/>
      <c r="Z60" s="1447"/>
      <c r="AA60" s="1447"/>
      <c r="AB60" s="1448"/>
      <c r="AY60" s="1446" t="s">
        <v>497</v>
      </c>
      <c r="AZ60" s="1447"/>
      <c r="BA60" s="1447"/>
      <c r="BB60" s="1447"/>
      <c r="BC60" s="1447"/>
      <c r="BD60" s="1447"/>
      <c r="BE60" s="1448"/>
      <c r="BI60" s="54" t="s">
        <v>296</v>
      </c>
      <c r="BJ60" s="283" t="s">
        <v>475</v>
      </c>
      <c r="BK60" s="283"/>
      <c r="BL60" s="283"/>
      <c r="BM60" s="283"/>
      <c r="BN60" s="283"/>
      <c r="BO60" s="283"/>
      <c r="BP60" s="283"/>
      <c r="BQ60" s="283"/>
      <c r="BR60" s="283"/>
      <c r="BS60" s="283"/>
      <c r="BT60" s="283"/>
      <c r="BU60" s="283"/>
    </row>
    <row r="61" spans="2:81" ht="14.65" customHeight="1" thickBot="1">
      <c r="V61" s="1449"/>
      <c r="W61" s="1450"/>
      <c r="X61" s="1450"/>
      <c r="Y61" s="1450"/>
      <c r="Z61" s="1450"/>
      <c r="AA61" s="1450"/>
      <c r="AB61" s="1451"/>
      <c r="AY61" s="1449"/>
      <c r="AZ61" s="1450"/>
      <c r="BA61" s="1450"/>
      <c r="BB61" s="1450"/>
      <c r="BC61" s="1450"/>
      <c r="BD61" s="1450"/>
      <c r="BE61" s="1451"/>
      <c r="BI61" s="54" t="s">
        <v>300</v>
      </c>
      <c r="BJ61" s="283" t="s">
        <v>476</v>
      </c>
      <c r="BK61" s="283"/>
      <c r="BL61" s="283"/>
      <c r="BM61" s="283"/>
      <c r="BN61" s="283"/>
      <c r="BO61" s="283"/>
      <c r="BP61" s="283"/>
      <c r="BQ61" s="283"/>
      <c r="BR61" s="283"/>
      <c r="BS61" s="283"/>
      <c r="BT61" s="283"/>
      <c r="BU61" s="283"/>
    </row>
    <row r="62" spans="2:81" ht="14.65" customHeight="1" thickBot="1">
      <c r="V62" s="1449"/>
      <c r="W62" s="1450"/>
      <c r="X62" s="1450"/>
      <c r="Y62" s="1450"/>
      <c r="Z62" s="1450"/>
      <c r="AA62" s="1450"/>
      <c r="AB62" s="1451"/>
      <c r="AY62" s="1449"/>
      <c r="AZ62" s="1450"/>
      <c r="BA62" s="1450"/>
      <c r="BB62" s="1450"/>
      <c r="BC62" s="1450"/>
      <c r="BD62" s="1450"/>
      <c r="BE62" s="1451"/>
      <c r="BI62" s="1402" t="s">
        <v>457</v>
      </c>
      <c r="BJ62" s="1403"/>
      <c r="BK62" s="1404"/>
      <c r="BL62" s="1402" t="s">
        <v>487</v>
      </c>
      <c r="BM62" s="1403"/>
      <c r="BN62" s="1403"/>
      <c r="BO62" s="1403"/>
      <c r="BP62" s="1404"/>
      <c r="BQ62" s="1402" t="s">
        <v>301</v>
      </c>
      <c r="BR62" s="1403"/>
      <c r="BS62" s="1403"/>
      <c r="BT62" s="1403"/>
      <c r="BU62" s="1404"/>
      <c r="BW62" s="1402" t="s">
        <v>303</v>
      </c>
      <c r="BX62" s="1403"/>
      <c r="BY62" s="1403"/>
      <c r="BZ62" s="1403"/>
      <c r="CA62" s="1403"/>
      <c r="CB62" s="1403"/>
      <c r="CC62" s="1404"/>
    </row>
    <row r="63" spans="2:81" ht="14.65" customHeight="1">
      <c r="V63" s="1449"/>
      <c r="W63" s="1450"/>
      <c r="X63" s="1450"/>
      <c r="Y63" s="1450"/>
      <c r="Z63" s="1450"/>
      <c r="AA63" s="1450"/>
      <c r="AB63" s="1451"/>
      <c r="AY63" s="1449"/>
      <c r="AZ63" s="1450"/>
      <c r="BA63" s="1450"/>
      <c r="BB63" s="1450"/>
      <c r="BC63" s="1450"/>
      <c r="BD63" s="1450"/>
      <c r="BE63" s="1451"/>
      <c r="BI63" s="636" t="s">
        <v>23</v>
      </c>
      <c r="BJ63" s="636" t="s">
        <v>37</v>
      </c>
      <c r="BK63" s="636" t="s">
        <v>304</v>
      </c>
      <c r="BL63" s="637" t="s">
        <v>305</v>
      </c>
      <c r="BM63" s="637" t="s">
        <v>306</v>
      </c>
      <c r="BN63" s="637" t="s">
        <v>488</v>
      </c>
      <c r="BO63" s="278" t="s">
        <v>489</v>
      </c>
      <c r="BP63" s="637" t="s">
        <v>490</v>
      </c>
      <c r="BQ63" s="637" t="s">
        <v>305</v>
      </c>
      <c r="BR63" s="637" t="s">
        <v>310</v>
      </c>
      <c r="BS63" s="637" t="s">
        <v>307</v>
      </c>
      <c r="BT63" s="278" t="s">
        <v>308</v>
      </c>
      <c r="BU63" s="637" t="s">
        <v>309</v>
      </c>
      <c r="BW63" s="279" t="s">
        <v>314</v>
      </c>
      <c r="BX63" s="279" t="s">
        <v>23</v>
      </c>
      <c r="BY63" s="280" t="s">
        <v>315</v>
      </c>
      <c r="BZ63" s="279" t="s">
        <v>122</v>
      </c>
      <c r="CA63" s="279" t="s">
        <v>316</v>
      </c>
      <c r="CB63" s="279" t="s">
        <v>317</v>
      </c>
      <c r="CC63" s="279" t="s">
        <v>318</v>
      </c>
    </row>
    <row r="64" spans="2:81" ht="14.65" customHeight="1">
      <c r="V64" s="1449"/>
      <c r="W64" s="1450"/>
      <c r="X64" s="1450"/>
      <c r="Y64" s="1450"/>
      <c r="Z64" s="1450"/>
      <c r="AA64" s="1450"/>
      <c r="AB64" s="1451"/>
      <c r="AY64" s="1449"/>
      <c r="AZ64" s="1450"/>
      <c r="BA64" s="1450"/>
      <c r="BB64" s="1450"/>
      <c r="BC64" s="1450"/>
      <c r="BD64" s="1450"/>
      <c r="BE64" s="1451"/>
      <c r="BI64" s="638" t="s">
        <v>319</v>
      </c>
      <c r="BJ64" s="638">
        <v>1</v>
      </c>
      <c r="BK64" s="638" t="s">
        <v>320</v>
      </c>
      <c r="BL64" s="639">
        <v>3.2000000000000001E-2</v>
      </c>
      <c r="BM64" s="665">
        <v>3.9769999999999999</v>
      </c>
      <c r="BN64" s="641">
        <f>IF(BM64=0,"",BL64/BM64)</f>
        <v>8.0462660296706061E-3</v>
      </c>
      <c r="BO64" s="281">
        <f>IF(SUM(BM64:BM66=0),0,SUM(BL64:BL66)/SUM(BM64:BM66))</f>
        <v>8.5253650713260753E-3</v>
      </c>
      <c r="BP64" s="641">
        <v>0.05</v>
      </c>
      <c r="BQ64" s="639"/>
      <c r="BR64" s="665"/>
      <c r="BS64" s="686" t="str">
        <f>IF(BR64=0,"",BQ64/BR64)</f>
        <v/>
      </c>
      <c r="BT64" s="281">
        <f>IF(SUM(BR64:BR66=0),0,SUM(BQ64:BQ66)/SUM(BR64:BR66))</f>
        <v>0</v>
      </c>
      <c r="BU64" s="641">
        <v>0.05</v>
      </c>
      <c r="BX64" s="642" t="str">
        <f t="shared" ref="BX64:BX75" si="11">TEXT(CONCATENATE(CC64,"/01/20",CB64),"MMM")</f>
        <v>Oct</v>
      </c>
      <c r="BY64" s="643">
        <f>IF(CB64=$CB76,SUMIF($BI64:$BI75,$BX64,$BR64:$BR75),SUMIF($BI64:$BI75,$BX64,$BM64:$BM75))</f>
        <v>3.9769999999999999</v>
      </c>
      <c r="BZ64" s="641">
        <f>IF(IF(CB64=CB76,SUMIF(BI64:BI75,$BX64,BU64:BU75),SUMIF(BI64:BI75,$BX64,BP64:BP75))=0,NA(),IF(CB64=CB76,SUMIF(BI64:BI75,$BX64,BU64:BU75),SUMIF(BI64:BI75,$BX64,BP64:BP75)))</f>
        <v>0.05</v>
      </c>
      <c r="CA64" s="644">
        <f>IF(IF(CB64=CB76,SUMIF(BI64:BI75,$BX64,BS64:BS75),SUMIF(BI64:BI75,$BX64,BN64:BN75))=0,NA(),IF(CB64=CB76,SUMIF(BI64:BI75,$BX64,BS64:BS75),SUMIF(BI64:BI75,$BX64,BN64:BN75)))</f>
        <v>8.0462660296706061E-3</v>
      </c>
      <c r="CB64" s="645">
        <f>CB45</f>
        <v>22</v>
      </c>
      <c r="CC64" s="645">
        <f t="shared" ref="CC64:CC74" si="12">IF(CC65-1&lt;1,CC65+11,CC65-1)</f>
        <v>10</v>
      </c>
    </row>
    <row r="65" spans="2:81" ht="14.65" customHeight="1">
      <c r="V65" s="1449"/>
      <c r="W65" s="1450"/>
      <c r="X65" s="1450"/>
      <c r="Y65" s="1450"/>
      <c r="Z65" s="1450"/>
      <c r="AA65" s="1450"/>
      <c r="AB65" s="1451"/>
      <c r="AY65" s="1449"/>
      <c r="AZ65" s="1450"/>
      <c r="BA65" s="1450"/>
      <c r="BB65" s="1450"/>
      <c r="BC65" s="1450"/>
      <c r="BD65" s="1450"/>
      <c r="BE65" s="1451"/>
      <c r="BI65" s="638" t="s">
        <v>321</v>
      </c>
      <c r="BJ65" s="638">
        <v>2</v>
      </c>
      <c r="BK65" s="638" t="s">
        <v>320</v>
      </c>
      <c r="BL65" s="639">
        <v>3.3000000000000002E-2</v>
      </c>
      <c r="BM65" s="665">
        <v>3.6579999999999999</v>
      </c>
      <c r="BN65" s="641">
        <f t="shared" ref="BN65:BN75" si="13">IF(BM65=0,"",BL65/BM65)</f>
        <v>9.0213231273920183E-3</v>
      </c>
      <c r="BP65" s="641">
        <v>0.05</v>
      </c>
      <c r="BQ65" s="639"/>
      <c r="BR65" s="665"/>
      <c r="BS65" s="686" t="str">
        <f t="shared" ref="BS65:BS75" si="14">IF(BR65=0,"",BQ65/BR65)</f>
        <v/>
      </c>
      <c r="BU65" s="641">
        <v>0.05</v>
      </c>
      <c r="BX65" s="642" t="str">
        <f t="shared" si="11"/>
        <v>Nov</v>
      </c>
      <c r="BY65" s="643">
        <f>IF(CB65=$CB76,SUMIF($BI64:$BI75,$BX65,$BR64:$BR75),SUMIF($BI64:$BI75,$BX65,$BM64:$BM75))</f>
        <v>3.6579999999999999</v>
      </c>
      <c r="BZ65" s="641">
        <f>IF(IF(CB65=CB76,SUMIF(BI64:BI75,$BX65,BU64:BU75),SUMIF(BI64:BI75,$BX65,BP64:BP75))=0,NA(),IF(CB65=CB76,SUMIF(BI64:BI75,$BX65,BU64:BU75),SUMIF(BI64:BI75,$BX65,BP64:BP75)))</f>
        <v>0.05</v>
      </c>
      <c r="CA65" s="644">
        <f>IF(IF(CB65=CB76,SUMIF(BI64:BI75,$BX65,BS64:BS75),SUMIF(BI64:BI75,$BX65,BN64:BN75))=0,NA(),IF(CB65=CB76,SUMIF(BI64:BI75,$BX65,BS64:BS75),SUMIF(BI64:BI75,$BX65,BN64:BN75)))</f>
        <v>9.0213231273920183E-3</v>
      </c>
      <c r="CB65" s="645">
        <f t="shared" ref="CB65:CB76" si="15">CB46</f>
        <v>22</v>
      </c>
      <c r="CC65" s="645">
        <f t="shared" si="12"/>
        <v>11</v>
      </c>
    </row>
    <row r="66" spans="2:81" ht="14.65" customHeight="1">
      <c r="V66" s="1449"/>
      <c r="W66" s="1450"/>
      <c r="X66" s="1450"/>
      <c r="Y66" s="1450"/>
      <c r="Z66" s="1450"/>
      <c r="AA66" s="1450"/>
      <c r="AB66" s="1451"/>
      <c r="AY66" s="1449"/>
      <c r="AZ66" s="1450"/>
      <c r="BA66" s="1450"/>
      <c r="BB66" s="1450"/>
      <c r="BC66" s="1450"/>
      <c r="BD66" s="1450"/>
      <c r="BE66" s="1451"/>
      <c r="BI66" s="638" t="s">
        <v>322</v>
      </c>
      <c r="BJ66" s="638">
        <v>3</v>
      </c>
      <c r="BK66" s="638" t="s">
        <v>320</v>
      </c>
      <c r="BL66" s="639">
        <v>3.5999999999999997E-2</v>
      </c>
      <c r="BM66" s="665">
        <v>4.2119999999999997</v>
      </c>
      <c r="BN66" s="641">
        <f t="shared" si="13"/>
        <v>8.5470085470085461E-3</v>
      </c>
      <c r="BP66" s="641">
        <v>0.05</v>
      </c>
      <c r="BQ66" s="639"/>
      <c r="BR66" s="665"/>
      <c r="BS66" s="686" t="str">
        <f t="shared" si="14"/>
        <v/>
      </c>
      <c r="BU66" s="641">
        <v>0.05</v>
      </c>
      <c r="BX66" s="642" t="str">
        <f t="shared" si="11"/>
        <v>Dec</v>
      </c>
      <c r="BY66" s="643">
        <f>IF(CB66=$CB76,SUMIF($BI64:$BI75,$BX66,$BR64:$BR75),SUMIF($BI64:$BI75,$BX66,$BM64:$BM75))</f>
        <v>4.2119999999999997</v>
      </c>
      <c r="BZ66" s="641">
        <f>IF(IF(CB66=CB76,SUMIF(BI64:BI75,$BX66,BU64:BU75),SUMIF(BI64:BI75,$BX66,BP64:BP75))=0,NA(),IF(CB66=CB76,SUMIF(BI64:BI75,$BX66,BU64:BU75),SUMIF(BI64:BI75,$BX66,BP64:BP75)))</f>
        <v>0.05</v>
      </c>
      <c r="CA66" s="644">
        <f>IF(IF(CB66=CB76,SUMIF(BI64:BI75,$BX66,BS64:BS75),SUMIF(BI64:BI75,$BX66,BN64:BN75))=0,NA(),IF(CB66=CB76,SUMIF(BI64:BI75,$BX66,BS64:BS75),SUMIF(BI64:BI75,$BX66,BN64:BN75)))</f>
        <v>8.5470085470085461E-3</v>
      </c>
      <c r="CB66" s="645">
        <f t="shared" si="15"/>
        <v>22</v>
      </c>
      <c r="CC66" s="645">
        <f t="shared" si="12"/>
        <v>12</v>
      </c>
    </row>
    <row r="67" spans="2:81" ht="14.65" customHeight="1">
      <c r="V67" s="1449"/>
      <c r="W67" s="1450"/>
      <c r="X67" s="1450"/>
      <c r="Y67" s="1450"/>
      <c r="Z67" s="1450"/>
      <c r="AA67" s="1450"/>
      <c r="AB67" s="1451"/>
      <c r="AY67" s="1449"/>
      <c r="AZ67" s="1450"/>
      <c r="BA67" s="1450"/>
      <c r="BB67" s="1450"/>
      <c r="BC67" s="1450"/>
      <c r="BD67" s="1450"/>
      <c r="BE67" s="1451"/>
      <c r="BI67" s="638" t="s">
        <v>323</v>
      </c>
      <c r="BJ67" s="638">
        <v>4</v>
      </c>
      <c r="BK67" s="638" t="s">
        <v>324</v>
      </c>
      <c r="BL67" s="639">
        <v>3.5999999999999997E-2</v>
      </c>
      <c r="BM67" s="665">
        <v>3.6</v>
      </c>
      <c r="BN67" s="641">
        <f t="shared" si="13"/>
        <v>9.9999999999999985E-3</v>
      </c>
      <c r="BO67" s="281">
        <f>IF(SUM(BM67:BM69=0),0,SUM(BL67:BL69)/SUM(BM67:BM69))</f>
        <v>1.2339544513457557E-2</v>
      </c>
      <c r="BP67" s="641">
        <v>0.05</v>
      </c>
      <c r="BQ67" s="639"/>
      <c r="BR67" s="665"/>
      <c r="BS67" s="686" t="str">
        <f t="shared" si="14"/>
        <v/>
      </c>
      <c r="BT67" s="281">
        <f>IF(SUM(BR67:BR69=0),0,SUM(BQ67:BQ69)/SUM(BR67:BR69))</f>
        <v>0</v>
      </c>
      <c r="BU67" s="641">
        <v>0.05</v>
      </c>
      <c r="BX67" s="642" t="str">
        <f t="shared" si="11"/>
        <v>Jan</v>
      </c>
      <c r="BY67" s="643">
        <f>IF(CB67=$CB76,SUMIF($BI64:$BI75,$BX67,$BR64:$BR75),SUMIF($BI64:$BI75,$BX67,$BM64:$BM75))</f>
        <v>3.6</v>
      </c>
      <c r="BZ67" s="641">
        <f>IF(IF(CB67=CB76,SUMIF(BI64:BI75,$BX67,BU64:BU75),SUMIF(BI64:BI75,$BX67,BP64:BP75))=0,NA(),IF(CB67=CB76,SUMIF(BI64:BI75,$BX67,BU64:BU75),SUMIF(BI64:BI75,$BX67,BP64:BP75)))</f>
        <v>0.05</v>
      </c>
      <c r="CA67" s="644">
        <f>IF(IF(CB67=CB76,SUMIF(BI64:BI75,$BX67,BS64:BS75),SUMIF(BI64:BI75,$BX67,BN64:BN75))=0,NA(),IF(CB67=CB76,SUMIF(BI64:BI75,$BX67,BS64:BS75),SUMIF(BI64:BI75,$BX67,BN64:BN75)))</f>
        <v>9.9999999999999985E-3</v>
      </c>
      <c r="CB67" s="645">
        <f t="shared" si="15"/>
        <v>22</v>
      </c>
      <c r="CC67" s="645">
        <f t="shared" si="12"/>
        <v>1</v>
      </c>
    </row>
    <row r="68" spans="2:81" ht="14.65" customHeight="1">
      <c r="V68" s="1449"/>
      <c r="W68" s="1450"/>
      <c r="X68" s="1450"/>
      <c r="Y68" s="1450"/>
      <c r="Z68" s="1450"/>
      <c r="AA68" s="1450"/>
      <c r="AB68" s="1451"/>
      <c r="AY68" s="1449"/>
      <c r="AZ68" s="1450"/>
      <c r="BA68" s="1450"/>
      <c r="BB68" s="1450"/>
      <c r="BC68" s="1450"/>
      <c r="BD68" s="1450"/>
      <c r="BE68" s="1451"/>
      <c r="BI68" s="638" t="s">
        <v>325</v>
      </c>
      <c r="BJ68" s="638">
        <v>5</v>
      </c>
      <c r="BK68" s="638" t="s">
        <v>324</v>
      </c>
      <c r="BL68" s="639">
        <v>4.1000000000000002E-2</v>
      </c>
      <c r="BM68" s="639">
        <v>3.794</v>
      </c>
      <c r="BN68" s="641">
        <f t="shared" si="13"/>
        <v>1.080653663679494E-2</v>
      </c>
      <c r="BP68" s="641">
        <v>0.05</v>
      </c>
      <c r="BQ68" s="639"/>
      <c r="BR68" s="639"/>
      <c r="BS68" s="686" t="str">
        <f t="shared" si="14"/>
        <v/>
      </c>
      <c r="BU68" s="641">
        <v>0.05</v>
      </c>
      <c r="BX68" s="642" t="str">
        <f t="shared" si="11"/>
        <v>Feb</v>
      </c>
      <c r="BY68" s="643">
        <f>IF(CB68=$CB76,SUMIF($BI64:$BI75,$BX68,$BR64:$BR75),SUMIF($BI64:$BI75,$BX68,$BM64:$BM75))</f>
        <v>3.794</v>
      </c>
      <c r="BZ68" s="641">
        <f>IF(IF(CB68=CB76,SUMIF(BI64:BI75,$BX68,BU64:BU75),SUMIF(BI64:BI75,$BX68,BP64:BP75))=0,NA(),IF(CB68=CB76,SUMIF(BI64:BI75,$BX68,BU64:BU75),SUMIF(BI64:BI75,$BX68,BP64:BP75)))</f>
        <v>0.05</v>
      </c>
      <c r="CA68" s="644">
        <f>IF(IF(CB68=CB76,SUMIF(BI64:BI75,$BX68,BS64:BS75),SUMIF(BI64:BI75,$BX68,BN64:BN75))=0,NA(),IF(CB68=CB76,SUMIF(BI64:BI75,$BX68,BS64:BS75),SUMIF(BI64:BI75,$BX68,BN64:BN75)))</f>
        <v>1.080653663679494E-2</v>
      </c>
      <c r="CB68" s="645">
        <f t="shared" si="15"/>
        <v>22</v>
      </c>
      <c r="CC68" s="645">
        <f t="shared" si="12"/>
        <v>2</v>
      </c>
    </row>
    <row r="69" spans="2:81" ht="14.65" customHeight="1">
      <c r="V69" s="1452"/>
      <c r="W69" s="1453"/>
      <c r="X69" s="1453"/>
      <c r="Y69" s="1453"/>
      <c r="Z69" s="1453"/>
      <c r="AA69" s="1453"/>
      <c r="AB69" s="1454"/>
      <c r="AY69" s="1452"/>
      <c r="AZ69" s="1453"/>
      <c r="BA69" s="1453"/>
      <c r="BB69" s="1453"/>
      <c r="BC69" s="1453"/>
      <c r="BD69" s="1453"/>
      <c r="BE69" s="1454"/>
      <c r="BI69" s="638" t="s">
        <v>326</v>
      </c>
      <c r="BJ69" s="638">
        <v>6</v>
      </c>
      <c r="BK69" s="638" t="s">
        <v>324</v>
      </c>
      <c r="BL69" s="639">
        <v>7.1999999999999995E-2</v>
      </c>
      <c r="BM69" s="639">
        <v>4.681</v>
      </c>
      <c r="BN69" s="641">
        <f t="shared" si="13"/>
        <v>1.5381328775902583E-2</v>
      </c>
      <c r="BP69" s="641">
        <v>0.05</v>
      </c>
      <c r="BQ69" s="639"/>
      <c r="BR69" s="639"/>
      <c r="BS69" s="686" t="str">
        <f t="shared" si="14"/>
        <v/>
      </c>
      <c r="BU69" s="641">
        <v>0.05</v>
      </c>
      <c r="BX69" s="642" t="str">
        <f t="shared" si="11"/>
        <v>Mar</v>
      </c>
      <c r="BY69" s="643">
        <f>IF(CB69=$CB76,SUMIF($BI64:$BI75,$BX69,$BR64:$BR75),SUMIF($BI64:$BI75,$BX69,$BM64:$BM75))</f>
        <v>4.681</v>
      </c>
      <c r="BZ69" s="641">
        <f>IF(IF(CB69=CB76,SUMIF(BI64:BI75,$BX69,BU64:BU75),SUMIF(BI64:BI75,$BX69,BP64:BP75))=0,NA(),IF(CB69=CB76,SUMIF(BI64:BI75,$BX69,BU64:BU75),SUMIF(BI64:BI75,$BX69,BP64:BP75)))</f>
        <v>0.05</v>
      </c>
      <c r="CA69" s="644">
        <f>IF(IF(CB69=CB76,SUMIF(BI64:BI75,$BX69,BS64:BS75),SUMIF(BI64:BI75,$BX69,BN64:BN75))=0,NA(),IF(CB69=CB76,SUMIF(BI64:BI75,$BX69,BS64:BS75),SUMIF(BI64:BI75,$BX69,BN64:BN75)))</f>
        <v>1.5381328775902583E-2</v>
      </c>
      <c r="CB69" s="645">
        <f t="shared" si="15"/>
        <v>22</v>
      </c>
      <c r="CC69" s="645">
        <f t="shared" si="12"/>
        <v>3</v>
      </c>
    </row>
    <row r="70" spans="2:81" ht="14.65" customHeight="1">
      <c r="BI70" s="638" t="s">
        <v>327</v>
      </c>
      <c r="BJ70" s="638">
        <v>7</v>
      </c>
      <c r="BK70" s="638" t="s">
        <v>328</v>
      </c>
      <c r="BL70" s="639">
        <v>4.7E-2</v>
      </c>
      <c r="BM70" s="639">
        <v>3.5779999999999998</v>
      </c>
      <c r="BN70" s="641">
        <f t="shared" si="13"/>
        <v>1.3135830072666294E-2</v>
      </c>
      <c r="BO70" s="281">
        <f>IF(SUM(BM70:BM72=0),0,SUM(BL70:BL72)/SUM(BM70:BM72))</f>
        <v>1.1615628299894404E-2</v>
      </c>
      <c r="BP70" s="641">
        <v>0.05</v>
      </c>
      <c r="BQ70" s="639"/>
      <c r="BR70" s="639"/>
      <c r="BS70" s="686" t="str">
        <f t="shared" si="14"/>
        <v/>
      </c>
      <c r="BT70" s="281">
        <f>IF(SUM(BR70:BR72=0),0,SUM(BQ70:BQ72)/SUM(BR70:BR72))</f>
        <v>0</v>
      </c>
      <c r="BU70" s="641">
        <v>0.05</v>
      </c>
      <c r="BX70" s="642" t="str">
        <f t="shared" si="11"/>
        <v>Apr</v>
      </c>
      <c r="BY70" s="643">
        <f>IF(CB70=$CB76,SUMIF($BI64:$BI75,$BX70,$BR64:$BR75),SUMIF($BI64:$BI75,$BX70,$BM64:$BM75))</f>
        <v>3.5779999999999998</v>
      </c>
      <c r="BZ70" s="641">
        <f>IF(IF(CB70=CB76,SUMIF(BI64:BI75,$BX70,BU64:BU75),SUMIF(BI64:BI75,$BX70,BP64:BP75))=0,NA(),IF(CB70=CB76,SUMIF(BI64:BI75,$BX70,BU64:BU75),SUMIF(BI64:BI75,$BX70,BP64:BP75)))</f>
        <v>0.05</v>
      </c>
      <c r="CA70" s="644">
        <f>IF(IF(CB70=CB76,SUMIF(BI64:BI75,$BX70,BS64:BS75),SUMIF(BI64:BI75,$BX70,BN64:BN75))=0,NA(),IF(CB70=CB76,SUMIF(BI64:BI75,$BX70,BS64:BS75),SUMIF(BI64:BI75,$BX70,BN64:BN75)))</f>
        <v>1.3135830072666294E-2</v>
      </c>
      <c r="CB70" s="645">
        <f t="shared" si="15"/>
        <v>22</v>
      </c>
      <c r="CC70" s="645">
        <f t="shared" si="12"/>
        <v>4</v>
      </c>
    </row>
    <row r="71" spans="2:81" ht="14.65" customHeight="1">
      <c r="BI71" s="638" t="s">
        <v>329</v>
      </c>
      <c r="BJ71" s="638">
        <v>8</v>
      </c>
      <c r="BK71" s="638" t="s">
        <v>328</v>
      </c>
      <c r="BL71" s="639">
        <v>2.8000000000000001E-2</v>
      </c>
      <c r="BM71" s="639">
        <v>2.8439999999999999</v>
      </c>
      <c r="BN71" s="641">
        <f t="shared" si="13"/>
        <v>9.8452883263009851E-3</v>
      </c>
      <c r="BP71" s="641">
        <v>0.05</v>
      </c>
      <c r="BQ71" s="639"/>
      <c r="BR71" s="639"/>
      <c r="BS71" s="686" t="str">
        <f t="shared" si="14"/>
        <v/>
      </c>
      <c r="BU71" s="641">
        <v>0.05</v>
      </c>
      <c r="BX71" s="642" t="str">
        <f t="shared" si="11"/>
        <v>May</v>
      </c>
      <c r="BY71" s="643">
        <f>IF(CB71=$CB76,SUMIF($BI64:$BI75,$BX71,$BR64:$BR75),SUMIF($BI64:$BI75,$BX71,$BM64:$BM75))</f>
        <v>2.8439999999999999</v>
      </c>
      <c r="BZ71" s="641">
        <f>IF(IF(CB71=CB76,SUMIF(BI64:BI75,$BX71,BU64:BU75),SUMIF(BI64:BI75,$BX71,BP64:BP75))=0,NA(),IF(CB71=CB76,SUMIF(BI64:BI75,$BX71,BU64:BU75),SUMIF(BI64:BI75,$BX71,BP64:BP75)))</f>
        <v>0.05</v>
      </c>
      <c r="CA71" s="644">
        <f>IF(IF(CB71=CB76,SUMIF(BI64:BI75,$BX71,BS64:BS75),SUMIF(BI64:BI75,$BX71,BN64:BN75))=0,NA(),IF(CB71=CB76,SUMIF(BI64:BI75,$BX71,BS64:BS75),SUMIF(BI64:BI75,$BX71,BN64:BN75)))</f>
        <v>9.8452883263009851E-3</v>
      </c>
      <c r="CB71" s="645">
        <f t="shared" si="15"/>
        <v>22</v>
      </c>
      <c r="CC71" s="645">
        <f t="shared" si="12"/>
        <v>5</v>
      </c>
    </row>
    <row r="72" spans="2:81" ht="14.65" customHeight="1">
      <c r="B72" s="1468" t="s">
        <v>457</v>
      </c>
      <c r="C72" s="1468"/>
      <c r="D72" s="1468"/>
      <c r="E72" s="1468"/>
      <c r="F72" s="1468"/>
      <c r="G72" s="1468"/>
      <c r="H72" s="1468"/>
      <c r="I72" s="1468"/>
      <c r="J72" s="1468"/>
      <c r="K72" s="1468" t="s">
        <v>333</v>
      </c>
      <c r="L72" s="1468"/>
      <c r="M72" s="1468"/>
      <c r="N72" s="1468"/>
      <c r="O72" s="1468"/>
      <c r="P72" s="1468"/>
      <c r="Q72" s="1464" t="s">
        <v>334</v>
      </c>
      <c r="R72" s="1464"/>
      <c r="S72" s="1464"/>
      <c r="T72" s="1468" t="s">
        <v>335</v>
      </c>
      <c r="U72" s="1468"/>
      <c r="V72" s="1468"/>
      <c r="W72" s="1468"/>
      <c r="X72" s="1468"/>
      <c r="Y72" s="1468"/>
      <c r="Z72" s="1468"/>
      <c r="AA72" s="1468"/>
      <c r="AB72" s="1468"/>
      <c r="BI72" s="638" t="s">
        <v>331</v>
      </c>
      <c r="BJ72" s="638">
        <v>9</v>
      </c>
      <c r="BK72" s="638" t="s">
        <v>328</v>
      </c>
      <c r="BL72" s="639">
        <v>1.2999999999999999E-2</v>
      </c>
      <c r="BM72" s="639">
        <v>1.1539999999999999</v>
      </c>
      <c r="BN72" s="641">
        <f t="shared" si="13"/>
        <v>1.1265164644714038E-2</v>
      </c>
      <c r="BP72" s="641">
        <v>0.05</v>
      </c>
      <c r="BQ72" s="639"/>
      <c r="BR72" s="639"/>
      <c r="BS72" s="686" t="str">
        <f t="shared" si="14"/>
        <v/>
      </c>
      <c r="BU72" s="641">
        <v>0.05</v>
      </c>
      <c r="BX72" s="642" t="str">
        <f t="shared" si="11"/>
        <v>Jun</v>
      </c>
      <c r="BY72" s="643">
        <f>IF(CB72=$CB76,SUMIF($BI64:$BI75,$BX72,$BR64:$BR75),SUMIF($BI64:$BI75,$BX72,$BM64:$BM75))</f>
        <v>1.1539999999999999</v>
      </c>
      <c r="BZ72" s="641">
        <f>IF(IF(CB72=CB76,SUMIF(BI64:BI75,$BX72,BU64:BU75),SUMIF(BI64:BI75,$BX72,BP64:BP75))=0,NA(),IF(CB72=CB76,SUMIF(BI64:BI75,$BX72,BU64:BU75),SUMIF(BI64:BI75,$BX72,BP64:BP75)))</f>
        <v>0.05</v>
      </c>
      <c r="CA72" s="644">
        <f>IF(IF(CB72=CB76,SUMIF(BI64:BI75,$BX72,BS64:BS75),SUMIF(BI64:BI75,$BX72,BN64:BN75))=0,NA(),IF(CB72=CB76,SUMIF(BI64:BI75,$BX72,BS64:BS75),SUMIF(BI64:BI75,$BX72,BN64:BN75)))</f>
        <v>1.1265164644714038E-2</v>
      </c>
      <c r="CB72" s="645">
        <f t="shared" si="15"/>
        <v>22</v>
      </c>
      <c r="CC72" s="645">
        <f t="shared" si="12"/>
        <v>6</v>
      </c>
    </row>
    <row r="73" spans="2:81" ht="14.65" customHeight="1">
      <c r="B73" s="1469" t="s">
        <v>332</v>
      </c>
      <c r="C73" s="1470"/>
      <c r="D73" s="1470"/>
      <c r="E73" s="1470"/>
      <c r="F73" s="1470"/>
      <c r="G73" s="1470"/>
      <c r="H73" s="1470"/>
      <c r="I73" s="1470"/>
      <c r="J73" s="1471"/>
      <c r="K73" s="1468" t="s">
        <v>23</v>
      </c>
      <c r="L73" s="1468"/>
      <c r="M73" s="1468"/>
      <c r="N73" s="1468" t="s">
        <v>339</v>
      </c>
      <c r="O73" s="1468"/>
      <c r="P73" s="1468"/>
      <c r="Q73" s="1464"/>
      <c r="R73" s="1464"/>
      <c r="S73" s="1464"/>
      <c r="T73" s="1464" t="s">
        <v>340</v>
      </c>
      <c r="U73" s="1464"/>
      <c r="V73" s="1464"/>
      <c r="W73" s="1464" t="s">
        <v>341</v>
      </c>
      <c r="X73" s="1464"/>
      <c r="Y73" s="1464"/>
      <c r="Z73" s="1464" t="s">
        <v>342</v>
      </c>
      <c r="AA73" s="1464"/>
      <c r="AB73" s="1464"/>
      <c r="BI73" s="638" t="s">
        <v>337</v>
      </c>
      <c r="BJ73" s="638">
        <v>10</v>
      </c>
      <c r="BK73" s="638" t="s">
        <v>338</v>
      </c>
      <c r="BL73" s="639">
        <v>8.9999999999999993E-3</v>
      </c>
      <c r="BM73" s="639">
        <v>0.83399999999999996</v>
      </c>
      <c r="BN73" s="641">
        <f t="shared" si="13"/>
        <v>1.0791366906474819E-2</v>
      </c>
      <c r="BO73" s="281">
        <f>IF(SUM(BM73:BM75=0),0,SUM(BL73:BL75)/SUM(BM73:BM75))</f>
        <v>2.7140974967061922E-2</v>
      </c>
      <c r="BP73" s="641">
        <v>0.05</v>
      </c>
      <c r="BQ73" s="639"/>
      <c r="BR73" s="639"/>
      <c r="BS73" s="686" t="str">
        <f t="shared" si="14"/>
        <v/>
      </c>
      <c r="BT73" s="281">
        <f>IF(SUM(BR73:BR75=0),0,SUM(BQ73:BQ75)/SUM(BR73:BR75))</f>
        <v>0</v>
      </c>
      <c r="BU73" s="641">
        <v>0.05</v>
      </c>
      <c r="BX73" s="642" t="str">
        <f t="shared" si="11"/>
        <v>Jul</v>
      </c>
      <c r="BY73" s="643">
        <f>IF(CB73=$CB76,SUMIF($BI64:$BI75,$BX73,$BR64:$BR75),SUMIF($BI64:$BI75,$BX73,$BM64:$BM75))</f>
        <v>0.83399999999999996</v>
      </c>
      <c r="BZ73" s="641">
        <f>IF(IF(CB73=CB76,SUMIF(BI64:BI75,$BX73,BU64:BU75),SUMIF(BI64:BI75,$BX73,BP64:BP75))=0,NA(),IF(CB73=CB76,SUMIF(BI64:BI75,$BX73,BU64:BU75),SUMIF(BI64:BI75,$BX73,BP64:BP75)))</f>
        <v>0.05</v>
      </c>
      <c r="CA73" s="644">
        <f>IF(IF(CB73=CB76,SUMIF(BI64:BI75,$BX73,BS64:BS75),SUMIF(BI64:BI75,$BX73,BN64:BN75))=0,NA(),IF(CB73=CB76,SUMIF(BI64:BI75,$BX73,BS64:BS75),SUMIF(BI64:BI75,$BX73,BN64:BN75)))</f>
        <v>1.0791366906474819E-2</v>
      </c>
      <c r="CB73" s="645">
        <f t="shared" si="15"/>
        <v>22</v>
      </c>
      <c r="CC73" s="645">
        <f t="shared" si="12"/>
        <v>7</v>
      </c>
    </row>
    <row r="74" spans="2:81" ht="14.65" customHeight="1">
      <c r="B74" s="1472"/>
      <c r="C74" s="1473"/>
      <c r="D74" s="1473"/>
      <c r="E74" s="1473"/>
      <c r="F74" s="1473"/>
      <c r="G74" s="1473"/>
      <c r="H74" s="1473"/>
      <c r="I74" s="1473"/>
      <c r="J74" s="1474"/>
      <c r="K74" s="1468"/>
      <c r="L74" s="1468"/>
      <c r="M74" s="1468"/>
      <c r="N74" s="1468"/>
      <c r="O74" s="1468"/>
      <c r="P74" s="1468"/>
      <c r="Q74" s="1464"/>
      <c r="R74" s="1464"/>
      <c r="S74" s="1464"/>
      <c r="T74" s="1464"/>
      <c r="U74" s="1464"/>
      <c r="V74" s="1464"/>
      <c r="W74" s="1464"/>
      <c r="X74" s="1464"/>
      <c r="Y74" s="1464"/>
      <c r="Z74" s="1464"/>
      <c r="AA74" s="1464"/>
      <c r="AB74" s="1464"/>
      <c r="BI74" s="638" t="s">
        <v>343</v>
      </c>
      <c r="BJ74" s="638">
        <v>11</v>
      </c>
      <c r="BK74" s="638" t="s">
        <v>338</v>
      </c>
      <c r="BL74" s="639">
        <v>2.1000000000000001E-2</v>
      </c>
      <c r="BM74" s="639">
        <v>0.91800000000000004</v>
      </c>
      <c r="BN74" s="641">
        <f t="shared" si="13"/>
        <v>2.2875816993464054E-2</v>
      </c>
      <c r="BP74" s="641">
        <v>0.05</v>
      </c>
      <c r="BQ74" s="639"/>
      <c r="BR74" s="639"/>
      <c r="BS74" s="686" t="str">
        <f t="shared" si="14"/>
        <v/>
      </c>
      <c r="BU74" s="641">
        <v>0.05</v>
      </c>
      <c r="BX74" s="642" t="str">
        <f t="shared" si="11"/>
        <v>Aug</v>
      </c>
      <c r="BY74" s="643">
        <f>IF(CB74=$CB76,SUMIF($BI64:$BI75,$BX74,$BR64:$BR75),SUMIF($BI64:$BI75,$BX74,$BM64:$BM75))</f>
        <v>0.91800000000000004</v>
      </c>
      <c r="BZ74" s="641">
        <f>IF(IF(CB74=CB76,SUMIF(BI64:BI75,$BX74,BU64:BU75),SUMIF(BI64:BI75,$BX74,BP64:BP75))=0,NA(),IF(CB74=CB76,SUMIF(BI64:BI75,$BX74,BU64:BU75),SUMIF(BI64:BI75,$BX74,BP64:BP75)))</f>
        <v>0.05</v>
      </c>
      <c r="CA74" s="644">
        <f>IF(IF(CB74=CB76,SUMIF(BI64:BI75,$BX74,BS64:BS75),SUMIF(BI64:BI75,$BX74,BN64:BN75))=0,NA(),IF(CB74=CB76,SUMIF(BI64:BI75,$BX74,BS64:BS75),SUMIF(BI64:BI75,$BX74,BN64:BN75)))</f>
        <v>2.2875816993464054E-2</v>
      </c>
      <c r="CB74" s="645">
        <f t="shared" si="15"/>
        <v>22</v>
      </c>
      <c r="CC74" s="645">
        <f t="shared" si="12"/>
        <v>8</v>
      </c>
    </row>
    <row r="75" spans="2:81" ht="14.65" customHeight="1">
      <c r="B75" s="1208" t="s">
        <v>498</v>
      </c>
      <c r="C75" s="1209"/>
      <c r="D75" s="1209"/>
      <c r="E75" s="1209"/>
      <c r="F75" s="1209"/>
      <c r="G75" s="1209"/>
      <c r="H75" s="1209"/>
      <c r="I75" s="1209"/>
      <c r="J75" s="1210"/>
      <c r="K75" s="1465">
        <f>SUMIF(CC!$BJ$102:$BJ$113,Cover!$M$36,CC!$BN$102:$BN$113)</f>
        <v>3739</v>
      </c>
      <c r="L75" s="1465"/>
      <c r="M75" s="1465"/>
      <c r="N75" s="1465">
        <f>SUMIF(CC!$BK$102:$BK$113,Cover!$M$35,CC!$BO$102:$BO$113)</f>
        <v>11287</v>
      </c>
      <c r="O75" s="1465"/>
      <c r="P75" s="1465"/>
      <c r="Q75" s="1466">
        <f>SUMIF(CC!$BJ$102:$BJ$113,Cover!$M$36,CC!$BU$102:$BU$113)</f>
        <v>0</v>
      </c>
      <c r="R75" s="1466"/>
      <c r="S75" s="1466"/>
      <c r="T75" s="1465">
        <f>IF(Cover!$M$36=1,SUMIF($BJ$102:$BJ$113,12,$BN$102:$BN$113),SUMIF(CC!$BJ$102:$BJ$113,Cover!$M$36-1,CC!$BS$102:$BS$113))</f>
        <v>7203</v>
      </c>
      <c r="U75" s="1465"/>
      <c r="V75" s="1465"/>
      <c r="W75" s="1465">
        <f>SUMIF(CC!$BJ$102:$BJ$113,Cover!$M$36,CC!$BS$102:$BS$113)</f>
        <v>0</v>
      </c>
      <c r="X75" s="1465"/>
      <c r="Y75" s="1465"/>
      <c r="Z75" s="1465">
        <f>SUMIF(CC!$BK$102:$BK$113,Cover!$M$35,CC!$BT$102:$BT$113)</f>
        <v>0</v>
      </c>
      <c r="AA75" s="1465"/>
      <c r="AB75" s="1465"/>
      <c r="BI75" s="638" t="s">
        <v>344</v>
      </c>
      <c r="BJ75" s="638">
        <v>12</v>
      </c>
      <c r="BK75" s="638" t="s">
        <v>338</v>
      </c>
      <c r="BL75" s="639">
        <v>7.2999999999999995E-2</v>
      </c>
      <c r="BM75" s="639">
        <v>2.0430000000000001</v>
      </c>
      <c r="BN75" s="641">
        <f t="shared" si="13"/>
        <v>3.5731767009300044E-2</v>
      </c>
      <c r="BP75" s="641">
        <v>0.05</v>
      </c>
      <c r="BQ75" s="639"/>
      <c r="BR75" s="639"/>
      <c r="BS75" s="686" t="str">
        <f t="shared" si="14"/>
        <v/>
      </c>
      <c r="BU75" s="641">
        <v>0.05</v>
      </c>
      <c r="BX75" s="642" t="str">
        <f t="shared" si="11"/>
        <v>Sep</v>
      </c>
      <c r="BY75" s="643">
        <f>IF(CB75=$CB76,SUMIF($BI64:$BI75,$BX75,$BR64:$BR75),SUMIF($BI64:$BI75,$BX75,$BM64:$BM75))</f>
        <v>2.0430000000000001</v>
      </c>
      <c r="BZ75" s="641">
        <f>IF(IF(CB75=CB76,SUMIF(BI64:BI75,$BX75,BU64:BU75),SUMIF(BI64:BI75,$BX75,BP64:BP75))=0,NA(),IF(CB75=CB76,SUMIF(BI64:BI75,$BX75,BU64:BU75),SUMIF(BI64:BI75,$BX75,BP64:BP75)))</f>
        <v>0.05</v>
      </c>
      <c r="CA75" s="644">
        <f>IF(IF(CB75=CB76,SUMIF(BI64:BI75,$BX75,BS64:BS75),SUMIF(BI64:BI75,$BX75,BN64:BN75))=0,NA(),IF(CB75=CB76,SUMIF(BI64:BI75,$BX75,BS64:BS75),SUMIF(BI64:BI75,$BX75,BN64:BN75)))</f>
        <v>3.5731767009300044E-2</v>
      </c>
      <c r="CB75" s="645">
        <f t="shared" si="15"/>
        <v>22</v>
      </c>
      <c r="CC75" s="645">
        <f>IF(CC76-1&lt;1,CC76+11,CC76-1)</f>
        <v>9</v>
      </c>
    </row>
    <row r="76" spans="2:81" ht="14.65" customHeight="1">
      <c r="BI76" s="37"/>
      <c r="BJ76" s="37"/>
      <c r="BK76" s="37"/>
      <c r="BL76" s="37"/>
      <c r="BM76" s="37"/>
      <c r="BN76" s="37"/>
      <c r="BO76" s="37"/>
      <c r="BP76" s="37"/>
      <c r="BQ76" s="37"/>
      <c r="BR76" s="37"/>
      <c r="BS76" s="37"/>
      <c r="BT76" s="37"/>
      <c r="BU76" s="37"/>
      <c r="BW76" s="647" t="str">
        <f>Cover!$M$34</f>
        <v>OCT FY-24</v>
      </c>
      <c r="BX76" s="642" t="str">
        <f>TEXT(CONCATENATE(CC76,"/01/20",CB76),"MMM")</f>
        <v>Oct</v>
      </c>
      <c r="BY76" s="643">
        <f>SUMIF($BI64:$BI75,$BX76,$BR64:$BR75)</f>
        <v>0</v>
      </c>
      <c r="BZ76" s="641">
        <f>IF(IF(CB76=CB76,SUMIF(BI64:BI75,$BX76,BU64:BU75),SUMIF(BI64:BI75,$BX76,BP64:BP75))=0,NA(),IF(CB76=CB76,SUMIF(BI64:BI75,$BX76,BU64:BU75),SUMIF(BI64:BI75,$BX76,BP64:BP75)))</f>
        <v>0.05</v>
      </c>
      <c r="CA76" s="644" t="e">
        <f>IF(SUMIF($BI64:$BI75,$BX76,$BS64:$BS75)=0,NA(),SUMIF($BI64:$BI75,$BX76,$BS64:$BS75))</f>
        <v>#N/A</v>
      </c>
      <c r="CB76" s="645">
        <f t="shared" si="15"/>
        <v>23</v>
      </c>
      <c r="CC76" s="645">
        <f>MONTH(DATEVALUE(LEFT(BW76,3)&amp;" 1"))</f>
        <v>10</v>
      </c>
    </row>
    <row r="77" spans="2:81" ht="14.65" customHeight="1">
      <c r="V77" s="267" t="s">
        <v>242</v>
      </c>
      <c r="BJ77" s="37"/>
      <c r="BK77" s="37"/>
      <c r="BL77" s="37"/>
      <c r="BM77" s="37"/>
      <c r="BN77" s="37"/>
      <c r="BO77" s="37"/>
      <c r="BP77" s="37"/>
      <c r="BQ77" s="37"/>
      <c r="BR77" s="37"/>
      <c r="BS77" s="37"/>
      <c r="BT77" s="37"/>
      <c r="BU77" s="37"/>
    </row>
    <row r="78" spans="2:81" ht="14.65" customHeight="1">
      <c r="V78" s="1446"/>
      <c r="W78" s="1447"/>
      <c r="X78" s="1447"/>
      <c r="Y78" s="1447"/>
      <c r="Z78" s="1447"/>
      <c r="AA78" s="1447"/>
      <c r="AB78" s="1448"/>
      <c r="BI78" s="54" t="s">
        <v>292</v>
      </c>
      <c r="BJ78" s="287" t="s">
        <v>157</v>
      </c>
      <c r="BK78" s="287"/>
      <c r="BL78" s="287"/>
      <c r="BM78" s="287"/>
      <c r="BN78" s="287"/>
      <c r="BO78" s="287"/>
      <c r="BP78" s="287"/>
      <c r="BQ78" s="287"/>
      <c r="BR78" s="287"/>
      <c r="BS78" s="287"/>
      <c r="BT78" s="287"/>
      <c r="BU78" s="287"/>
    </row>
    <row r="79" spans="2:81" ht="14.65" customHeight="1">
      <c r="V79" s="1449"/>
      <c r="W79" s="1450"/>
      <c r="X79" s="1450"/>
      <c r="Y79" s="1450"/>
      <c r="Z79" s="1450"/>
      <c r="AA79" s="1450"/>
      <c r="AB79" s="1451"/>
      <c r="BI79" s="54" t="s">
        <v>296</v>
      </c>
      <c r="BJ79" s="283" t="s">
        <v>156</v>
      </c>
      <c r="BK79" s="283"/>
      <c r="BL79" s="283"/>
      <c r="BM79" s="283"/>
      <c r="BN79" s="283"/>
      <c r="BO79" s="283"/>
      <c r="BP79" s="283"/>
      <c r="BQ79" s="283"/>
      <c r="BR79" s="283"/>
      <c r="BS79" s="283"/>
      <c r="BT79" s="283"/>
      <c r="BU79" s="283"/>
    </row>
    <row r="80" spans="2:81" ht="14.65" customHeight="1" thickBot="1">
      <c r="V80" s="1449"/>
      <c r="W80" s="1450"/>
      <c r="X80" s="1450"/>
      <c r="Y80" s="1450"/>
      <c r="Z80" s="1450"/>
      <c r="AA80" s="1450"/>
      <c r="AB80" s="1451"/>
      <c r="BI80" s="54" t="s">
        <v>300</v>
      </c>
      <c r="BJ80" s="283" t="s">
        <v>472</v>
      </c>
      <c r="BK80" s="283"/>
      <c r="BL80" s="283"/>
      <c r="BM80" s="283"/>
      <c r="BN80" s="283"/>
      <c r="BO80" s="283"/>
      <c r="BP80" s="283"/>
      <c r="BQ80" s="283"/>
      <c r="BR80" s="283"/>
      <c r="BS80" s="283"/>
      <c r="BT80" s="283"/>
      <c r="BU80" s="283"/>
    </row>
    <row r="81" spans="2:81" ht="14.65" customHeight="1" thickBot="1">
      <c r="V81" s="1449"/>
      <c r="W81" s="1450"/>
      <c r="X81" s="1450"/>
      <c r="Y81" s="1450"/>
      <c r="Z81" s="1450"/>
      <c r="AA81" s="1450"/>
      <c r="AB81" s="1451"/>
      <c r="BI81" s="1402" t="s">
        <v>457</v>
      </c>
      <c r="BJ81" s="1403"/>
      <c r="BK81" s="1404"/>
      <c r="BL81" s="1402" t="s">
        <v>487</v>
      </c>
      <c r="BM81" s="1403"/>
      <c r="BN81" s="1403"/>
      <c r="BO81" s="1403"/>
      <c r="BP81" s="1404"/>
      <c r="BQ81" s="1402" t="s">
        <v>301</v>
      </c>
      <c r="BR81" s="1403"/>
      <c r="BS81" s="1403"/>
      <c r="BT81" s="1403"/>
      <c r="BU81" s="1404"/>
      <c r="BW81" s="1402" t="s">
        <v>303</v>
      </c>
      <c r="BX81" s="1403"/>
      <c r="BY81" s="1403"/>
      <c r="BZ81" s="1403"/>
      <c r="CA81" s="1403"/>
      <c r="CB81" s="1403"/>
      <c r="CC81" s="1404"/>
    </row>
    <row r="82" spans="2:81" ht="14.65" customHeight="1">
      <c r="V82" s="1449"/>
      <c r="W82" s="1450"/>
      <c r="X82" s="1450"/>
      <c r="Y82" s="1450"/>
      <c r="Z82" s="1450"/>
      <c r="AA82" s="1450"/>
      <c r="AB82" s="1451"/>
      <c r="BI82" s="636" t="s">
        <v>23</v>
      </c>
      <c r="BJ82" s="636" t="s">
        <v>37</v>
      </c>
      <c r="BK82" s="636" t="s">
        <v>304</v>
      </c>
      <c r="BL82" s="637" t="s">
        <v>305</v>
      </c>
      <c r="BM82" s="637" t="s">
        <v>306</v>
      </c>
      <c r="BN82" s="637" t="s">
        <v>488</v>
      </c>
      <c r="BO82" s="278" t="s">
        <v>489</v>
      </c>
      <c r="BP82" s="637" t="s">
        <v>490</v>
      </c>
      <c r="BQ82" s="637" t="s">
        <v>305</v>
      </c>
      <c r="BR82" s="637" t="s">
        <v>310</v>
      </c>
      <c r="BS82" s="637" t="s">
        <v>307</v>
      </c>
      <c r="BT82" s="278" t="s">
        <v>308</v>
      </c>
      <c r="BU82" s="637" t="s">
        <v>309</v>
      </c>
      <c r="BW82" s="279" t="s">
        <v>314</v>
      </c>
      <c r="BX82" s="279" t="s">
        <v>23</v>
      </c>
      <c r="BY82" s="280" t="s">
        <v>315</v>
      </c>
      <c r="BZ82" s="279" t="s">
        <v>122</v>
      </c>
      <c r="CA82" s="279" t="s">
        <v>316</v>
      </c>
      <c r="CB82" s="279" t="s">
        <v>317</v>
      </c>
      <c r="CC82" s="279" t="s">
        <v>318</v>
      </c>
    </row>
    <row r="83" spans="2:81" ht="14.65" customHeight="1">
      <c r="V83" s="1449"/>
      <c r="W83" s="1450"/>
      <c r="X83" s="1450"/>
      <c r="Y83" s="1450"/>
      <c r="Z83" s="1450"/>
      <c r="AA83" s="1450"/>
      <c r="AB83" s="1451"/>
      <c r="BI83" s="638" t="s">
        <v>319</v>
      </c>
      <c r="BJ83" s="638">
        <v>1</v>
      </c>
      <c r="BK83" s="638" t="s">
        <v>320</v>
      </c>
      <c r="BL83" s="706">
        <v>3.79</v>
      </c>
      <c r="BM83" s="665">
        <v>3.9369999999999998</v>
      </c>
      <c r="BN83" s="657">
        <f t="shared" ref="BN83:BN94" si="16">IF(BM83=0,0,BL83/BM83)</f>
        <v>0.96266192532385064</v>
      </c>
      <c r="BO83" s="281">
        <f>IF(SUM(BM83:BM85=0),0,SUM(BL83:BL85)/SUM(BM83:BM85))</f>
        <v>0.96485623003194887</v>
      </c>
      <c r="BP83" s="686">
        <v>0.8</v>
      </c>
      <c r="BQ83" s="706"/>
      <c r="BR83" s="665"/>
      <c r="BS83" s="707">
        <f t="shared" ref="BS83:BS93" si="17">IF(BR83=0,0,BQ83/BR83)</f>
        <v>0</v>
      </c>
      <c r="BT83" s="281">
        <f>IF(SUM(BR83:BR85=0),0,SUM(BQ83:BQ85)/SUM(BR83:BR85))</f>
        <v>0</v>
      </c>
      <c r="BU83" s="657">
        <v>0.8</v>
      </c>
      <c r="BX83" s="642" t="str">
        <f t="shared" ref="BX83:BX94" si="18">TEXT(CONCATENATE(CC83,"/01/20",CB83),"MMM")</f>
        <v>Oct</v>
      </c>
      <c r="BY83" s="643">
        <f>IF(CB83=$CB95,SUMIF($BI83:$BI94,$BX83,$BR83:$BR94),SUMIF($BI83:$BI94,$BX83,$BM83:$BM94))</f>
        <v>3.9369999999999998</v>
      </c>
      <c r="BZ83" s="641">
        <f>IF(IF(CB83=CB95,SUMIF(BI83:BI94,$BX83,BU83:BU94),SUMIF(BI83:BI94,$BX83,BP83:BP94))=0,NA(),IF(CB83=CB95,SUMIF(BI83:BI94,$BX83,BU83:BU94),SUMIF(BI83:BI94,$BX83,BP83:BP94)))</f>
        <v>0.8</v>
      </c>
      <c r="CA83" s="644">
        <f>IF(IF(CB83=CB95,SUMIF(BI83:BI94,$BX83,BS83:BS94),SUMIF(BI83:BI94,$BX83,BN83:BN94))=0,NA(),IF(CB83=CB95,SUMIF(BI83:BI94,$BX83,BS83:BS94),SUMIF(BI83:BI94,$BX83,BN83:BN94)))</f>
        <v>0.96266192532385064</v>
      </c>
      <c r="CB83" s="645">
        <f>CB64</f>
        <v>22</v>
      </c>
      <c r="CC83" s="645">
        <f t="shared" ref="CC83:CC93" si="19">IF(CC84-1&lt;1,CC84+11,CC84-1)</f>
        <v>10</v>
      </c>
    </row>
    <row r="84" spans="2:81" ht="14.65" customHeight="1">
      <c r="V84" s="1449"/>
      <c r="W84" s="1450"/>
      <c r="X84" s="1450"/>
      <c r="Y84" s="1450"/>
      <c r="Z84" s="1450"/>
      <c r="AA84" s="1450"/>
      <c r="AB84" s="1451"/>
      <c r="BI84" s="638" t="s">
        <v>321</v>
      </c>
      <c r="BJ84" s="638">
        <v>2</v>
      </c>
      <c r="BK84" s="638" t="s">
        <v>320</v>
      </c>
      <c r="BL84" s="706">
        <v>3.37</v>
      </c>
      <c r="BM84" s="646">
        <v>3.4710000000000001</v>
      </c>
      <c r="BN84" s="657">
        <f t="shared" si="16"/>
        <v>0.9709017574186114</v>
      </c>
      <c r="BP84" s="686">
        <v>0.8</v>
      </c>
      <c r="BQ84" s="706"/>
      <c r="BR84" s="646"/>
      <c r="BS84" s="686">
        <f t="shared" si="17"/>
        <v>0</v>
      </c>
      <c r="BU84" s="657">
        <v>0.8</v>
      </c>
      <c r="BX84" s="642" t="str">
        <f t="shared" si="18"/>
        <v>Nov</v>
      </c>
      <c r="BY84" s="643">
        <f>IF(CB84=$CB95,SUMIF($BI83:$BI94,$BX84,$BR83:$BR94),SUMIF($BI83:$BI94,$BX84,$BM83:$BM94))</f>
        <v>3.4710000000000001</v>
      </c>
      <c r="BZ84" s="641">
        <f>IF(IF(CB84=CB95,SUMIF(BI83:BI94,$BX84,BU83:BU94),SUMIF(BI83:BI94,$BX84,BP83:BP94))=0,NA(),IF(CB84=CB95,SUMIF(BI83:BI94,$BX84,BU83:BU94),SUMIF(BI83:BI94,$BX84,BP83:BP94)))</f>
        <v>0.8</v>
      </c>
      <c r="CA84" s="644">
        <f>IF(IF(CB84=CB95,SUMIF(BI83:BI94,$BX84,BS83:BS94),SUMIF(BI83:BI94,$BX84,BN83:BN94))=0,NA(),IF(CB84=CB95,SUMIF(BI83:BI94,$BX84,BS83:BS94),SUMIF(BI83:BI94,$BX84,BN83:BN94)))</f>
        <v>0.9709017574186114</v>
      </c>
      <c r="CB84" s="645">
        <f t="shared" ref="CB84:CB95" si="20">CB65</f>
        <v>22</v>
      </c>
      <c r="CC84" s="645">
        <f t="shared" si="19"/>
        <v>11</v>
      </c>
    </row>
    <row r="85" spans="2:81" ht="14.65" customHeight="1">
      <c r="V85" s="1449"/>
      <c r="W85" s="1450"/>
      <c r="X85" s="1450"/>
      <c r="Y85" s="1450"/>
      <c r="Z85" s="1450"/>
      <c r="AA85" s="1450"/>
      <c r="AB85" s="1451"/>
      <c r="BI85" s="638" t="s">
        <v>322</v>
      </c>
      <c r="BJ85" s="638">
        <v>3</v>
      </c>
      <c r="BK85" s="638" t="s">
        <v>320</v>
      </c>
      <c r="BL85" s="706">
        <v>4.0140000000000002</v>
      </c>
      <c r="BM85" s="646">
        <v>4.173</v>
      </c>
      <c r="BN85" s="657">
        <f t="shared" si="16"/>
        <v>0.9618979151689433</v>
      </c>
      <c r="BP85" s="686">
        <v>0.8</v>
      </c>
      <c r="BQ85" s="706"/>
      <c r="BR85" s="646"/>
      <c r="BS85" s="686">
        <f t="shared" si="17"/>
        <v>0</v>
      </c>
      <c r="BU85" s="657">
        <v>0.8</v>
      </c>
      <c r="BX85" s="642" t="str">
        <f t="shared" si="18"/>
        <v>Dec</v>
      </c>
      <c r="BY85" s="643">
        <f>IF(CB85=$CB95,SUMIF($BI83:$BI94,$BX85,$BR83:$BR94),SUMIF($BI83:$BI94,$BX85,$BM83:$BM94))</f>
        <v>4.173</v>
      </c>
      <c r="BZ85" s="641">
        <f>IF(IF(CB85=CB95,SUMIF(BI83:BI94,$BX85,BU83:BU94),SUMIF(BI83:BI94,$BX85,BP83:BP94))=0,NA(),IF(CB85=CB95,SUMIF(BI83:BI94,$BX85,BU83:BU94),SUMIF(BI83:BI94,$BX85,BP83:BP94)))</f>
        <v>0.8</v>
      </c>
      <c r="CA85" s="644">
        <f>IF(IF(CB85=CB95,SUMIF(BI83:BI94,$BX85,BS83:BS94),SUMIF(BI83:BI94,$BX85,BN83:BN94))=0,NA(),IF(CB85=CB95,SUMIF(BI83:BI94,$BX85,BS83:BS94),SUMIF(BI83:BI94,$BX85,BN83:BN94)))</f>
        <v>0.9618979151689433</v>
      </c>
      <c r="CB85" s="645">
        <f t="shared" si="20"/>
        <v>22</v>
      </c>
      <c r="CC85" s="645">
        <f t="shared" si="19"/>
        <v>12</v>
      </c>
    </row>
    <row r="86" spans="2:81" ht="14.65" customHeight="1">
      <c r="V86" s="1449"/>
      <c r="W86" s="1450"/>
      <c r="X86" s="1450"/>
      <c r="Y86" s="1450"/>
      <c r="Z86" s="1450"/>
      <c r="AA86" s="1450"/>
      <c r="AB86" s="1451"/>
      <c r="BI86" s="638" t="s">
        <v>323</v>
      </c>
      <c r="BJ86" s="638">
        <v>4</v>
      </c>
      <c r="BK86" s="638" t="s">
        <v>324</v>
      </c>
      <c r="BL86" s="706">
        <v>3.4119999999999999</v>
      </c>
      <c r="BM86" s="646">
        <v>3.5640000000000001</v>
      </c>
      <c r="BN86" s="657">
        <f t="shared" si="16"/>
        <v>0.95735129068462399</v>
      </c>
      <c r="BO86" s="281">
        <f>IF(SUM(BM86:BM88=0),0,SUM(BL86:BL88)/SUM(BM86:BM88))</f>
        <v>0.96176470588235297</v>
      </c>
      <c r="BP86" s="686">
        <v>0.8</v>
      </c>
      <c r="BQ86" s="706"/>
      <c r="BR86" s="646"/>
      <c r="BS86" s="686">
        <f t="shared" si="17"/>
        <v>0</v>
      </c>
      <c r="BT86" s="281">
        <f>IF(SUM(BR86:BR88=0),0,SUM(BQ86:BQ88)/SUM(BR86:BR88))</f>
        <v>0</v>
      </c>
      <c r="BU86" s="657">
        <v>0.8</v>
      </c>
      <c r="BX86" s="642" t="str">
        <f t="shared" si="18"/>
        <v>Jan</v>
      </c>
      <c r="BY86" s="643">
        <f>IF(CB86=$CB95,SUMIF($BI83:$BI94,$BX86,$BR83:$BR94),SUMIF($BI83:$BI94,$BX86,$BM83:$BM94))</f>
        <v>3.5640000000000001</v>
      </c>
      <c r="BZ86" s="641">
        <f>IF(IF(CB86=CB95,SUMIF(BI83:BI94,$BX86,BU83:BU94),SUMIF(BI83:BI94,$BX86,BP83:BP94))=0,NA(),IF(CB86=CB95,SUMIF(BI83:BI94,$BX86,BU83:BU94),SUMIF(BI83:BI94,$BX86,BP83:BP94)))</f>
        <v>0.8</v>
      </c>
      <c r="CA86" s="644">
        <f>IF(IF(CB86=CB95,SUMIF(BI83:BI94,$BX86,BS83:BS94),SUMIF(BI83:BI94,$BX86,BN83:BN94))=0,NA(),IF(CB86=CB95,SUMIF(BI83:BI94,$BX86,BS83:BS94),SUMIF(BI83:BI94,$BX86,BN83:BN94)))</f>
        <v>0.95735129068462399</v>
      </c>
      <c r="CB86" s="645">
        <f t="shared" si="20"/>
        <v>22</v>
      </c>
      <c r="CC86" s="645">
        <f t="shared" si="19"/>
        <v>1</v>
      </c>
    </row>
    <row r="87" spans="2:81" ht="14.65" customHeight="1">
      <c r="V87" s="1452"/>
      <c r="W87" s="1453"/>
      <c r="X87" s="1453"/>
      <c r="Y87" s="1453"/>
      <c r="Z87" s="1453"/>
      <c r="AA87" s="1453"/>
      <c r="AB87" s="1454"/>
      <c r="BI87" s="638" t="s">
        <v>325</v>
      </c>
      <c r="BJ87" s="638">
        <v>5</v>
      </c>
      <c r="BK87" s="638" t="s">
        <v>324</v>
      </c>
      <c r="BL87" s="639">
        <v>3.5710000000000002</v>
      </c>
      <c r="BM87" s="639">
        <v>3.7490000000000001</v>
      </c>
      <c r="BN87" s="657">
        <f t="shared" si="16"/>
        <v>0.95252067217924785</v>
      </c>
      <c r="BP87" s="686">
        <v>0.8</v>
      </c>
      <c r="BQ87" s="639"/>
      <c r="BR87" s="639"/>
      <c r="BS87" s="686">
        <f t="shared" si="17"/>
        <v>0</v>
      </c>
      <c r="BU87" s="657">
        <v>0.8</v>
      </c>
      <c r="BX87" s="642" t="str">
        <f t="shared" si="18"/>
        <v>Feb</v>
      </c>
      <c r="BY87" s="643">
        <f>IF(CB87=$CB95,SUMIF($BI83:$BI94,$BX87,$BR83:$BR94),SUMIF($BI83:$BI94,$BX87,$BM83:$BM94))</f>
        <v>3.7490000000000001</v>
      </c>
      <c r="BZ87" s="641">
        <f>IF(IF(CB87=CB95,SUMIF(BI83:BI94,$BX87,BU83:BU94),SUMIF(BI83:BI94,$BX87,BP83:BP94))=0,NA(),IF(CB87=CB95,SUMIF(BI83:BI94,$BX87,BU83:BU94),SUMIF(BI83:BI94,$BX87,BP83:BP94)))</f>
        <v>0.8</v>
      </c>
      <c r="CA87" s="644">
        <f>IF(IF(CB87=CB95,SUMIF(BI83:BI94,$BX87,BS83:BS94),SUMIF(BI83:BI94,$BX87,BN83:BN94))=0,NA(),IF(CB87=CB95,SUMIF(BI83:BI94,$BX87,BS83:BS94),SUMIF(BI83:BI94,$BX87,BN83:BN94)))</f>
        <v>0.95252067217924785</v>
      </c>
      <c r="CB87" s="645">
        <f t="shared" si="20"/>
        <v>22</v>
      </c>
      <c r="CC87" s="645">
        <f t="shared" si="19"/>
        <v>2</v>
      </c>
    </row>
    <row r="88" spans="2:81" ht="14.65" customHeight="1">
      <c r="BI88" s="638" t="s">
        <v>326</v>
      </c>
      <c r="BJ88" s="638">
        <v>6</v>
      </c>
      <c r="BK88" s="638" t="s">
        <v>324</v>
      </c>
      <c r="BL88" s="639">
        <v>4.4619999999999997</v>
      </c>
      <c r="BM88" s="639">
        <v>4.5869999999999997</v>
      </c>
      <c r="BN88" s="657">
        <f t="shared" si="16"/>
        <v>0.97274907346849793</v>
      </c>
      <c r="BP88" s="686">
        <v>0.8</v>
      </c>
      <c r="BQ88" s="639"/>
      <c r="BR88" s="639"/>
      <c r="BS88" s="686">
        <f t="shared" si="17"/>
        <v>0</v>
      </c>
      <c r="BU88" s="657">
        <v>0.8</v>
      </c>
      <c r="BX88" s="642" t="str">
        <f t="shared" si="18"/>
        <v>Mar</v>
      </c>
      <c r="BY88" s="643">
        <f>IF(CB88=$CB95,SUMIF($BI83:$BI94,$BX88,$BR83:$BR94),SUMIF($BI83:$BI94,$BX88,$BM83:$BM94))</f>
        <v>4.5869999999999997</v>
      </c>
      <c r="BZ88" s="641">
        <f>IF(IF(CB88=CB95,SUMIF(BI83:BI94,$BX88,BU83:BU94),SUMIF(BI83:BI94,$BX88,BP83:BP94))=0,NA(),IF(CB88=CB95,SUMIF(BI83:BI94,$BX88,BU83:BU94),SUMIF(BI83:BI94,$BX88,BP83:BP94)))</f>
        <v>0.8</v>
      </c>
      <c r="CA88" s="644">
        <f>IF(IF(CB88=CB95,SUMIF(BI83:BI94,$BX88,BS83:BS94),SUMIF(BI83:BI94,$BX88,BN83:BN94))=0,NA(),IF(CB88=CB95,SUMIF(BI83:BI94,$BX88,BS83:BS94),SUMIF(BI83:BI94,$BX88,BN83:BN94)))</f>
        <v>0.97274907346849793</v>
      </c>
      <c r="CB88" s="645">
        <f t="shared" si="20"/>
        <v>22</v>
      </c>
      <c r="CC88" s="645">
        <f t="shared" si="19"/>
        <v>3</v>
      </c>
    </row>
    <row r="89" spans="2:81" ht="14.65" customHeight="1">
      <c r="BI89" s="638" t="s">
        <v>327</v>
      </c>
      <c r="BJ89" s="638">
        <v>7</v>
      </c>
      <c r="BK89" s="638" t="s">
        <v>328</v>
      </c>
      <c r="BL89" s="639">
        <v>3.4279999999999999</v>
      </c>
      <c r="BM89" s="639">
        <v>3.5150000000000001</v>
      </c>
      <c r="BN89" s="657">
        <f t="shared" si="16"/>
        <v>0.97524893314366989</v>
      </c>
      <c r="BO89" s="281">
        <f>IF(SUM(BM89:BM91=0),0,SUM(BL89:BL91)/SUM(BM89:BM91))</f>
        <v>0.97382901623943108</v>
      </c>
      <c r="BP89" s="686">
        <v>0.8</v>
      </c>
      <c r="BQ89" s="639"/>
      <c r="BR89" s="639"/>
      <c r="BS89" s="686">
        <f t="shared" si="17"/>
        <v>0</v>
      </c>
      <c r="BT89" s="281">
        <f>IF(SUM(BR89:BR91=0),0,SUM(BQ89:BQ91)/SUM(BR89:BR91))</f>
        <v>0</v>
      </c>
      <c r="BU89" s="657">
        <v>0.8</v>
      </c>
      <c r="BX89" s="642" t="str">
        <f t="shared" si="18"/>
        <v>Apr</v>
      </c>
      <c r="BY89" s="643">
        <f>IF(CB89=$CB95,SUMIF($BI83:$BI94,$BX89,$BR83:$BR94),SUMIF($BI83:$BI94,$BX89,$BM83:$BM94))</f>
        <v>3.5150000000000001</v>
      </c>
      <c r="BZ89" s="641">
        <f>IF(IF(CB89=CB95,SUMIF(BI83:BI94,$BX89,BU83:BU94),SUMIF(BI83:BI94,$BX89,BP83:BP94))=0,NA(),IF(CB89=CB95,SUMIF(BI83:BI94,$BX89,BU83:BU94),SUMIF(BI83:BI94,$BX89,BP83:BP94)))</f>
        <v>0.8</v>
      </c>
      <c r="CA89" s="644">
        <f>IF(IF(CB89=CB95,SUMIF(BI83:BI94,$BX89,BS83:BS94),SUMIF(BI83:BI94,$BX89,BN83:BN94))=0,NA(),IF(CB89=CB95,SUMIF(BI83:BI94,$BX89,BS83:BS94),SUMIF(BI83:BI94,$BX89,BN83:BN94)))</f>
        <v>0.97524893314366989</v>
      </c>
      <c r="CB89" s="645">
        <f t="shared" si="20"/>
        <v>22</v>
      </c>
      <c r="CC89" s="645">
        <f t="shared" si="19"/>
        <v>4</v>
      </c>
    </row>
    <row r="90" spans="2:81" ht="14.65" customHeight="1">
      <c r="B90" s="531" t="s">
        <v>499</v>
      </c>
      <c r="C90" s="542"/>
      <c r="D90" s="542"/>
      <c r="E90" s="542"/>
      <c r="F90" s="542"/>
      <c r="G90" s="543"/>
      <c r="H90" s="543"/>
      <c r="I90" s="543"/>
      <c r="J90" s="543"/>
      <c r="K90" s="543"/>
      <c r="L90" s="544"/>
      <c r="M90" s="542"/>
      <c r="N90" s="542"/>
      <c r="O90" s="532"/>
      <c r="P90" s="532"/>
      <c r="Q90" s="532"/>
      <c r="R90" s="532"/>
      <c r="S90" s="532"/>
      <c r="T90" s="532"/>
      <c r="U90" s="532"/>
      <c r="V90" s="532"/>
      <c r="W90" s="532"/>
      <c r="X90" s="532"/>
      <c r="Y90" s="532"/>
      <c r="Z90" s="532"/>
      <c r="AA90" s="532"/>
      <c r="AB90" s="532"/>
      <c r="AC90" s="532"/>
      <c r="AD90" s="532"/>
      <c r="AE90" s="532"/>
      <c r="AF90" s="532"/>
      <c r="AG90" s="532"/>
      <c r="AH90" s="532"/>
      <c r="AI90" s="532"/>
      <c r="AJ90" s="532"/>
      <c r="AK90" s="532"/>
      <c r="AL90" s="532"/>
      <c r="AM90" s="532"/>
      <c r="AN90" s="532"/>
      <c r="AO90" s="532"/>
      <c r="AP90" s="532"/>
      <c r="AQ90" s="532"/>
      <c r="AR90" s="532"/>
      <c r="AS90" s="532"/>
      <c r="AT90" s="532"/>
      <c r="AU90" s="532"/>
      <c r="AV90" s="532"/>
      <c r="AW90" s="532"/>
      <c r="AX90" s="532"/>
      <c r="AY90" s="532"/>
      <c r="AZ90" s="532"/>
      <c r="BA90" s="532"/>
      <c r="BB90" s="532"/>
      <c r="BC90" s="532"/>
      <c r="BD90" s="532"/>
      <c r="BE90" s="532"/>
      <c r="BI90" s="638" t="s">
        <v>329</v>
      </c>
      <c r="BJ90" s="638">
        <v>8</v>
      </c>
      <c r="BK90" s="638" t="s">
        <v>328</v>
      </c>
      <c r="BL90" s="639">
        <v>2.7050000000000001</v>
      </c>
      <c r="BM90" s="639">
        <v>2.8</v>
      </c>
      <c r="BN90" s="657">
        <f t="shared" si="16"/>
        <v>0.96607142857142869</v>
      </c>
      <c r="BP90" s="686">
        <v>0.8</v>
      </c>
      <c r="BQ90" s="639"/>
      <c r="BR90" s="639"/>
      <c r="BS90" s="686">
        <f t="shared" si="17"/>
        <v>0</v>
      </c>
      <c r="BU90" s="657">
        <v>0.8</v>
      </c>
      <c r="BX90" s="642" t="str">
        <f t="shared" si="18"/>
        <v>May</v>
      </c>
      <c r="BY90" s="643">
        <f>IF(CB90=$CB95,SUMIF($BI83:$BI94,$BX90,$BR83:$BR94),SUMIF($BI83:$BI94,$BX90,$BM83:$BM94))</f>
        <v>2.8</v>
      </c>
      <c r="BZ90" s="641">
        <f>IF(IF(CB90=CB95,SUMIF(BI83:BI94,$BX90,BU83:BU94),SUMIF(BI83:BI94,$BX90,BP83:BP94))=0,NA(),IF(CB90=CB95,SUMIF(BI83:BI94,$BX90,BU83:BU94),SUMIF(BI83:BI94,$BX90,BP83:BP94)))</f>
        <v>0.8</v>
      </c>
      <c r="CA90" s="644">
        <f>IF(IF(CB90=CB95,SUMIF(BI83:BI94,$BX90,BS83:BS94),SUMIF(BI83:BI94,$BX90,BN83:BN94))=0,NA(),IF(CB90=CB95,SUMIF(BI83:BI94,$BX90,BS83:BS94),SUMIF(BI83:BI94,$BX90,BN83:BN94)))</f>
        <v>0.96607142857142869</v>
      </c>
      <c r="CB90" s="645">
        <f t="shared" si="20"/>
        <v>22</v>
      </c>
      <c r="CC90" s="645">
        <f t="shared" si="19"/>
        <v>5</v>
      </c>
    </row>
    <row r="91" spans="2:81" ht="14.65" customHeight="1">
      <c r="BI91" s="638" t="s">
        <v>331</v>
      </c>
      <c r="BJ91" s="638">
        <v>9</v>
      </c>
      <c r="BK91" s="638" t="s">
        <v>328</v>
      </c>
      <c r="BL91" s="639">
        <v>1.123</v>
      </c>
      <c r="BM91" s="639">
        <v>1.1359999999999999</v>
      </c>
      <c r="BN91" s="657">
        <f t="shared" si="16"/>
        <v>0.98855633802816911</v>
      </c>
      <c r="BP91" s="686">
        <v>0.8</v>
      </c>
      <c r="BQ91" s="639"/>
      <c r="BR91" s="639"/>
      <c r="BS91" s="686">
        <f t="shared" si="17"/>
        <v>0</v>
      </c>
      <c r="BU91" s="657">
        <v>0.8</v>
      </c>
      <c r="BX91" s="642" t="str">
        <f t="shared" si="18"/>
        <v>Jun</v>
      </c>
      <c r="BY91" s="643">
        <f>IF(CB91=$CB95,SUMIF($BI83:$BI94,$BX91,$BR83:$BR94),SUMIF($BI83:$BI94,$BX91,$BM83:$BM94))</f>
        <v>1.1359999999999999</v>
      </c>
      <c r="BZ91" s="641">
        <f>IF(IF(CB91=CB95,SUMIF(BI83:BI94,$BX91,BU83:BU94),SUMIF(BI83:BI94,$BX91,BP83:BP94))=0,NA(),IF(CB91=CB95,SUMIF(BI83:BI94,$BX91,BU83:BU94),SUMIF(BI83:BI94,$BX91,BP83:BP94)))</f>
        <v>0.8</v>
      </c>
      <c r="CA91" s="644">
        <f>IF(IF(CB91=CB95,SUMIF(BI83:BI94,$BX91,BS83:BS94),SUMIF(BI83:BI94,$BX91,BN83:BN94))=0,NA(),IF(CB91=CB95,SUMIF(BI83:BI94,$BX91,BS83:BS94),SUMIF(BI83:BI94,$BX91,BN83:BN94)))</f>
        <v>0.98855633802816911</v>
      </c>
      <c r="CB91" s="645">
        <f t="shared" si="20"/>
        <v>22</v>
      </c>
      <c r="CC91" s="645">
        <f t="shared" si="19"/>
        <v>6</v>
      </c>
    </row>
    <row r="92" spans="2:81" ht="14.65" customHeight="1">
      <c r="B92" s="1461" t="s">
        <v>458</v>
      </c>
      <c r="C92" s="1461"/>
      <c r="D92" s="1461"/>
      <c r="E92" s="1461"/>
      <c r="F92" s="1461"/>
      <c r="G92" s="1461"/>
      <c r="H92" s="1461"/>
      <c r="I92" s="1461"/>
      <c r="J92" s="1461"/>
      <c r="K92" s="1461" t="s">
        <v>333</v>
      </c>
      <c r="L92" s="1461"/>
      <c r="M92" s="1461"/>
      <c r="N92" s="1461"/>
      <c r="O92" s="1461"/>
      <c r="P92" s="1461"/>
      <c r="Q92" s="1462" t="s">
        <v>334</v>
      </c>
      <c r="R92" s="1462"/>
      <c r="S92" s="1462"/>
      <c r="T92" s="1461" t="s">
        <v>335</v>
      </c>
      <c r="U92" s="1461"/>
      <c r="V92" s="1461"/>
      <c r="W92" s="1461"/>
      <c r="X92" s="1461"/>
      <c r="Y92" s="1461"/>
      <c r="Z92" s="1461"/>
      <c r="AA92" s="1461"/>
      <c r="AB92" s="1461"/>
      <c r="AC92" s="391"/>
      <c r="AD92" s="391"/>
      <c r="AE92" s="1461" t="s">
        <v>458</v>
      </c>
      <c r="AF92" s="1461"/>
      <c r="AG92" s="1461"/>
      <c r="AH92" s="1461"/>
      <c r="AI92" s="1461"/>
      <c r="AJ92" s="1461"/>
      <c r="AK92" s="1461"/>
      <c r="AL92" s="1461"/>
      <c r="AM92" s="1461"/>
      <c r="AN92" s="1461" t="s">
        <v>333</v>
      </c>
      <c r="AO92" s="1461"/>
      <c r="AP92" s="1461"/>
      <c r="AQ92" s="1461"/>
      <c r="AR92" s="1461"/>
      <c r="AS92" s="1461"/>
      <c r="AT92" s="1462" t="s">
        <v>334</v>
      </c>
      <c r="AU92" s="1462"/>
      <c r="AV92" s="1462"/>
      <c r="AW92" s="1461" t="s">
        <v>335</v>
      </c>
      <c r="AX92" s="1461"/>
      <c r="AY92" s="1461"/>
      <c r="AZ92" s="1461"/>
      <c r="BA92" s="1461"/>
      <c r="BB92" s="1461"/>
      <c r="BC92" s="1461"/>
      <c r="BD92" s="1461"/>
      <c r="BE92" s="1461"/>
      <c r="BI92" s="638" t="s">
        <v>337</v>
      </c>
      <c r="BJ92" s="638">
        <v>10</v>
      </c>
      <c r="BK92" s="638" t="s">
        <v>338</v>
      </c>
      <c r="BL92" s="639">
        <v>0.79400000000000004</v>
      </c>
      <c r="BM92" s="639">
        <v>0.82299999999999995</v>
      </c>
      <c r="BN92" s="657">
        <f t="shared" si="16"/>
        <v>0.96476306196840833</v>
      </c>
      <c r="BO92" s="281">
        <f>IF(SUM(BM92:BM94=0),0,SUM(BL92:BL94)/SUM(BM92:BM94))</f>
        <v>0.94633077765607887</v>
      </c>
      <c r="BP92" s="686">
        <v>0.8</v>
      </c>
      <c r="BQ92" s="639"/>
      <c r="BR92" s="639"/>
      <c r="BS92" s="686">
        <f t="shared" si="17"/>
        <v>0</v>
      </c>
      <c r="BT92" s="281">
        <f>IF(SUM(BR92:BR94=0),0,SUM(BQ92:BQ94)/SUM(BR92:BR94))</f>
        <v>0</v>
      </c>
      <c r="BU92" s="657">
        <v>0.8</v>
      </c>
      <c r="BX92" s="642" t="str">
        <f t="shared" si="18"/>
        <v>Jul</v>
      </c>
      <c r="BY92" s="643">
        <f>IF(CB92=$CB95,SUMIF($BI83:$BI94,$BX92,$BR83:$BR94),SUMIF($BI83:$BI94,$BX92,$BM83:$BM94))</f>
        <v>0.82299999999999995</v>
      </c>
      <c r="BZ92" s="641">
        <f>IF(IF(CB92=CB95,SUMIF(BI83:BI94,$BX92,BU83:BU94),SUMIF(BI83:BI94,$BX92,BP83:BP94))=0,NA(),IF(CB92=CB95,SUMIF(BI83:BI94,$BX92,BU83:BU94),SUMIF(BI83:BI94,$BX92,BP83:BP94)))</f>
        <v>0.8</v>
      </c>
      <c r="CA92" s="644">
        <f>IF(IF(CB92=CB95,SUMIF(BI83:BI94,$BX92,BS83:BS94),SUMIF(BI83:BI94,$BX92,BN83:BN94))=0,NA(),IF(CB92=CB95,SUMIF(BI83:BI94,$BX92,BS83:BS94),SUMIF(BI83:BI94,$BX92,BN83:BN94)))</f>
        <v>0.96476306196840833</v>
      </c>
      <c r="CB92" s="645">
        <f t="shared" si="20"/>
        <v>22</v>
      </c>
      <c r="CC92" s="645">
        <f t="shared" si="19"/>
        <v>7</v>
      </c>
    </row>
    <row r="93" spans="2:81" ht="14.65" customHeight="1">
      <c r="B93" s="1455" t="s">
        <v>332</v>
      </c>
      <c r="C93" s="1456"/>
      <c r="D93" s="1456"/>
      <c r="E93" s="1456"/>
      <c r="F93" s="1456"/>
      <c r="G93" s="1456"/>
      <c r="H93" s="1456"/>
      <c r="I93" s="1456"/>
      <c r="J93" s="1457"/>
      <c r="K93" s="1461" t="s">
        <v>23</v>
      </c>
      <c r="L93" s="1461"/>
      <c r="M93" s="1461"/>
      <c r="N93" s="1461" t="s">
        <v>339</v>
      </c>
      <c r="O93" s="1461"/>
      <c r="P93" s="1461"/>
      <c r="Q93" s="1462"/>
      <c r="R93" s="1462"/>
      <c r="S93" s="1462"/>
      <c r="T93" s="1462" t="s">
        <v>340</v>
      </c>
      <c r="U93" s="1462"/>
      <c r="V93" s="1462"/>
      <c r="W93" s="1462" t="s">
        <v>341</v>
      </c>
      <c r="X93" s="1462"/>
      <c r="Y93" s="1462"/>
      <c r="Z93" s="1462" t="s">
        <v>342</v>
      </c>
      <c r="AA93" s="1462"/>
      <c r="AB93" s="1462"/>
      <c r="AC93" s="391"/>
      <c r="AD93" s="391"/>
      <c r="AE93" s="1455" t="s">
        <v>332</v>
      </c>
      <c r="AF93" s="1456"/>
      <c r="AG93" s="1456"/>
      <c r="AH93" s="1456"/>
      <c r="AI93" s="1456"/>
      <c r="AJ93" s="1456"/>
      <c r="AK93" s="1456"/>
      <c r="AL93" s="1456"/>
      <c r="AM93" s="1457"/>
      <c r="AN93" s="1461" t="s">
        <v>23</v>
      </c>
      <c r="AO93" s="1461"/>
      <c r="AP93" s="1461"/>
      <c r="AQ93" s="1461" t="s">
        <v>339</v>
      </c>
      <c r="AR93" s="1461"/>
      <c r="AS93" s="1461"/>
      <c r="AT93" s="1462"/>
      <c r="AU93" s="1462"/>
      <c r="AV93" s="1462"/>
      <c r="AW93" s="1462" t="s">
        <v>340</v>
      </c>
      <c r="AX93" s="1462"/>
      <c r="AY93" s="1462"/>
      <c r="AZ93" s="1462" t="s">
        <v>341</v>
      </c>
      <c r="BA93" s="1462"/>
      <c r="BB93" s="1462"/>
      <c r="BC93" s="1462" t="s">
        <v>342</v>
      </c>
      <c r="BD93" s="1462"/>
      <c r="BE93" s="1462"/>
      <c r="BI93" s="638" t="s">
        <v>343</v>
      </c>
      <c r="BJ93" s="638">
        <v>11</v>
      </c>
      <c r="BK93" s="638" t="s">
        <v>338</v>
      </c>
      <c r="BL93" s="639">
        <v>0.86099999999999999</v>
      </c>
      <c r="BM93" s="639">
        <v>0.89</v>
      </c>
      <c r="BN93" s="657">
        <f t="shared" si="16"/>
        <v>0.96741573033707862</v>
      </c>
      <c r="BP93" s="686">
        <v>0.8</v>
      </c>
      <c r="BQ93" s="639"/>
      <c r="BR93" s="639"/>
      <c r="BS93" s="686">
        <f t="shared" si="17"/>
        <v>0</v>
      </c>
      <c r="BU93" s="657">
        <v>0.8</v>
      </c>
      <c r="BX93" s="642" t="str">
        <f t="shared" si="18"/>
        <v>Aug</v>
      </c>
      <c r="BY93" s="643">
        <f>IF(CB93=$CB95,SUMIF($BI83:$BI94,$BX93,$BR83:$BR94),SUMIF($BI83:$BI94,$BX93,$BM83:$BM94))</f>
        <v>0.89</v>
      </c>
      <c r="BZ93" s="641">
        <f>IF(IF(CB93=CB95,SUMIF(BI83:BI94,$BX93,BU83:BU94),SUMIF(BI83:BI94,$BX93,BP83:BP94))=0,NA(),IF(CB93=CB95,SUMIF(BI83:BI94,$BX93,BU83:BU94),SUMIF(BI83:BI94,$BX93,BP83:BP94)))</f>
        <v>0.8</v>
      </c>
      <c r="CA93" s="644">
        <f>IF(IF(CB93=CB95,SUMIF(BI83:BI94,$BX93,BS83:BS94),SUMIF(BI83:BI94,$BX93,BN83:BN94))=0,NA(),IF(CB93=CB95,SUMIF(BI83:BI94,$BX93,BS83:BS94),SUMIF(BI83:BI94,$BX93,BN83:BN94)))</f>
        <v>0.96741573033707862</v>
      </c>
      <c r="CB93" s="645">
        <f t="shared" si="20"/>
        <v>22</v>
      </c>
      <c r="CC93" s="645">
        <f t="shared" si="19"/>
        <v>8</v>
      </c>
    </row>
    <row r="94" spans="2:81" ht="14.65" customHeight="1">
      <c r="B94" s="1458"/>
      <c r="C94" s="1459"/>
      <c r="D94" s="1459"/>
      <c r="E94" s="1459"/>
      <c r="F94" s="1459"/>
      <c r="G94" s="1459"/>
      <c r="H94" s="1459"/>
      <c r="I94" s="1459"/>
      <c r="J94" s="1460"/>
      <c r="K94" s="1461"/>
      <c r="L94" s="1461"/>
      <c r="M94" s="1461"/>
      <c r="N94" s="1461"/>
      <c r="O94" s="1461"/>
      <c r="P94" s="1461"/>
      <c r="Q94" s="1462"/>
      <c r="R94" s="1462"/>
      <c r="S94" s="1462"/>
      <c r="T94" s="1462"/>
      <c r="U94" s="1462"/>
      <c r="V94" s="1462"/>
      <c r="W94" s="1462"/>
      <c r="X94" s="1462"/>
      <c r="Y94" s="1462"/>
      <c r="Z94" s="1462"/>
      <c r="AA94" s="1462"/>
      <c r="AB94" s="1462"/>
      <c r="AC94" s="391"/>
      <c r="AD94" s="391"/>
      <c r="AE94" s="1458"/>
      <c r="AF94" s="1459"/>
      <c r="AG94" s="1459"/>
      <c r="AH94" s="1459"/>
      <c r="AI94" s="1459"/>
      <c r="AJ94" s="1459"/>
      <c r="AK94" s="1459"/>
      <c r="AL94" s="1459"/>
      <c r="AM94" s="1460"/>
      <c r="AN94" s="1461"/>
      <c r="AO94" s="1461"/>
      <c r="AP94" s="1461"/>
      <c r="AQ94" s="1461"/>
      <c r="AR94" s="1461"/>
      <c r="AS94" s="1461"/>
      <c r="AT94" s="1462"/>
      <c r="AU94" s="1462"/>
      <c r="AV94" s="1462"/>
      <c r="AW94" s="1462"/>
      <c r="AX94" s="1462"/>
      <c r="AY94" s="1462"/>
      <c r="AZ94" s="1462"/>
      <c r="BA94" s="1462"/>
      <c r="BB94" s="1462"/>
      <c r="BC94" s="1462"/>
      <c r="BD94" s="1462"/>
      <c r="BE94" s="1462"/>
      <c r="BI94" s="638" t="s">
        <v>344</v>
      </c>
      <c r="BJ94" s="638">
        <v>12</v>
      </c>
      <c r="BK94" s="638" t="s">
        <v>338</v>
      </c>
      <c r="BL94" s="639">
        <v>1.8009999999999999</v>
      </c>
      <c r="BM94" s="639">
        <v>1.9390000000000001</v>
      </c>
      <c r="BN94" s="657">
        <f t="shared" si="16"/>
        <v>0.92882929345023202</v>
      </c>
      <c r="BP94" s="686">
        <v>0.8</v>
      </c>
      <c r="BQ94" s="639"/>
      <c r="BR94" s="639"/>
      <c r="BS94" s="686">
        <f>ROUND(IF(BR94=0,0,BQ94/BR94),1)</f>
        <v>0</v>
      </c>
      <c r="BU94" s="657">
        <v>0.8</v>
      </c>
      <c r="BX94" s="642" t="str">
        <f t="shared" si="18"/>
        <v>Sep</v>
      </c>
      <c r="BY94" s="643">
        <f>IF(CB94=$CB95,SUMIF($BI83:$BI94,$BX94,$BR83:$BR94),SUMIF($BI83:$BI94,$BX94,$BM83:$BM94))</f>
        <v>1.9390000000000001</v>
      </c>
      <c r="BZ94" s="641">
        <f>IF(IF(CB94=CB95,SUMIF(BI83:BI94,$BX94,BU83:BU94),SUMIF(BI83:BI94,$BX94,BP83:BP94))=0,NA(),IF(CB94=CB95,SUMIF(BI83:BI94,$BX94,BU83:BU94),SUMIF(BI83:BI94,$BX94,BP83:BP94)))</f>
        <v>0.8</v>
      </c>
      <c r="CA94" s="644">
        <f>IF(IF(CB94=CB95,SUMIF(BI83:BI94,$BX94,BS83:BS94),SUMIF(BI83:BI94,$BX94,BN83:BN94))=0,NA(),IF(CB94=CB95,SUMIF(BI83:BI94,$BX94,BS83:BS94),SUMIF(BI83:BI94,$BX94,BN83:BN94)))</f>
        <v>0.92882929345023202</v>
      </c>
      <c r="CB94" s="645">
        <f t="shared" si="20"/>
        <v>22</v>
      </c>
      <c r="CC94" s="645">
        <f>IF(CC95-1&lt;1,CC95+11,CC95-1)</f>
        <v>9</v>
      </c>
    </row>
    <row r="95" spans="2:81" ht="14.65" customHeight="1">
      <c r="B95" s="1177" t="s">
        <v>465</v>
      </c>
      <c r="C95" s="1178"/>
      <c r="D95" s="1178"/>
      <c r="E95" s="1178"/>
      <c r="F95" s="1178"/>
      <c r="G95" s="1178"/>
      <c r="H95" s="1178"/>
      <c r="I95" s="1178"/>
      <c r="J95" s="1178"/>
      <c r="K95" s="1430">
        <f>SUMIF(CC!$BJ$121:$BJ$132,Cover!$M$36,CC!$BN$121:$BN$132)</f>
        <v>8.1018518518518516E-5</v>
      </c>
      <c r="L95" s="1430"/>
      <c r="M95" s="1430"/>
      <c r="N95" s="1430">
        <f>SUMIF(BSS!$BK$161:$BK$172,Cover!$M$35,CC!$BO$121:$BO$132)</f>
        <v>7.6388888888888887E-5</v>
      </c>
      <c r="O95" s="1430"/>
      <c r="P95" s="1430"/>
      <c r="Q95" s="1463">
        <f>SUMIF(CC!$BJ$121:$BJ$132,Cover!$M$36,CC!$BU$121:$BU$132)</f>
        <v>6.9444444444444447E-4</v>
      </c>
      <c r="R95" s="1463"/>
      <c r="S95" s="1463"/>
      <c r="T95" s="1430">
        <f>IF(Cover!$M$36=1,SUMIF($BJ$121:$BJ$132,12,$BN$121:$BN$132),SUMIF(CC!$BJ$121:$BJ$132,Cover!$M$36-1,CC!$BS$121:$BS$132))</f>
        <v>1.6203703703703703E-4</v>
      </c>
      <c r="U95" s="1430"/>
      <c r="V95" s="1430"/>
      <c r="W95" s="1430">
        <f>SUMIF(CC!$BJ$121:$BJ$132,Cover!$M$36,CC!$BS$121:$BS$132)</f>
        <v>0</v>
      </c>
      <c r="X95" s="1430"/>
      <c r="Y95" s="1430"/>
      <c r="Z95" s="1430">
        <f>SUMIF(CC!$BK$121:$BK$132,Cover!$M$35,CC!$BT$121:$BT$132)</f>
        <v>0</v>
      </c>
      <c r="AA95" s="1430"/>
      <c r="AB95" s="1430"/>
      <c r="AC95" s="391"/>
      <c r="AD95" s="391"/>
      <c r="AE95" s="1177" t="s">
        <v>469</v>
      </c>
      <c r="AF95" s="1178"/>
      <c r="AG95" s="1178"/>
      <c r="AH95" s="1178"/>
      <c r="AI95" s="1178"/>
      <c r="AJ95" s="1178"/>
      <c r="AK95" s="1178"/>
      <c r="AL95" s="1178"/>
      <c r="AM95" s="1178"/>
      <c r="AN95" s="1411">
        <f>SUMIF(CC!$BJ$140:$BJ$151,Cover!$M$36,CC!$BN$140:$BN$151)</f>
        <v>0.98333333333333328</v>
      </c>
      <c r="AO95" s="1411"/>
      <c r="AP95" s="1411"/>
      <c r="AQ95" s="1411">
        <f>SUMIF(CC!$BK$140:$BK$151,Cover!$M$35,CC!$BO$140:$BO$151)</f>
        <v>0.98160919540229885</v>
      </c>
      <c r="AR95" s="1411"/>
      <c r="AS95" s="1411"/>
      <c r="AT95" s="1176">
        <f>SUMIF(CC!$BJ$140:$BJ$151,Cover!$M$36,CC!$BU$140:$BU$151)</f>
        <v>0.8</v>
      </c>
      <c r="AU95" s="1176"/>
      <c r="AV95" s="1176"/>
      <c r="AW95" s="1411">
        <f>IF(Cover!$M$36=1,SUMIF($BJ$140:$BJ$151,12,$BN$140:$BN$151),SUMIF(CC!$BJ$140:$BJ$151,Cover!$M$36-1,CC!$BS$140:$BS$151))</f>
        <v>0.94573643410852715</v>
      </c>
      <c r="AX95" s="1411"/>
      <c r="AY95" s="1411"/>
      <c r="AZ95" s="1440">
        <f>SUMIF(CC!$BJ$140:$BJ$151,Cover!$M$36,CC!$BS$140:$BS$151)</f>
        <v>0</v>
      </c>
      <c r="BA95" s="1441"/>
      <c r="BB95" s="1442"/>
      <c r="BC95" s="1411">
        <f>SUMIF(CC!$BK$140:$BK$151,Cover!$M$35,CC!$BT$140:$BT$151)</f>
        <v>0</v>
      </c>
      <c r="BD95" s="1411"/>
      <c r="BE95" s="1411"/>
      <c r="BW95" s="647" t="str">
        <f>Cover!$M$34</f>
        <v>OCT FY-24</v>
      </c>
      <c r="BX95" s="642" t="str">
        <f>TEXT(CONCATENATE(CC95,"/01/20",CB95),"MMM")</f>
        <v>Oct</v>
      </c>
      <c r="BY95" s="643">
        <f>SUMIF($BI83:$BI94,$BX95,$BR83:$BR94)</f>
        <v>0</v>
      </c>
      <c r="BZ95" s="641">
        <f>IF(IF(CB95=CB95,SUMIF(BI83:BI94,$BX95,BU83:BU94),SUMIF(BI83:BI94,$BX95,BP83:BP94))=0,NA(),IF(CB95=CB95,SUMIF(BI83:BI94,$BX95,BU83:BU94),SUMIF(BI83:BI94,$BX95,BP83:BP94)))</f>
        <v>0.8</v>
      </c>
      <c r="CA95" s="644" t="e">
        <f>IF(SUMIF($BI83:$BI94,$BX95,$BS83:$BS94)=0,NA(),SUMIF($BI83:$BI94,$BX95,$BS83:$BS94))</f>
        <v>#N/A</v>
      </c>
      <c r="CB95" s="645">
        <f t="shared" si="20"/>
        <v>23</v>
      </c>
      <c r="CC95" s="645">
        <f>MONTH(DATEVALUE(LEFT(BW95,3)&amp;" 1"))</f>
        <v>10</v>
      </c>
    </row>
    <row r="96" spans="2:81" ht="14.65" customHeight="1">
      <c r="F96" s="337"/>
      <c r="G96" s="338"/>
      <c r="BJ96" s="37"/>
      <c r="BK96" s="37"/>
      <c r="BL96" s="37"/>
      <c r="BM96" s="37"/>
      <c r="BN96" s="37"/>
      <c r="BO96" s="37"/>
      <c r="BP96" s="37"/>
      <c r="BQ96" s="37"/>
      <c r="BR96" s="37"/>
      <c r="BS96" s="37"/>
      <c r="BT96" s="37"/>
      <c r="BU96" s="37"/>
    </row>
    <row r="97" spans="2:81" ht="14.65" customHeight="1">
      <c r="B97" s="52"/>
      <c r="F97" s="337"/>
      <c r="G97" s="338"/>
      <c r="V97" s="267" t="s">
        <v>242</v>
      </c>
      <c r="AD97" s="336"/>
      <c r="AY97" s="267" t="s">
        <v>242</v>
      </c>
      <c r="BI97" s="54" t="s">
        <v>292</v>
      </c>
      <c r="BJ97" s="287" t="s">
        <v>479</v>
      </c>
      <c r="BK97" s="287"/>
      <c r="BL97" s="287"/>
      <c r="BM97" s="287"/>
      <c r="BN97" s="287"/>
      <c r="BO97" s="287"/>
      <c r="BP97" s="287"/>
      <c r="BQ97" s="287"/>
      <c r="BR97" s="287"/>
      <c r="BS97" s="287"/>
      <c r="BT97" s="287"/>
      <c r="BU97" s="287"/>
    </row>
    <row r="98" spans="2:81" ht="14.65" customHeight="1">
      <c r="V98" s="1446" t="s">
        <v>495</v>
      </c>
      <c r="W98" s="1447"/>
      <c r="X98" s="1447"/>
      <c r="Y98" s="1447"/>
      <c r="Z98" s="1447"/>
      <c r="AA98" s="1447"/>
      <c r="AB98" s="1448"/>
      <c r="AY98" s="1446" t="s">
        <v>497</v>
      </c>
      <c r="AZ98" s="1447"/>
      <c r="BA98" s="1447"/>
      <c r="BB98" s="1447"/>
      <c r="BC98" s="1447"/>
      <c r="BD98" s="1447"/>
      <c r="BE98" s="1448"/>
      <c r="BI98" s="54" t="s">
        <v>296</v>
      </c>
      <c r="BJ98" s="283" t="s">
        <v>480</v>
      </c>
      <c r="BK98" s="283"/>
      <c r="BL98" s="283"/>
      <c r="BM98" s="283"/>
      <c r="BN98" s="283"/>
      <c r="BO98" s="283"/>
      <c r="BP98" s="283"/>
      <c r="BQ98" s="283"/>
      <c r="BR98" s="283"/>
      <c r="BS98" s="283"/>
      <c r="BT98" s="283"/>
      <c r="BU98" s="283"/>
    </row>
    <row r="99" spans="2:81" ht="14.65" customHeight="1" thickBot="1">
      <c r="V99" s="1449"/>
      <c r="W99" s="1450"/>
      <c r="X99" s="1450"/>
      <c r="Y99" s="1450"/>
      <c r="Z99" s="1450"/>
      <c r="AA99" s="1450"/>
      <c r="AB99" s="1451"/>
      <c r="AY99" s="1449"/>
      <c r="AZ99" s="1450"/>
      <c r="BA99" s="1450"/>
      <c r="BB99" s="1450"/>
      <c r="BC99" s="1450"/>
      <c r="BD99" s="1450"/>
      <c r="BE99" s="1451"/>
      <c r="BI99" s="54" t="s">
        <v>300</v>
      </c>
      <c r="BJ99" s="288" t="s">
        <v>481</v>
      </c>
      <c r="BK99" s="283"/>
      <c r="BL99" s="283"/>
      <c r="BM99" s="283"/>
      <c r="BN99" s="283"/>
      <c r="BO99" s="283"/>
      <c r="BP99" s="283"/>
      <c r="BQ99" s="283"/>
      <c r="BR99" s="283"/>
      <c r="BS99" s="283"/>
      <c r="BT99" s="283"/>
      <c r="BU99" s="283"/>
    </row>
    <row r="100" spans="2:81" ht="14.65" customHeight="1" thickBot="1">
      <c r="V100" s="1449"/>
      <c r="W100" s="1450"/>
      <c r="X100" s="1450"/>
      <c r="Y100" s="1450"/>
      <c r="Z100" s="1450"/>
      <c r="AA100" s="1450"/>
      <c r="AB100" s="1451"/>
      <c r="AY100" s="1449"/>
      <c r="AZ100" s="1450"/>
      <c r="BA100" s="1450"/>
      <c r="BB100" s="1450"/>
      <c r="BC100" s="1450"/>
      <c r="BD100" s="1450"/>
      <c r="BE100" s="1451"/>
      <c r="BI100" s="1402" t="s">
        <v>457</v>
      </c>
      <c r="BJ100" s="1403"/>
      <c r="BK100" s="1404"/>
      <c r="BL100" s="1402" t="s">
        <v>487</v>
      </c>
      <c r="BM100" s="1403"/>
      <c r="BN100" s="1403"/>
      <c r="BO100" s="1403"/>
      <c r="BP100" s="1404"/>
      <c r="BQ100" s="1402" t="s">
        <v>301</v>
      </c>
      <c r="BR100" s="1403"/>
      <c r="BS100" s="1403"/>
      <c r="BT100" s="1403"/>
      <c r="BU100" s="1404"/>
      <c r="BW100" s="1402" t="s">
        <v>303</v>
      </c>
      <c r="BX100" s="1403"/>
      <c r="BY100" s="1403"/>
      <c r="BZ100" s="1403"/>
      <c r="CA100" s="1403"/>
      <c r="CB100" s="1403"/>
      <c r="CC100" s="1404"/>
    </row>
    <row r="101" spans="2:81" ht="14.65" customHeight="1">
      <c r="V101" s="1449"/>
      <c r="W101" s="1450"/>
      <c r="X101" s="1450"/>
      <c r="Y101" s="1450"/>
      <c r="Z101" s="1450"/>
      <c r="AA101" s="1450"/>
      <c r="AB101" s="1451"/>
      <c r="AY101" s="1449"/>
      <c r="AZ101" s="1450"/>
      <c r="BA101" s="1450"/>
      <c r="BB101" s="1450"/>
      <c r="BC101" s="1450"/>
      <c r="BD101" s="1450"/>
      <c r="BE101" s="1451"/>
      <c r="BI101" s="636" t="s">
        <v>23</v>
      </c>
      <c r="BJ101" s="636" t="s">
        <v>37</v>
      </c>
      <c r="BK101" s="636" t="s">
        <v>304</v>
      </c>
      <c r="BL101" s="637" t="s">
        <v>305</v>
      </c>
      <c r="BM101" s="637" t="s">
        <v>306</v>
      </c>
      <c r="BN101" s="637" t="s">
        <v>488</v>
      </c>
      <c r="BO101" s="278" t="s">
        <v>489</v>
      </c>
      <c r="BP101" s="637" t="s">
        <v>490</v>
      </c>
      <c r="BQ101" s="637" t="s">
        <v>305</v>
      </c>
      <c r="BR101" s="637" t="s">
        <v>310</v>
      </c>
      <c r="BS101" s="637" t="s">
        <v>307</v>
      </c>
      <c r="BT101" s="278" t="s">
        <v>308</v>
      </c>
      <c r="BU101" s="637" t="s">
        <v>309</v>
      </c>
      <c r="BW101" s="279" t="s">
        <v>314</v>
      </c>
      <c r="BX101" s="279" t="s">
        <v>23</v>
      </c>
      <c r="BY101" s="280" t="s">
        <v>315</v>
      </c>
      <c r="BZ101" s="279" t="s">
        <v>122</v>
      </c>
      <c r="CA101" s="279" t="s">
        <v>316</v>
      </c>
      <c r="CB101" s="279" t="s">
        <v>317</v>
      </c>
      <c r="CC101" s="279" t="s">
        <v>318</v>
      </c>
    </row>
    <row r="102" spans="2:81" ht="14.65" customHeight="1">
      <c r="V102" s="1449"/>
      <c r="W102" s="1450"/>
      <c r="X102" s="1450"/>
      <c r="Y102" s="1450"/>
      <c r="Z102" s="1450"/>
      <c r="AA102" s="1450"/>
      <c r="AB102" s="1451"/>
      <c r="AY102" s="1449"/>
      <c r="AZ102" s="1450"/>
      <c r="BA102" s="1450"/>
      <c r="BB102" s="1450"/>
      <c r="BC102" s="1450"/>
      <c r="BD102" s="1450"/>
      <c r="BE102" s="1451"/>
      <c r="BI102" s="638" t="s">
        <v>319</v>
      </c>
      <c r="BJ102" s="638">
        <v>1</v>
      </c>
      <c r="BK102" s="638" t="s">
        <v>320</v>
      </c>
      <c r="BL102" s="708"/>
      <c r="BM102" s="651">
        <v>3739</v>
      </c>
      <c r="BN102" s="709">
        <f>IFERROR(SUM(BM102),0)</f>
        <v>3739</v>
      </c>
      <c r="BO102" s="562">
        <f>IF(SUM(BN102:BN104=0),0,SUM(BN102:BN104))</f>
        <v>11287</v>
      </c>
      <c r="BP102" s="686"/>
      <c r="BQ102" s="710"/>
      <c r="BR102" s="651"/>
      <c r="BS102" s="709">
        <f>IFERROR(SUM(BR102),0)</f>
        <v>0</v>
      </c>
      <c r="BT102" s="562">
        <f>IF(SUM(BS102:BS104=0),0,SUM(BS102:BS104))</f>
        <v>0</v>
      </c>
      <c r="BU102" s="657"/>
      <c r="BX102" s="642" t="str">
        <f t="shared" ref="BX102:BX113" si="21">TEXT(CONCATENATE(CC102,"/01/20",CB102),"MMM")</f>
        <v>Oct</v>
      </c>
      <c r="BY102" s="649">
        <f>IF(CB102=$CB114,SUMIF($BI102:$BI113,$BX102,$BR102:$BR113),SUMIF($BI102:$BI113,$BX102,$BM102:$BM113))</f>
        <v>3739</v>
      </c>
      <c r="BZ102" s="641" t="e">
        <f>IF(IF(CB102=CB114,SUMIF(BI102:BI113,$BX102,BU102:BU113),SUMIF(BI102:BI113,$BX102,BP102:BP113))=0,NA(),IF(CB102=CB114,SUMIF(BI102:BI113,$BX102,BU102:BU113),SUMIF(BI102:BI113,$BX102,BP102:BP113)))</f>
        <v>#N/A</v>
      </c>
      <c r="CA102" s="704">
        <f>IF(IF(CB102=CB114,SUMIF(BI102:BI113,$BX102,BS102:BS113),SUMIF(BI102:BI113,$BX102,BN102:BN113))=0,NA(),IF(CB102=CB114,SUMIF(BI102:BI113,$BX102,BS102:BS113),SUMIF(BI102:BI113,$BX102,BN102:BN113)))</f>
        <v>3739</v>
      </c>
      <c r="CB102" s="645">
        <f>CB83</f>
        <v>22</v>
      </c>
      <c r="CC102" s="645">
        <f t="shared" ref="CC102:CC112" si="22">IF(CC103-1&lt;1,CC103+11,CC103-1)</f>
        <v>10</v>
      </c>
    </row>
    <row r="103" spans="2:81" ht="14.65" customHeight="1">
      <c r="V103" s="1449"/>
      <c r="W103" s="1450"/>
      <c r="X103" s="1450"/>
      <c r="Y103" s="1450"/>
      <c r="Z103" s="1450"/>
      <c r="AA103" s="1450"/>
      <c r="AB103" s="1451"/>
      <c r="AY103" s="1449"/>
      <c r="AZ103" s="1450"/>
      <c r="BA103" s="1450"/>
      <c r="BB103" s="1450"/>
      <c r="BC103" s="1450"/>
      <c r="BD103" s="1450"/>
      <c r="BE103" s="1451"/>
      <c r="BI103" s="638" t="s">
        <v>321</v>
      </c>
      <c r="BJ103" s="638">
        <v>2</v>
      </c>
      <c r="BK103" s="638" t="s">
        <v>320</v>
      </c>
      <c r="BL103" s="708"/>
      <c r="BM103" s="651">
        <v>3283</v>
      </c>
      <c r="BN103" s="709">
        <f t="shared" ref="BN103:BN113" si="23">IFERROR(SUM(BM103),0)</f>
        <v>3283</v>
      </c>
      <c r="BO103" s="563"/>
      <c r="BP103" s="686"/>
      <c r="BQ103" s="710"/>
      <c r="BR103" s="651"/>
      <c r="BS103" s="709">
        <f t="shared" ref="BS103:BS113" si="24">IFERROR(SUM(BR103),0)</f>
        <v>0</v>
      </c>
      <c r="BT103" s="563"/>
      <c r="BU103" s="657"/>
      <c r="BX103" s="642" t="str">
        <f t="shared" si="21"/>
        <v>Nov</v>
      </c>
      <c r="BY103" s="649">
        <f>IF(CB103=$CB114,SUMIF($BI102:$BI113,$BX103,$BR102:$BR113),SUMIF($BI102:$BI113,$BX103,$BM102:$BM113))</f>
        <v>3283</v>
      </c>
      <c r="BZ103" s="641" t="e">
        <f>IF(IF(CB103=CB114,SUMIF(BI102:BI113,$BX103,BU102:BU113),SUMIF(BI102:BI113,$BX103,BP102:BP113))=0,NA(),IF(CB103=CB114,SUMIF(BI102:BI113,$BX103,BU102:BU113),SUMIF(BI102:BI113,$BX103,BP102:BP113)))</f>
        <v>#N/A</v>
      </c>
      <c r="CA103" s="704">
        <f>IF(IF(CB103=CB114,SUMIF(BI102:BI113,$BX103,BS102:BS113),SUMIF(BI102:BI113,$BX103,BN102:BN113))=0,NA(),IF(CB103=CB114,SUMIF(BI102:BI113,$BX103,BS102:BS113),SUMIF(BI102:BI113,$BX103,BN102:BN113)))</f>
        <v>3283</v>
      </c>
      <c r="CB103" s="645">
        <f t="shared" ref="CB103:CB114" si="25">CB84</f>
        <v>22</v>
      </c>
      <c r="CC103" s="645">
        <f t="shared" si="22"/>
        <v>11</v>
      </c>
    </row>
    <row r="104" spans="2:81" ht="14.65" customHeight="1">
      <c r="V104" s="1449"/>
      <c r="W104" s="1450"/>
      <c r="X104" s="1450"/>
      <c r="Y104" s="1450"/>
      <c r="Z104" s="1450"/>
      <c r="AA104" s="1450"/>
      <c r="AB104" s="1451"/>
      <c r="AY104" s="1449"/>
      <c r="AZ104" s="1450"/>
      <c r="BA104" s="1450"/>
      <c r="BB104" s="1450"/>
      <c r="BC104" s="1450"/>
      <c r="BD104" s="1450"/>
      <c r="BE104" s="1451"/>
      <c r="BI104" s="638" t="s">
        <v>322</v>
      </c>
      <c r="BJ104" s="638">
        <v>3</v>
      </c>
      <c r="BK104" s="638" t="s">
        <v>320</v>
      </c>
      <c r="BL104" s="708"/>
      <c r="BM104" s="651">
        <v>4265</v>
      </c>
      <c r="BN104" s="709">
        <f t="shared" si="23"/>
        <v>4265</v>
      </c>
      <c r="BO104" s="563"/>
      <c r="BP104" s="686"/>
      <c r="BQ104" s="710"/>
      <c r="BR104" s="651"/>
      <c r="BS104" s="709">
        <f t="shared" si="24"/>
        <v>0</v>
      </c>
      <c r="BT104" s="563"/>
      <c r="BU104" s="657"/>
      <c r="BX104" s="642" t="str">
        <f t="shared" si="21"/>
        <v>Dec</v>
      </c>
      <c r="BY104" s="649">
        <f>IF(CB104=$CB114,SUMIF($BI102:$BI113,$BX104,$BR102:$BR113),SUMIF($BI102:$BI113,$BX104,$BM102:$BM113))</f>
        <v>4265</v>
      </c>
      <c r="BZ104" s="641" t="e">
        <f>IF(IF(CB104=CB114,SUMIF(BI102:BI113,$BX104,BU102:BU113),SUMIF(BI102:BI113,$BX104,BP102:BP113))=0,NA(),IF(CB104=CB114,SUMIF(BI102:BI113,$BX104,BU102:BU113),SUMIF(BI102:BI113,$BX104,BP102:BP113)))</f>
        <v>#N/A</v>
      </c>
      <c r="CA104" s="704">
        <f>IF(IF(CB104=CB114,SUMIF(BI102:BI113,$BX104,BS102:BS113),SUMIF(BI102:BI113,$BX104,BN102:BN113))=0,NA(),IF(CB104=CB114,SUMIF(BI102:BI113,$BX104,BS102:BS113),SUMIF(BI102:BI113,$BX104,BN102:BN113)))</f>
        <v>4265</v>
      </c>
      <c r="CB104" s="645">
        <f t="shared" si="25"/>
        <v>22</v>
      </c>
      <c r="CC104" s="645">
        <f t="shared" si="22"/>
        <v>12</v>
      </c>
    </row>
    <row r="105" spans="2:81" ht="14.65" customHeight="1">
      <c r="V105" s="1449"/>
      <c r="W105" s="1450"/>
      <c r="X105" s="1450"/>
      <c r="Y105" s="1450"/>
      <c r="Z105" s="1450"/>
      <c r="AA105" s="1450"/>
      <c r="AB105" s="1451"/>
      <c r="AY105" s="1449"/>
      <c r="AZ105" s="1450"/>
      <c r="BA105" s="1450"/>
      <c r="BB105" s="1450"/>
      <c r="BC105" s="1450"/>
      <c r="BD105" s="1450"/>
      <c r="BE105" s="1451"/>
      <c r="BI105" s="638" t="s">
        <v>323</v>
      </c>
      <c r="BJ105" s="638">
        <v>4</v>
      </c>
      <c r="BK105" s="638" t="s">
        <v>324</v>
      </c>
      <c r="BL105" s="708"/>
      <c r="BM105" s="651">
        <v>3545</v>
      </c>
      <c r="BN105" s="709">
        <f t="shared" si="23"/>
        <v>3545</v>
      </c>
      <c r="BO105" s="562">
        <f>IF(SUM(BN105:BN107=0),0,SUM(BN105:BN107))</f>
        <v>13259</v>
      </c>
      <c r="BP105" s="686"/>
      <c r="BQ105" s="710"/>
      <c r="BR105" s="651"/>
      <c r="BS105" s="709">
        <f t="shared" si="24"/>
        <v>0</v>
      </c>
      <c r="BT105" s="562">
        <f>IF(SUM(BS105:BS107=0),0,SUM(BS105:BS107))</f>
        <v>0</v>
      </c>
      <c r="BU105" s="657"/>
      <c r="BX105" s="642" t="str">
        <f t="shared" si="21"/>
        <v>Jan</v>
      </c>
      <c r="BY105" s="649">
        <f>IF(CB105=$CB114,SUMIF($BI102:$BI113,$BX105,$BR102:$BR113),SUMIF($BI102:$BI113,$BX105,$BM102:$BM113))</f>
        <v>3545</v>
      </c>
      <c r="BZ105" s="641" t="e">
        <f>IF(IF(CB105=CB114,SUMIF(BI102:BI113,$BX105,BU102:BU113),SUMIF(BI102:BI113,$BX105,BP102:BP113))=0,NA(),IF(CB105=CB114,SUMIF(BI102:BI113,$BX105,BU102:BU113),SUMIF(BI102:BI113,$BX105,BP102:BP113)))</f>
        <v>#N/A</v>
      </c>
      <c r="CA105" s="704">
        <f>IF(IF(CB105=CB114,SUMIF(BI102:BI113,$BX105,BS102:BS113),SUMIF(BI102:BI113,$BX105,BN102:BN113))=0,NA(),IF(CB105=CB114,SUMIF(BI102:BI113,$BX105,BS102:BS113),SUMIF(BI102:BI113,$BX105,BN102:BN113)))</f>
        <v>3545</v>
      </c>
      <c r="CB105" s="645">
        <f t="shared" si="25"/>
        <v>22</v>
      </c>
      <c r="CC105" s="645">
        <f t="shared" si="22"/>
        <v>1</v>
      </c>
    </row>
    <row r="106" spans="2:81" ht="14.65" customHeight="1">
      <c r="V106" s="1449"/>
      <c r="W106" s="1450"/>
      <c r="X106" s="1450"/>
      <c r="Y106" s="1450"/>
      <c r="Z106" s="1450"/>
      <c r="AA106" s="1450"/>
      <c r="AB106" s="1451"/>
      <c r="AY106" s="1449"/>
      <c r="AZ106" s="1450"/>
      <c r="BA106" s="1450"/>
      <c r="BB106" s="1450"/>
      <c r="BC106" s="1450"/>
      <c r="BD106" s="1450"/>
      <c r="BE106" s="1451"/>
      <c r="BI106" s="638" t="s">
        <v>325</v>
      </c>
      <c r="BJ106" s="638">
        <v>5</v>
      </c>
      <c r="BK106" s="638" t="s">
        <v>324</v>
      </c>
      <c r="BL106" s="708"/>
      <c r="BM106" s="651">
        <v>3752</v>
      </c>
      <c r="BN106" s="709">
        <f>IFERROR(SUM(BM106),0)</f>
        <v>3752</v>
      </c>
      <c r="BO106" s="563"/>
      <c r="BP106" s="686"/>
      <c r="BQ106" s="711"/>
      <c r="BR106" s="651"/>
      <c r="BS106" s="709">
        <f>IFERROR(SUM(BR106),0)</f>
        <v>0</v>
      </c>
      <c r="BT106" s="563"/>
      <c r="BU106" s="657"/>
      <c r="BX106" s="642" t="str">
        <f t="shared" si="21"/>
        <v>Feb</v>
      </c>
      <c r="BY106" s="649">
        <f>IF(CB106=$CB114,SUMIF($BI102:$BI113,$BX106,$BR102:$BR113),SUMIF($BI102:$BI113,$BX106,$BM102:$BM113))</f>
        <v>3752</v>
      </c>
      <c r="BZ106" s="641" t="e">
        <f>IF(IF(CB106=CB114,SUMIF(BI102:BI113,$BX106,BU102:BU113),SUMIF(BI102:BI113,$BX106,BP102:BP113))=0,NA(),IF(CB106=CB114,SUMIF(BI102:BI113,$BX106,BU102:BU113),SUMIF(BI102:BI113,$BX106,BP102:BP113)))</f>
        <v>#N/A</v>
      </c>
      <c r="CA106" s="704">
        <f>IF(IF(CB106=CB114,SUMIF(BI102:BI113,$BX106,BS102:BS113),SUMIF(BI102:BI113,$BX106,BN102:BN113))=0,NA(),IF(CB106=CB114,SUMIF(BI102:BI113,$BX106,BS102:BS113),SUMIF(BI102:BI113,$BX106,BN102:BN113)))</f>
        <v>3752</v>
      </c>
      <c r="CB106" s="645">
        <f t="shared" si="25"/>
        <v>22</v>
      </c>
      <c r="CC106" s="645">
        <f t="shared" si="22"/>
        <v>2</v>
      </c>
    </row>
    <row r="107" spans="2:81" ht="14.65" customHeight="1">
      <c r="V107" s="1452"/>
      <c r="W107" s="1453"/>
      <c r="X107" s="1453"/>
      <c r="Y107" s="1453"/>
      <c r="Z107" s="1453"/>
      <c r="AA107" s="1453"/>
      <c r="AB107" s="1454"/>
      <c r="AY107" s="1452"/>
      <c r="AZ107" s="1453"/>
      <c r="BA107" s="1453"/>
      <c r="BB107" s="1453"/>
      <c r="BC107" s="1453"/>
      <c r="BD107" s="1453"/>
      <c r="BE107" s="1454"/>
      <c r="BI107" s="638" t="s">
        <v>326</v>
      </c>
      <c r="BJ107" s="638">
        <v>6</v>
      </c>
      <c r="BK107" s="638" t="s">
        <v>324</v>
      </c>
      <c r="BL107" s="708"/>
      <c r="BM107" s="651">
        <v>5962</v>
      </c>
      <c r="BN107" s="709">
        <f t="shared" si="23"/>
        <v>5962</v>
      </c>
      <c r="BO107" s="563"/>
      <c r="BP107" s="686"/>
      <c r="BQ107" s="711"/>
      <c r="BR107" s="651"/>
      <c r="BS107" s="709">
        <f t="shared" si="24"/>
        <v>0</v>
      </c>
      <c r="BT107" s="563"/>
      <c r="BU107" s="657"/>
      <c r="BX107" s="642" t="str">
        <f t="shared" si="21"/>
        <v>Mar</v>
      </c>
      <c r="BY107" s="649">
        <f>IF(CB107=$CB114,SUMIF($BI102:$BI113,$BX107,$BR102:$BR113),SUMIF($BI102:$BI113,$BX107,$BM102:$BM113))</f>
        <v>5962</v>
      </c>
      <c r="BZ107" s="641" t="e">
        <f>IF(IF(CB107=CB114,SUMIF(BI102:BI113,$BX107,BU102:BU113),SUMIF(BI102:BI113,$BX107,BP102:BP113))=0,NA(),IF(CB107=CB114,SUMIF(BI102:BI113,$BX107,BU102:BU113),SUMIF(BI102:BI113,$BX107,BP102:BP113)))</f>
        <v>#N/A</v>
      </c>
      <c r="CA107" s="704">
        <f>IF(IF(CB107=CB114,SUMIF(BI102:BI113,$BX107,BS102:BS113),SUMIF(BI102:BI113,$BX107,BN102:BN113))=0,NA(),IF(CB107=CB114,SUMIF(BI102:BI113,$BX107,BS102:BS113),SUMIF(BI102:BI113,$BX107,BN102:BN113)))</f>
        <v>5962</v>
      </c>
      <c r="CB107" s="645">
        <f t="shared" si="25"/>
        <v>22</v>
      </c>
      <c r="CC107" s="645">
        <f t="shared" si="22"/>
        <v>3</v>
      </c>
    </row>
    <row r="108" spans="2:81" ht="14.65" customHeight="1">
      <c r="BI108" s="638" t="s">
        <v>327</v>
      </c>
      <c r="BJ108" s="638">
        <v>7</v>
      </c>
      <c r="BK108" s="638" t="s">
        <v>328</v>
      </c>
      <c r="BL108" s="708"/>
      <c r="BM108" s="651">
        <v>6137</v>
      </c>
      <c r="BN108" s="709">
        <f t="shared" si="23"/>
        <v>6137</v>
      </c>
      <c r="BO108" s="562">
        <f>IF(SUM(BN108:BN110=0),0,SUM(BN108:BN110))</f>
        <v>20876</v>
      </c>
      <c r="BP108" s="686"/>
      <c r="BQ108" s="711"/>
      <c r="BR108" s="651"/>
      <c r="BS108" s="709">
        <f t="shared" si="24"/>
        <v>0</v>
      </c>
      <c r="BT108" s="562">
        <f>IF(SUM(BS108:BS110=0),0,SUM(BS108:BS110))</f>
        <v>0</v>
      </c>
      <c r="BU108" s="657"/>
      <c r="BX108" s="642" t="str">
        <f t="shared" si="21"/>
        <v>Apr</v>
      </c>
      <c r="BY108" s="649">
        <f>IF(CB108=$CB114,SUMIF($BI102:$BI113,$BX108,$BR102:$BR113),SUMIF($BI102:$BI113,$BX108,$BM102:$BM113))</f>
        <v>6137</v>
      </c>
      <c r="BZ108" s="641" t="e">
        <f>IF(IF(CB108=CB114,SUMIF(BI102:BI113,$BX108,BU102:BU113),SUMIF(BI102:BI113,$BX108,BP102:BP113))=0,NA(),IF(CB108=CB114,SUMIF(BI102:BI113,$BX108,BU102:BU113),SUMIF(BI102:BI113,$BX108,BP102:BP113)))</f>
        <v>#N/A</v>
      </c>
      <c r="CA108" s="704">
        <f>IF(IF(CB108=CB114,SUMIF(BI102:BI113,$BX108,BS102:BS113),SUMIF(BI102:BI113,$BX108,BN102:BN113))=0,NA(),IF(CB108=CB114,SUMIF(BI102:BI113,$BX108,BS102:BS113),SUMIF(BI102:BI113,$BX108,BN102:BN113)))</f>
        <v>6137</v>
      </c>
      <c r="CB108" s="645">
        <f t="shared" si="25"/>
        <v>22</v>
      </c>
      <c r="CC108" s="645">
        <f t="shared" si="22"/>
        <v>4</v>
      </c>
    </row>
    <row r="109" spans="2:81" ht="14.65" customHeight="1">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BI109" s="638" t="s">
        <v>329</v>
      </c>
      <c r="BJ109" s="638">
        <v>8</v>
      </c>
      <c r="BK109" s="638" t="s">
        <v>328</v>
      </c>
      <c r="BL109" s="708"/>
      <c r="BM109" s="651">
        <v>6048</v>
      </c>
      <c r="BN109" s="709">
        <f t="shared" si="23"/>
        <v>6048</v>
      </c>
      <c r="BO109" s="563"/>
      <c r="BP109" s="686"/>
      <c r="BQ109" s="711"/>
      <c r="BR109" s="651"/>
      <c r="BS109" s="709">
        <f t="shared" si="24"/>
        <v>0</v>
      </c>
      <c r="BT109" s="563"/>
      <c r="BU109" s="657"/>
      <c r="BX109" s="642" t="str">
        <f t="shared" si="21"/>
        <v>May</v>
      </c>
      <c r="BY109" s="649">
        <f>IF(CB109=$CB114,SUMIF($BI102:$BI113,$BX109,$BR102:$BR113),SUMIF($BI102:$BI113,$BX109,$BM102:$BM113))</f>
        <v>6048</v>
      </c>
      <c r="BZ109" s="641" t="e">
        <f>IF(IF(CB109=CB114,SUMIF(BI102:BI113,$BX109,BU102:BU113),SUMIF(BI102:BI113,$BX109,BP102:BP113))=0,NA(),IF(CB109=CB114,SUMIF(BI102:BI113,$BX109,BU102:BU113),SUMIF(BI102:BI113,$BX109,BP102:BP113)))</f>
        <v>#N/A</v>
      </c>
      <c r="CA109" s="704">
        <f>IF(IF(CB109=CB114,SUMIF(BI102:BI113,$BX109,BS102:BS113),SUMIF(BI102:BI113,$BX109,BN102:BN113))=0,NA(),IF(CB109=CB114,SUMIF(BI102:BI113,$BX109,BS102:BS113),SUMIF(BI102:BI113,$BX109,BN102:BN113)))</f>
        <v>6048</v>
      </c>
      <c r="CB109" s="645">
        <f t="shared" si="25"/>
        <v>22</v>
      </c>
      <c r="CC109" s="645">
        <f t="shared" si="22"/>
        <v>5</v>
      </c>
    </row>
    <row r="110" spans="2:81" ht="14.65" customHeight="1">
      <c r="BI110" s="638" t="s">
        <v>331</v>
      </c>
      <c r="BJ110" s="638">
        <v>9</v>
      </c>
      <c r="BK110" s="638" t="s">
        <v>328</v>
      </c>
      <c r="BL110" s="708"/>
      <c r="BM110" s="651">
        <v>8691</v>
      </c>
      <c r="BN110" s="709">
        <f t="shared" si="23"/>
        <v>8691</v>
      </c>
      <c r="BO110" s="563"/>
      <c r="BP110" s="686"/>
      <c r="BQ110" s="711"/>
      <c r="BR110" s="651"/>
      <c r="BS110" s="709">
        <f t="shared" si="24"/>
        <v>0</v>
      </c>
      <c r="BT110" s="563"/>
      <c r="BU110" s="657"/>
      <c r="BX110" s="642" t="str">
        <f t="shared" si="21"/>
        <v>Jun</v>
      </c>
      <c r="BY110" s="649">
        <f>IF(CB110=$CB114,SUMIF($BI102:$BI113,$BX110,$BR102:$BR113),SUMIF($BI102:$BI113,$BX110,$BM102:$BM113))</f>
        <v>8691</v>
      </c>
      <c r="BZ110" s="641" t="e">
        <f>IF(IF(CB110=CB114,SUMIF(BI102:BI113,$BX110,BU102:BU113),SUMIF(BI102:BI113,$BX110,BP102:BP113))=0,NA(),IF(CB110=CB114,SUMIF(BI102:BI113,$BX110,BU102:BU113),SUMIF(BI102:BI113,$BX110,BP102:BP113)))</f>
        <v>#N/A</v>
      </c>
      <c r="CA110" s="704">
        <f>IF(IF(CB110=CB114,SUMIF(BI102:BI113,$BX110,BS102:BS113),SUMIF(BI102:BI113,$BX110,BN102:BN113))=0,NA(),IF(CB110=CB114,SUMIF(BI102:BI113,$BX110,BS102:BS113),SUMIF(BI102:BI113,$BX110,BN102:BN113)))</f>
        <v>8691</v>
      </c>
      <c r="CB110" s="645">
        <f t="shared" si="25"/>
        <v>22</v>
      </c>
      <c r="CC110" s="645">
        <f t="shared" si="22"/>
        <v>6</v>
      </c>
    </row>
    <row r="111" spans="2:81" ht="14.65" customHeight="1">
      <c r="BI111" s="638" t="s">
        <v>337</v>
      </c>
      <c r="BJ111" s="638">
        <v>10</v>
      </c>
      <c r="BK111" s="638" t="s">
        <v>338</v>
      </c>
      <c r="BL111" s="708"/>
      <c r="BM111" s="702">
        <v>6985</v>
      </c>
      <c r="BN111" s="709">
        <f t="shared" si="23"/>
        <v>6985</v>
      </c>
      <c r="BO111" s="562">
        <f>IF(SUM(BN111:BN113=0),0,SUM(BN111:BN113))</f>
        <v>19567</v>
      </c>
      <c r="BP111" s="686"/>
      <c r="BQ111" s="711"/>
      <c r="BR111" s="702"/>
      <c r="BS111" s="709">
        <f t="shared" si="24"/>
        <v>0</v>
      </c>
      <c r="BT111" s="562">
        <f>IF(SUM(BS111:BS113=0),0,SUM(BS111:BS113))</f>
        <v>0</v>
      </c>
      <c r="BU111" s="657"/>
      <c r="BX111" s="642" t="str">
        <f t="shared" si="21"/>
        <v>Jul</v>
      </c>
      <c r="BY111" s="649">
        <f>IF(CB111=$CB114,SUMIF($BI102:$BI113,$BX111,$BR102:$BR113),SUMIF($BI102:$BI113,$BX111,$BM102:$BM113))</f>
        <v>6985</v>
      </c>
      <c r="BZ111" s="641" t="e">
        <f>IF(IF(CB111=CB114,SUMIF(BI102:BI113,$BX111,BU102:BU113),SUMIF(BI102:BI113,$BX111,BP102:BP113))=0,NA(),IF(CB111=CB114,SUMIF(BI102:BI113,$BX111,BU102:BU113),SUMIF(BI102:BI113,$BX111,BP102:BP113)))</f>
        <v>#N/A</v>
      </c>
      <c r="CA111" s="704">
        <f>IF(IF(CB111=CB114,SUMIF(BI102:BI113,$BX111,BS102:BS113),SUMIF(BI102:BI113,$BX111,BN102:BN113))=0,NA(),IF(CB111=CB114,SUMIF(BI102:BI113,$BX111,BS102:BS113),SUMIF(BI102:BI113,$BX111,BN102:BN113)))</f>
        <v>6985</v>
      </c>
      <c r="CB111" s="645">
        <f t="shared" si="25"/>
        <v>22</v>
      </c>
      <c r="CC111" s="645">
        <f t="shared" si="22"/>
        <v>7</v>
      </c>
    </row>
    <row r="112" spans="2:81" ht="14.65" customHeight="1">
      <c r="BI112" s="638" t="s">
        <v>343</v>
      </c>
      <c r="BJ112" s="638">
        <v>11</v>
      </c>
      <c r="BK112" s="638" t="s">
        <v>338</v>
      </c>
      <c r="BL112" s="708"/>
      <c r="BM112" s="651">
        <v>5379</v>
      </c>
      <c r="BN112" s="709">
        <f t="shared" si="23"/>
        <v>5379</v>
      </c>
      <c r="BP112" s="686"/>
      <c r="BQ112" s="711"/>
      <c r="BR112" s="651"/>
      <c r="BS112" s="709">
        <f t="shared" si="24"/>
        <v>0</v>
      </c>
      <c r="BU112" s="657"/>
      <c r="BX112" s="642" t="str">
        <f t="shared" si="21"/>
        <v>Aug</v>
      </c>
      <c r="BY112" s="649">
        <f>IF(CB112=$CB114,SUMIF($BI102:$BI113,$BX112,$BR102:$BR113),SUMIF($BI102:$BI113,$BX112,$BM102:$BM113))</f>
        <v>5379</v>
      </c>
      <c r="BZ112" s="641" t="e">
        <f>IF(IF(CB112=CB114,SUMIF(BI102:BI113,$BX112,BU102:BU113),SUMIF(BI102:BI113,$BX112,BP102:BP113))=0,NA(),IF(CB112=CB114,SUMIF(BI102:BI113,$BX112,BU102:BU113),SUMIF(BI102:BI113,$BX112,BP102:BP113)))</f>
        <v>#N/A</v>
      </c>
      <c r="CA112" s="704">
        <f>IF(IF(CB112=CB114,SUMIF(BI102:BI113,$BX112,BS102:BS113),SUMIF(BI102:BI113,$BX112,BN102:BN113))=0,NA(),IF(CB112=CB114,SUMIF(BI102:BI113,$BX112,BS102:BS113),SUMIF(BI102:BI113,$BX112,BN102:BN113)))</f>
        <v>5379</v>
      </c>
      <c r="CB112" s="645">
        <f t="shared" si="25"/>
        <v>22</v>
      </c>
      <c r="CC112" s="645">
        <f t="shared" si="22"/>
        <v>8</v>
      </c>
    </row>
    <row r="113" spans="2:81" ht="14.65" customHeight="1">
      <c r="BI113" s="638" t="s">
        <v>344</v>
      </c>
      <c r="BJ113" s="638">
        <v>12</v>
      </c>
      <c r="BK113" s="638" t="s">
        <v>338</v>
      </c>
      <c r="BL113" s="708"/>
      <c r="BM113" s="651">
        <v>7203</v>
      </c>
      <c r="BN113" s="709">
        <f t="shared" si="23"/>
        <v>7203</v>
      </c>
      <c r="BP113" s="686"/>
      <c r="BQ113" s="711"/>
      <c r="BR113" s="651"/>
      <c r="BS113" s="709">
        <f t="shared" si="24"/>
        <v>0</v>
      </c>
      <c r="BU113" s="657"/>
      <c r="BX113" s="642" t="str">
        <f t="shared" si="21"/>
        <v>Sep</v>
      </c>
      <c r="BY113" s="649">
        <f>IF(CB113=$CB114,SUMIF($BI102:$BI113,$BX113,$BR102:$BR113),SUMIF($BI102:$BI113,$BX113,$BM102:$BM113))</f>
        <v>7203</v>
      </c>
      <c r="BZ113" s="641" t="e">
        <f>IF(IF(CB113=CB114,SUMIF(BI102:BI113,$BX113,BU102:BU113),SUMIF(BI102:BI113,$BX113,BP102:BP113))=0,NA(),IF(CB113=CB114,SUMIF(BI102:BI113,$BX113,BU102:BU113),SUMIF(BI102:BI113,$BX113,BP102:BP113)))</f>
        <v>#N/A</v>
      </c>
      <c r="CA113" s="704">
        <f>IF(IF(CB113=CB114,SUMIF(BI102:BI113,$BX113,BS102:BS113),SUMIF(BI102:BI113,$BX113,BN102:BN113))=0,NA(),IF(CB113=CB114,SUMIF(BI102:BI113,$BX113,BS102:BS113),SUMIF(BI102:BI113,$BX113,BN102:BN113)))</f>
        <v>7203</v>
      </c>
      <c r="CB113" s="645">
        <f t="shared" si="25"/>
        <v>22</v>
      </c>
      <c r="CC113" s="645">
        <f>IF(CC114-1&lt;1,CC114+11,CC114-1)</f>
        <v>9</v>
      </c>
    </row>
    <row r="114" spans="2:81" ht="14.65" customHeight="1">
      <c r="BW114" s="647" t="str">
        <f>Cover!$M$34</f>
        <v>OCT FY-24</v>
      </c>
      <c r="BX114" s="642" t="str">
        <f>TEXT(CONCATENATE(CC114,"/01/20",CB114),"MMM")</f>
        <v>Oct</v>
      </c>
      <c r="BY114" s="649">
        <f>SUMIF($BI102:$BI113,$BX114,$BR102:$BR113)</f>
        <v>0</v>
      </c>
      <c r="BZ114" s="641" t="e">
        <f>IF(IF(CB114=CB114,SUMIF(BI102:BI113,$BX114,BU102:BU113),SUMIF(BI102:BI113,$BX114,BP102:BP113))=0,NA(),IF(CB114=CB114,SUMIF(BI102:BI113,$BX114,BU102:BU113),SUMIF(BI102:BI113,$BX114,BP102:BP113)))</f>
        <v>#N/A</v>
      </c>
      <c r="CA114" s="704" t="e">
        <f>IF(SUMIF($BI102:$BI113,$BX114,$BS102:$BS113)=0,NA(),SUMIF($BI102:$BI113,$BX114,$BS102:$BS113))</f>
        <v>#N/A</v>
      </c>
      <c r="CB114" s="645">
        <f t="shared" si="25"/>
        <v>23</v>
      </c>
      <c r="CC114" s="645">
        <f>MONTH(DATEVALUE(LEFT(BW114,3)&amp;" 1"))</f>
        <v>10</v>
      </c>
    </row>
    <row r="115" spans="2:81" ht="14.65" customHeight="1">
      <c r="B115" s="552"/>
      <c r="C115" s="248"/>
      <c r="D115" s="248"/>
      <c r="E115" s="248"/>
      <c r="F115" s="248"/>
      <c r="G115" s="248"/>
      <c r="H115" s="248"/>
      <c r="I115" s="248"/>
      <c r="J115" s="248"/>
      <c r="K115" s="248"/>
      <c r="L115" s="248"/>
      <c r="M115" s="248"/>
      <c r="N115" s="248"/>
      <c r="O115" s="248"/>
      <c r="P115" s="248"/>
      <c r="Q115" s="248"/>
      <c r="R115" s="248"/>
      <c r="S115" s="248"/>
      <c r="T115" s="248"/>
      <c r="U115" s="248"/>
      <c r="V115" s="391"/>
      <c r="W115" s="248"/>
      <c r="X115" s="248"/>
      <c r="Y115" s="248"/>
      <c r="Z115" s="248"/>
      <c r="AA115" s="248"/>
      <c r="AB115" s="248"/>
      <c r="AD115" s="336"/>
    </row>
    <row r="116" spans="2:81" ht="14.65" customHeight="1">
      <c r="B116" s="248"/>
      <c r="C116" s="248"/>
      <c r="D116" s="248"/>
      <c r="E116" s="248"/>
      <c r="F116" s="248"/>
      <c r="G116" s="248"/>
      <c r="H116" s="248"/>
      <c r="I116" s="248"/>
      <c r="J116" s="248"/>
      <c r="K116" s="248"/>
      <c r="L116" s="248"/>
      <c r="M116" s="248"/>
      <c r="N116" s="248"/>
      <c r="O116" s="248"/>
      <c r="P116" s="248"/>
      <c r="Q116" s="248"/>
      <c r="R116" s="248"/>
      <c r="S116" s="248"/>
      <c r="T116" s="248"/>
      <c r="U116" s="248"/>
      <c r="V116" s="1467"/>
      <c r="W116" s="1467"/>
      <c r="X116" s="1467"/>
      <c r="Y116" s="1467"/>
      <c r="Z116" s="1467"/>
      <c r="AA116" s="1467"/>
      <c r="AB116" s="1467"/>
      <c r="BI116" s="54" t="s">
        <v>292</v>
      </c>
      <c r="BJ116" s="1116" t="s">
        <v>465</v>
      </c>
      <c r="BK116" s="1116"/>
      <c r="BL116" s="1116"/>
      <c r="BM116" s="1116"/>
      <c r="BN116" s="1116"/>
      <c r="BO116" s="1116"/>
      <c r="BP116" s="1116"/>
      <c r="BQ116" s="1116"/>
      <c r="BR116" s="1116"/>
      <c r="BS116" s="1116"/>
      <c r="BT116" s="1116"/>
      <c r="BU116" s="1116"/>
      <c r="BY116" s="270"/>
      <c r="BZ116" s="270"/>
      <c r="CA116" s="270"/>
      <c r="CB116" s="270"/>
      <c r="CC116" s="270"/>
    </row>
    <row r="117" spans="2:81" ht="14.65" customHeight="1">
      <c r="B117" s="248"/>
      <c r="C117" s="248"/>
      <c r="D117" s="248"/>
      <c r="E117" s="248"/>
      <c r="F117" s="248"/>
      <c r="G117" s="248"/>
      <c r="H117" s="248"/>
      <c r="I117" s="248"/>
      <c r="J117" s="248"/>
      <c r="K117" s="248"/>
      <c r="L117" s="248"/>
      <c r="M117" s="248"/>
      <c r="N117" s="248"/>
      <c r="O117" s="248"/>
      <c r="P117" s="248"/>
      <c r="Q117" s="248"/>
      <c r="R117" s="248"/>
      <c r="S117" s="248"/>
      <c r="T117" s="248"/>
      <c r="U117" s="248"/>
      <c r="V117" s="1467"/>
      <c r="W117" s="1467"/>
      <c r="X117" s="1467"/>
      <c r="Y117" s="1467"/>
      <c r="Z117" s="1467"/>
      <c r="AA117" s="1467"/>
      <c r="AB117" s="1467"/>
      <c r="BI117" s="54" t="s">
        <v>296</v>
      </c>
      <c r="BJ117" s="283" t="s">
        <v>472</v>
      </c>
      <c r="BK117" s="283"/>
      <c r="BL117" s="283"/>
      <c r="BM117" s="283"/>
      <c r="BN117" s="283"/>
      <c r="BO117" s="283"/>
      <c r="BP117" s="283"/>
      <c r="BQ117" s="283"/>
      <c r="BR117" s="283"/>
      <c r="BS117" s="283"/>
      <c r="BT117" s="283"/>
      <c r="BU117" s="283"/>
      <c r="BW117" s="270"/>
      <c r="BX117" s="270"/>
    </row>
    <row r="118" spans="2:81" ht="14.65" customHeight="1" thickBot="1">
      <c r="B118" s="248"/>
      <c r="C118" s="248"/>
      <c r="D118" s="248"/>
      <c r="E118" s="248"/>
      <c r="F118" s="248"/>
      <c r="G118" s="248"/>
      <c r="H118" s="248"/>
      <c r="I118" s="248"/>
      <c r="J118" s="248"/>
      <c r="K118" s="248"/>
      <c r="L118" s="248"/>
      <c r="M118" s="248"/>
      <c r="N118" s="248"/>
      <c r="O118" s="248"/>
      <c r="P118" s="248"/>
      <c r="Q118" s="248"/>
      <c r="R118" s="248"/>
      <c r="S118" s="248"/>
      <c r="T118" s="248"/>
      <c r="U118" s="248"/>
      <c r="V118" s="1467"/>
      <c r="W118" s="1467"/>
      <c r="X118" s="1467"/>
      <c r="Y118" s="1467"/>
      <c r="Z118" s="1467"/>
      <c r="AA118" s="1467"/>
      <c r="AB118" s="1467"/>
      <c r="BI118" s="54" t="s">
        <v>300</v>
      </c>
      <c r="BJ118" s="283" t="s">
        <v>473</v>
      </c>
      <c r="BK118" s="283"/>
      <c r="BL118" s="283"/>
      <c r="BM118" s="283"/>
      <c r="BN118" s="283"/>
      <c r="BO118" s="283"/>
      <c r="BP118" s="283"/>
      <c r="BQ118" s="283"/>
      <c r="BR118" s="283"/>
      <c r="BS118" s="283"/>
      <c r="BT118" s="283"/>
      <c r="BU118" s="283"/>
      <c r="BY118" s="270"/>
      <c r="BZ118" s="270"/>
      <c r="CA118" s="270"/>
      <c r="CB118" s="270"/>
      <c r="CC118" s="270"/>
    </row>
    <row r="119" spans="2:81" ht="14.65" customHeight="1" thickBot="1">
      <c r="B119" s="248"/>
      <c r="C119" s="248"/>
      <c r="D119" s="248"/>
      <c r="E119" s="248"/>
      <c r="F119" s="248"/>
      <c r="G119" s="248"/>
      <c r="H119" s="248"/>
      <c r="I119" s="248"/>
      <c r="J119" s="248"/>
      <c r="K119" s="248"/>
      <c r="L119" s="248"/>
      <c r="M119" s="248"/>
      <c r="N119" s="248"/>
      <c r="O119" s="248"/>
      <c r="P119" s="248"/>
      <c r="Q119" s="248"/>
      <c r="R119" s="248"/>
      <c r="S119" s="248"/>
      <c r="T119" s="248"/>
      <c r="U119" s="248"/>
      <c r="V119" s="1467"/>
      <c r="W119" s="1467"/>
      <c r="X119" s="1467"/>
      <c r="Y119" s="1467"/>
      <c r="Z119" s="1467"/>
      <c r="AA119" s="1467"/>
      <c r="AB119" s="1467"/>
      <c r="BI119" s="1405" t="s">
        <v>458</v>
      </c>
      <c r="BJ119" s="1406"/>
      <c r="BK119" s="1407"/>
      <c r="BL119" s="1405" t="s">
        <v>487</v>
      </c>
      <c r="BM119" s="1406"/>
      <c r="BN119" s="1406"/>
      <c r="BO119" s="1406"/>
      <c r="BP119" s="1407"/>
      <c r="BQ119" s="1405" t="s">
        <v>301</v>
      </c>
      <c r="BR119" s="1406"/>
      <c r="BS119" s="1406"/>
      <c r="BT119" s="1406"/>
      <c r="BU119" s="1407"/>
      <c r="BW119" s="1405" t="s">
        <v>303</v>
      </c>
      <c r="BX119" s="1406"/>
      <c r="BY119" s="1406"/>
      <c r="BZ119" s="1406"/>
      <c r="CA119" s="1406"/>
      <c r="CB119" s="1406"/>
      <c r="CC119" s="1407"/>
    </row>
    <row r="120" spans="2:81" ht="14.65" customHeight="1">
      <c r="B120" s="248"/>
      <c r="C120" s="248"/>
      <c r="D120" s="248"/>
      <c r="E120" s="248"/>
      <c r="F120" s="248"/>
      <c r="G120" s="248"/>
      <c r="H120" s="248"/>
      <c r="I120" s="248"/>
      <c r="J120" s="248"/>
      <c r="K120" s="248"/>
      <c r="L120" s="248"/>
      <c r="M120" s="248"/>
      <c r="N120" s="248"/>
      <c r="O120" s="248"/>
      <c r="P120" s="248"/>
      <c r="Q120" s="248"/>
      <c r="R120" s="248"/>
      <c r="S120" s="248"/>
      <c r="T120" s="248"/>
      <c r="U120" s="248"/>
      <c r="V120" s="1467"/>
      <c r="W120" s="1467"/>
      <c r="X120" s="1467"/>
      <c r="Y120" s="1467"/>
      <c r="Z120" s="1467"/>
      <c r="AA120" s="1467"/>
      <c r="AB120" s="1467"/>
      <c r="BI120" s="636" t="s">
        <v>23</v>
      </c>
      <c r="BJ120" s="636" t="s">
        <v>37</v>
      </c>
      <c r="BK120" s="636" t="s">
        <v>304</v>
      </c>
      <c r="BL120" s="637" t="s">
        <v>305</v>
      </c>
      <c r="BM120" s="637" t="s">
        <v>306</v>
      </c>
      <c r="BN120" s="637" t="s">
        <v>488</v>
      </c>
      <c r="BO120" s="278" t="s">
        <v>489</v>
      </c>
      <c r="BP120" s="637" t="s">
        <v>490</v>
      </c>
      <c r="BQ120" s="637" t="s">
        <v>305</v>
      </c>
      <c r="BR120" s="637" t="s">
        <v>310</v>
      </c>
      <c r="BS120" s="637" t="s">
        <v>307</v>
      </c>
      <c r="BT120" s="278" t="s">
        <v>308</v>
      </c>
      <c r="BU120" s="637" t="s">
        <v>309</v>
      </c>
      <c r="BW120" s="279" t="s">
        <v>314</v>
      </c>
      <c r="BX120" s="279" t="s">
        <v>23</v>
      </c>
      <c r="BY120" s="280" t="s">
        <v>315</v>
      </c>
      <c r="BZ120" s="279" t="s">
        <v>122</v>
      </c>
      <c r="CA120" s="279" t="s">
        <v>316</v>
      </c>
      <c r="CB120" s="279" t="s">
        <v>317</v>
      </c>
      <c r="CC120" s="279" t="s">
        <v>318</v>
      </c>
    </row>
    <row r="121" spans="2:81" ht="14.65" customHeight="1">
      <c r="B121" s="248"/>
      <c r="C121" s="248"/>
      <c r="D121" s="248"/>
      <c r="E121" s="248"/>
      <c r="F121" s="248"/>
      <c r="G121" s="248"/>
      <c r="H121" s="248"/>
      <c r="I121" s="248"/>
      <c r="J121" s="248"/>
      <c r="K121" s="248"/>
      <c r="L121" s="248"/>
      <c r="M121" s="248"/>
      <c r="N121" s="248"/>
      <c r="O121" s="248"/>
      <c r="P121" s="248"/>
      <c r="Q121" s="248"/>
      <c r="R121" s="248"/>
      <c r="S121" s="248"/>
      <c r="T121" s="248"/>
      <c r="U121" s="248"/>
      <c r="V121" s="1467"/>
      <c r="W121" s="1467"/>
      <c r="X121" s="1467"/>
      <c r="Y121" s="1467"/>
      <c r="Z121" s="1467"/>
      <c r="AA121" s="1467"/>
      <c r="AB121" s="1467"/>
      <c r="BI121" s="638" t="s">
        <v>319</v>
      </c>
      <c r="BJ121" s="638">
        <v>1</v>
      </c>
      <c r="BK121" s="638" t="s">
        <v>320</v>
      </c>
      <c r="BL121" s="691">
        <f t="shared" ref="BL121:BL127" si="26">BN121*BM121</f>
        <v>9.7222222222222224E-3</v>
      </c>
      <c r="BM121" s="679">
        <v>120</v>
      </c>
      <c r="BN121" s="712">
        <v>8.1018518518518516E-5</v>
      </c>
      <c r="BO121" s="284">
        <f>IF(SUM(BM121:BM123=0),0,SUM(BL121:BL123)/SUM(BM121:BM123))</f>
        <v>7.6388888888888887E-5</v>
      </c>
      <c r="BP121" s="692">
        <v>6.9444444444444447E-4</v>
      </c>
      <c r="BQ121" s="691">
        <f>BS121*BR121</f>
        <v>0</v>
      </c>
      <c r="BR121" s="679"/>
      <c r="BS121" s="712"/>
      <c r="BT121" s="284">
        <f>IF(SUM(BR121:BR123=0),0,SUM(BQ121:BQ123)/SUM(BR121:BR123))</f>
        <v>0</v>
      </c>
      <c r="BU121" s="692">
        <v>6.9444444444444447E-4</v>
      </c>
      <c r="BX121" s="642" t="str">
        <f t="shared" ref="BX121:BX132" si="27">TEXT(CONCATENATE(CC121,"/01/20",CB121),"MMM")</f>
        <v>Oct</v>
      </c>
      <c r="BY121" s="649">
        <f>IF(CB121=$CB133,SUMIF($BI121:$BI132,$BX121,$BR121:$BR132),SUMIF($BI121:$BI132,$BX121,$BM121:$BM132))</f>
        <v>120</v>
      </c>
      <c r="BZ121" s="693">
        <f>IF(IF(CB121=CB133,SUMIF(BI121:BI132,$BX121,BU121:BU132),SUMIF(BI121:BI132,$BX121,BP121:BP132))=0,NA(),IF(CB121=CB133,SUMIF(BI121:BI132,$BX121,BU121:BU132),SUMIF(BI121:BI132,$BX121,BP121:BP132)))</f>
        <v>6.9444444444444447E-4</v>
      </c>
      <c r="CA121" s="694">
        <f>IF(IF(CB121=CB133,SUMIF(BI121:BI132,$BX121,BS121:BS132),SUMIF(BI121:BI132,$BX121,BN121:BN132))=0,NA(),IF(CB121=CB133,SUMIF(BI121:BI132,$BX121,BS121:BS132),SUMIF(BI121:BI132,$BX121,BN121:BN132)))</f>
        <v>8.1018518518518516E-5</v>
      </c>
      <c r="CB121" s="645">
        <f>CB102</f>
        <v>22</v>
      </c>
      <c r="CC121" s="645">
        <f t="shared" ref="CC121:CC131" si="28">IF(CC122-1&lt;1,CC122+11,CC122-1)</f>
        <v>10</v>
      </c>
    </row>
    <row r="122" spans="2:81" ht="14.65" customHeight="1">
      <c r="B122" s="248"/>
      <c r="C122" s="248"/>
      <c r="D122" s="248"/>
      <c r="E122" s="248"/>
      <c r="F122" s="248"/>
      <c r="G122" s="248"/>
      <c r="H122" s="248"/>
      <c r="I122" s="248"/>
      <c r="J122" s="248"/>
      <c r="K122" s="248"/>
      <c r="L122" s="248"/>
      <c r="M122" s="248"/>
      <c r="N122" s="248"/>
      <c r="O122" s="248"/>
      <c r="P122" s="248"/>
      <c r="Q122" s="248"/>
      <c r="R122" s="248"/>
      <c r="S122" s="248"/>
      <c r="T122" s="248"/>
      <c r="U122" s="248"/>
      <c r="V122" s="1467"/>
      <c r="W122" s="1467"/>
      <c r="X122" s="1467"/>
      <c r="Y122" s="1467"/>
      <c r="Z122" s="1467"/>
      <c r="AA122" s="1467"/>
      <c r="AB122" s="1467"/>
      <c r="BI122" s="638" t="s">
        <v>321</v>
      </c>
      <c r="BJ122" s="638">
        <v>2</v>
      </c>
      <c r="BK122" s="638" t="s">
        <v>320</v>
      </c>
      <c r="BL122" s="691">
        <f t="shared" si="26"/>
        <v>1.4074074074074074E-2</v>
      </c>
      <c r="BM122" s="679">
        <v>152</v>
      </c>
      <c r="BN122" s="712">
        <v>9.2592592592592588E-5</v>
      </c>
      <c r="BO122" s="285"/>
      <c r="BP122" s="692">
        <v>6.9444444444444447E-4</v>
      </c>
      <c r="BQ122" s="691">
        <f t="shared" ref="BQ122:BQ128" si="29">BS122*BR122</f>
        <v>0</v>
      </c>
      <c r="BR122" s="679"/>
      <c r="BS122" s="712"/>
      <c r="BT122" s="285"/>
      <c r="BU122" s="692">
        <v>6.9444444444444447E-4</v>
      </c>
      <c r="BX122" s="642" t="str">
        <f t="shared" si="27"/>
        <v>Nov</v>
      </c>
      <c r="BY122" s="649">
        <f>IF(CB122=$CB133,SUMIF($BI121:$BI132,$BX122,$BR121:$BR132),SUMIF($BI121:$BI132,$BX122,$BM121:$BM132))</f>
        <v>152</v>
      </c>
      <c r="BZ122" s="693">
        <f>IF(IF(CB122=CB133,SUMIF(BI121:BI132,$BX122,BU121:BU132),SUMIF(BI121:BI132,$BX122,BP121:BP132))=0,NA(),IF(CB122=CB133,SUMIF(BI121:BI132,$BX122,BU121:BU132),SUMIF(BI121:BI132,$BX122,BP121:BP132)))</f>
        <v>6.9444444444444447E-4</v>
      </c>
      <c r="CA122" s="694">
        <f>IF(IF(CB122=CB133,SUMIF(BI121:BI132,$BX122,BS121:BS132),SUMIF(BI121:BI132,$BX122,BN121:BN132))=0,NA(),IF(CB122=CB133,SUMIF(BI121:BI132,$BX122,BS121:BS132),SUMIF(BI121:BI132,$BX122,BN121:BN132)))</f>
        <v>9.2592592592592588E-5</v>
      </c>
      <c r="CB122" s="645">
        <f t="shared" ref="CB122:CB133" si="30">CB103</f>
        <v>22</v>
      </c>
      <c r="CC122" s="645">
        <f t="shared" si="28"/>
        <v>11</v>
      </c>
    </row>
    <row r="123" spans="2:81" ht="14.65" customHeight="1">
      <c r="B123" s="248"/>
      <c r="C123" s="248"/>
      <c r="D123" s="248"/>
      <c r="E123" s="248"/>
      <c r="F123" s="248"/>
      <c r="G123" s="248"/>
      <c r="H123" s="248"/>
      <c r="I123" s="248"/>
      <c r="J123" s="248"/>
      <c r="K123" s="248"/>
      <c r="L123" s="248"/>
      <c r="M123" s="248"/>
      <c r="N123" s="248"/>
      <c r="O123" s="248"/>
      <c r="P123" s="248"/>
      <c r="Q123" s="248"/>
      <c r="R123" s="248"/>
      <c r="S123" s="248"/>
      <c r="T123" s="248"/>
      <c r="U123" s="248"/>
      <c r="V123" s="1467"/>
      <c r="W123" s="1467"/>
      <c r="X123" s="1467"/>
      <c r="Y123" s="1467"/>
      <c r="Z123" s="1467"/>
      <c r="AA123" s="1467"/>
      <c r="AB123" s="1467"/>
      <c r="BI123" s="638" t="s">
        <v>322</v>
      </c>
      <c r="BJ123" s="638">
        <v>3</v>
      </c>
      <c r="BK123" s="638" t="s">
        <v>320</v>
      </c>
      <c r="BL123" s="691">
        <f t="shared" si="26"/>
        <v>9.4328703703703692E-3</v>
      </c>
      <c r="BM123" s="679">
        <v>163</v>
      </c>
      <c r="BN123" s="712">
        <v>5.7870370370370366E-5</v>
      </c>
      <c r="BO123" s="285"/>
      <c r="BP123" s="692">
        <v>6.9444444444444447E-4</v>
      </c>
      <c r="BQ123" s="691">
        <f t="shared" si="29"/>
        <v>0</v>
      </c>
      <c r="BR123" s="679"/>
      <c r="BS123" s="712"/>
      <c r="BT123" s="285"/>
      <c r="BU123" s="692">
        <v>6.9444444444444447E-4</v>
      </c>
      <c r="BX123" s="642" t="str">
        <f t="shared" si="27"/>
        <v>Dec</v>
      </c>
      <c r="BY123" s="649">
        <f>IF(CB123=$CB133,SUMIF($BI121:$BI132,$BX123,$BR121:$BR132),SUMIF($BI121:$BI132,$BX123,$BM121:$BM132))</f>
        <v>163</v>
      </c>
      <c r="BZ123" s="693">
        <f>IF(IF(CB123=CB133,SUMIF(BI121:BI132,$BX123,BU121:BU132),SUMIF(BI121:BI132,$BX123,BP121:BP132))=0,NA(),IF(CB123=CB133,SUMIF(BI121:BI132,$BX123,BU121:BU132),SUMIF(BI121:BI132,$BX123,BP121:BP132)))</f>
        <v>6.9444444444444447E-4</v>
      </c>
      <c r="CA123" s="694">
        <f>IF(IF(CB123=CB133,SUMIF(BI121:BI132,$BX123,BS121:BS132),SUMIF(BI121:BI132,$BX123,BN121:BN132))=0,NA(),IF(CB123=CB133,SUMIF(BI121:BI132,$BX123,BS121:BS132),SUMIF(BI121:BI132,$BX123,BN121:BN132)))</f>
        <v>5.7870370370370366E-5</v>
      </c>
      <c r="CB123" s="645">
        <f t="shared" si="30"/>
        <v>22</v>
      </c>
      <c r="CC123" s="645">
        <f t="shared" si="28"/>
        <v>12</v>
      </c>
    </row>
    <row r="124" spans="2:81" ht="14.65" customHeight="1">
      <c r="B124" s="248"/>
      <c r="C124" s="248"/>
      <c r="D124" s="248"/>
      <c r="E124" s="248"/>
      <c r="F124" s="248"/>
      <c r="G124" s="248"/>
      <c r="H124" s="248"/>
      <c r="I124" s="248"/>
      <c r="J124" s="248"/>
      <c r="K124" s="248"/>
      <c r="L124" s="248"/>
      <c r="M124" s="248"/>
      <c r="N124" s="248"/>
      <c r="O124" s="248"/>
      <c r="P124" s="248"/>
      <c r="Q124" s="248"/>
      <c r="R124" s="248"/>
      <c r="S124" s="248"/>
      <c r="T124" s="248"/>
      <c r="U124" s="248"/>
      <c r="V124" s="1467"/>
      <c r="W124" s="1467"/>
      <c r="X124" s="1467"/>
      <c r="Y124" s="1467"/>
      <c r="Z124" s="1467"/>
      <c r="AA124" s="1467"/>
      <c r="AB124" s="1467"/>
      <c r="BI124" s="638" t="s">
        <v>323</v>
      </c>
      <c r="BJ124" s="638">
        <v>4</v>
      </c>
      <c r="BK124" s="638" t="s">
        <v>324</v>
      </c>
      <c r="BL124" s="691">
        <f t="shared" si="26"/>
        <v>6.875E-3</v>
      </c>
      <c r="BM124" s="679">
        <v>99</v>
      </c>
      <c r="BN124" s="712">
        <v>6.9444444444444444E-5</v>
      </c>
      <c r="BO124" s="284">
        <f>IF(SUM(BM124:BM126=0),0,SUM(BL124:BL126)/SUM(BM124:BM126))</f>
        <v>7.6440990830058347E-5</v>
      </c>
      <c r="BP124" s="692">
        <v>6.9444444444444447E-4</v>
      </c>
      <c r="BQ124" s="691">
        <f t="shared" si="29"/>
        <v>0</v>
      </c>
      <c r="BR124" s="679"/>
      <c r="BS124" s="712"/>
      <c r="BT124" s="284">
        <f>IF(SUM(BR124:BR126=0),0,SUM(BQ124:BQ126)/SUM(BR124:BR126))</f>
        <v>0</v>
      </c>
      <c r="BU124" s="692">
        <v>6.9444444444444447E-4</v>
      </c>
      <c r="BX124" s="642" t="str">
        <f t="shared" si="27"/>
        <v>Jan</v>
      </c>
      <c r="BY124" s="649">
        <f>IF(CB124=$CB133,SUMIF($BI121:$BI132,$BX124,$BR121:$BR132),SUMIF($BI121:$BI132,$BX124,$BM121:$BM132))</f>
        <v>99</v>
      </c>
      <c r="BZ124" s="693">
        <f>IF(IF(CB124=CB133,SUMIF(BI121:BI132,$BX124,BU121:BU132),SUMIF(BI121:BI132,$BX124,BP121:BP132))=0,NA(),IF(CB124=CB133,SUMIF(BI121:BI132,$BX124,BU121:BU132),SUMIF(BI121:BI132,$BX124,BP121:BP132)))</f>
        <v>6.9444444444444447E-4</v>
      </c>
      <c r="CA124" s="694">
        <f>IF(IF(CB124=CB133,SUMIF(BI121:BI132,$BX124,BS121:BS132),SUMIF(BI121:BI132,$BX124,BN121:BN132))=0,NA(),IF(CB124=CB133,SUMIF(BI121:BI132,$BX124,BS121:BS132),SUMIF(BI121:BI132,$BX124,BN121:BN132)))</f>
        <v>6.9444444444444444E-5</v>
      </c>
      <c r="CB124" s="645">
        <f t="shared" si="30"/>
        <v>22</v>
      </c>
      <c r="CC124" s="645">
        <f t="shared" si="28"/>
        <v>1</v>
      </c>
    </row>
    <row r="125" spans="2:81" ht="14.65" customHeight="1">
      <c r="B125" s="248"/>
      <c r="C125" s="248"/>
      <c r="D125" s="248"/>
      <c r="E125" s="248"/>
      <c r="F125" s="248"/>
      <c r="G125" s="248"/>
      <c r="H125" s="248"/>
      <c r="I125" s="248"/>
      <c r="J125" s="248"/>
      <c r="K125" s="248"/>
      <c r="L125" s="248"/>
      <c r="M125" s="248"/>
      <c r="N125" s="248"/>
      <c r="O125" s="248"/>
      <c r="P125" s="248"/>
      <c r="Q125" s="248"/>
      <c r="R125" s="248"/>
      <c r="S125" s="248"/>
      <c r="T125" s="248"/>
      <c r="U125" s="248"/>
      <c r="V125" s="1467"/>
      <c r="W125" s="1467"/>
      <c r="X125" s="1467"/>
      <c r="Y125" s="1467"/>
      <c r="Z125" s="1467"/>
      <c r="AA125" s="1467"/>
      <c r="AB125" s="1467"/>
      <c r="BI125" s="638" t="s">
        <v>325</v>
      </c>
      <c r="BJ125" s="638">
        <v>5</v>
      </c>
      <c r="BK125" s="638" t="s">
        <v>324</v>
      </c>
      <c r="BL125" s="691">
        <f t="shared" si="26"/>
        <v>8.1944444444444452E-3</v>
      </c>
      <c r="BM125" s="680">
        <v>118</v>
      </c>
      <c r="BN125" s="713">
        <v>6.9444444444444444E-5</v>
      </c>
      <c r="BO125" s="285"/>
      <c r="BP125" s="692">
        <v>6.9444444444444447E-4</v>
      </c>
      <c r="BQ125" s="691">
        <f t="shared" si="29"/>
        <v>0</v>
      </c>
      <c r="BR125" s="680"/>
      <c r="BS125" s="713"/>
      <c r="BT125" s="285"/>
      <c r="BU125" s="692">
        <v>6.9444444444444447E-4</v>
      </c>
      <c r="BX125" s="642" t="str">
        <f t="shared" si="27"/>
        <v>Feb</v>
      </c>
      <c r="BY125" s="649">
        <f>IF(CB125=$CB133,SUMIF($BI121:$BI132,$BX125,$BR121:$BR132),SUMIF($BI121:$BI132,$BX125,$BM121:$BM132))</f>
        <v>118</v>
      </c>
      <c r="BZ125" s="693">
        <f>IF(IF(CB125=CB133,SUMIF(BI121:BI132,$BX125,BU121:BU132),SUMIF(BI121:BI132,$BX125,BP121:BP132))=0,NA(),IF(CB125=CB133,SUMIF(BI121:BI132,$BX125,BU121:BU132),SUMIF(BI121:BI132,$BX125,BP121:BP132)))</f>
        <v>6.9444444444444447E-4</v>
      </c>
      <c r="CA125" s="694">
        <f>IF(IF(CB125=CB133,SUMIF(BI121:BI132,$BX125,BS121:BS132),SUMIF(BI121:BI132,$BX125,BN121:BN132))=0,NA(),IF(CB125=CB133,SUMIF(BI121:BI132,$BX125,BS121:BS132),SUMIF(BI121:BI132,$BX125,BN121:BN132)))</f>
        <v>6.9444444444444444E-5</v>
      </c>
      <c r="CB125" s="645">
        <f t="shared" si="30"/>
        <v>22</v>
      </c>
      <c r="CC125" s="645">
        <f t="shared" si="28"/>
        <v>2</v>
      </c>
    </row>
    <row r="126" spans="2:81" ht="14.65" customHeight="1">
      <c r="BI126" s="638" t="s">
        <v>326</v>
      </c>
      <c r="BJ126" s="638">
        <v>6</v>
      </c>
      <c r="BK126" s="638" t="s">
        <v>324</v>
      </c>
      <c r="BL126" s="691">
        <f t="shared" si="26"/>
        <v>8.7037037037037031E-3</v>
      </c>
      <c r="BM126" s="680">
        <v>94</v>
      </c>
      <c r="BN126" s="713">
        <v>9.2592592592592588E-5</v>
      </c>
      <c r="BO126" s="285"/>
      <c r="BP126" s="692">
        <v>6.9444444444444447E-4</v>
      </c>
      <c r="BQ126" s="691">
        <f t="shared" si="29"/>
        <v>0</v>
      </c>
      <c r="BR126" s="680"/>
      <c r="BS126" s="713"/>
      <c r="BT126" s="285"/>
      <c r="BU126" s="692">
        <v>6.9444444444444447E-4</v>
      </c>
      <c r="BX126" s="642" t="str">
        <f t="shared" si="27"/>
        <v>Mar</v>
      </c>
      <c r="BY126" s="649">
        <f>IF(CB126=$CB133,SUMIF($BI121:$BI132,$BX126,$BR121:$BR132),SUMIF($BI121:$BI132,$BX126,$BM121:$BM132))</f>
        <v>94</v>
      </c>
      <c r="BZ126" s="693">
        <f>IF(IF(CB126=CB133,SUMIF(BI121:BI132,$BX126,BU121:BU132),SUMIF(BI121:BI132,$BX126,BP121:BP132))=0,NA(),IF(CB126=CB133,SUMIF(BI121:BI132,$BX126,BU121:BU132),SUMIF(BI121:BI132,$BX126,BP121:BP132)))</f>
        <v>6.9444444444444447E-4</v>
      </c>
      <c r="CA126" s="694">
        <f>IF(IF(CB126=CB133,SUMIF(BI121:BI132,$BX126,BS121:BS132),SUMIF(BI121:BI132,$BX126,BN121:BN132))=0,NA(),IF(CB126=CB133,SUMIF(BI121:BI132,$BX126,BS121:BS132),SUMIF(BI121:BI132,$BX126,BN121:BN132)))</f>
        <v>9.2592592592592588E-5</v>
      </c>
      <c r="CB126" s="645">
        <f t="shared" si="30"/>
        <v>22</v>
      </c>
      <c r="CC126" s="645">
        <f t="shared" si="28"/>
        <v>3</v>
      </c>
    </row>
    <row r="127" spans="2:81" ht="14.65" customHeight="1">
      <c r="B127" s="392"/>
      <c r="C127" s="554"/>
      <c r="D127" s="554"/>
      <c r="E127" s="554"/>
      <c r="F127" s="554"/>
      <c r="G127" s="556"/>
      <c r="H127" s="556"/>
      <c r="I127" s="556"/>
      <c r="J127" s="556"/>
      <c r="K127" s="556"/>
      <c r="L127" s="557"/>
      <c r="M127" s="554"/>
      <c r="N127" s="554"/>
      <c r="O127" s="314"/>
      <c r="P127" s="314"/>
      <c r="Q127" s="314"/>
      <c r="R127" s="314"/>
      <c r="S127" s="314"/>
      <c r="T127" s="314"/>
      <c r="U127" s="314"/>
      <c r="V127" s="314"/>
      <c r="W127" s="314"/>
      <c r="X127" s="314"/>
      <c r="Y127" s="314"/>
      <c r="Z127" s="314"/>
      <c r="AA127" s="314"/>
      <c r="AB127" s="314"/>
      <c r="AC127" s="314"/>
      <c r="AD127" s="314"/>
      <c r="AE127" s="314"/>
      <c r="AF127" s="314"/>
      <c r="AG127" s="314"/>
      <c r="AH127" s="314"/>
      <c r="AI127" s="314"/>
      <c r="AJ127" s="314"/>
      <c r="AK127" s="314"/>
      <c r="AL127" s="314"/>
      <c r="AM127" s="314"/>
      <c r="AN127" s="314"/>
      <c r="AO127" s="314"/>
      <c r="AP127" s="314"/>
      <c r="AQ127" s="314"/>
      <c r="AR127" s="314"/>
      <c r="AS127" s="314"/>
      <c r="AT127" s="314"/>
      <c r="AU127" s="314"/>
      <c r="AV127" s="314"/>
      <c r="AW127" s="314"/>
      <c r="AX127" s="314"/>
      <c r="AY127" s="314"/>
      <c r="AZ127" s="314"/>
      <c r="BA127" s="314"/>
      <c r="BB127" s="314"/>
      <c r="BC127" s="314"/>
      <c r="BD127" s="314"/>
      <c r="BE127" s="314"/>
      <c r="BI127" s="638" t="s">
        <v>327</v>
      </c>
      <c r="BJ127" s="638">
        <v>7</v>
      </c>
      <c r="BK127" s="638" t="s">
        <v>328</v>
      </c>
      <c r="BL127" s="691">
        <f t="shared" si="26"/>
        <v>7.4537037037037037E-3</v>
      </c>
      <c r="BM127" s="699">
        <v>92</v>
      </c>
      <c r="BN127" s="696">
        <v>8.1018518518518516E-5</v>
      </c>
      <c r="BO127" s="284">
        <f>IF(SUM(BM127:BM129=0),0,SUM(BL127:BL129)/SUM(BM127:BM129))</f>
        <v>6.9519115890083632E-5</v>
      </c>
      <c r="BP127" s="692">
        <v>6.9444444444444447E-4</v>
      </c>
      <c r="BQ127" s="691">
        <f t="shared" si="29"/>
        <v>0</v>
      </c>
      <c r="BR127" s="699"/>
      <c r="BS127" s="696"/>
      <c r="BT127" s="284">
        <f>IF(SUM(BR127:BR129=0),0,SUM(BQ127:BQ129)/SUM(BR127:BR129))</f>
        <v>0</v>
      </c>
      <c r="BU127" s="692">
        <v>6.9444444444444447E-4</v>
      </c>
      <c r="BX127" s="642" t="str">
        <f t="shared" si="27"/>
        <v>Apr</v>
      </c>
      <c r="BY127" s="649">
        <f>IF(CB127=$CB133,SUMIF($BI121:$BI132,$BX127,$BR121:$BR132),SUMIF($BI121:$BI132,$BX127,$BM121:$BM132))</f>
        <v>92</v>
      </c>
      <c r="BZ127" s="693">
        <f>IF(IF(CB127=CB133,SUMIF(BI121:BI132,$BX127,BU121:BU132),SUMIF(BI121:BI132,$BX127,BP121:BP132))=0,NA(),IF(CB127=CB133,SUMIF(BI121:BI132,$BX127,BU121:BU132),SUMIF(BI121:BI132,$BX127,BP121:BP132)))</f>
        <v>6.9444444444444447E-4</v>
      </c>
      <c r="CA127" s="694">
        <f>IF(IF(CB127=CB133,SUMIF(BI121:BI132,$BX127,BS121:BS132),SUMIF(BI121:BI132,$BX127,BN121:BN132))=0,NA(),IF(CB127=CB133,SUMIF(BI121:BI132,$BX127,BS121:BS132),SUMIF(BI121:BI132,$BX127,BN121:BN132)))</f>
        <v>8.1018518518518516E-5</v>
      </c>
      <c r="CB127" s="645">
        <f t="shared" si="30"/>
        <v>22</v>
      </c>
      <c r="CC127" s="645">
        <f t="shared" si="28"/>
        <v>4</v>
      </c>
    </row>
    <row r="128" spans="2:81" ht="14.65" customHeight="1">
      <c r="B128" s="248"/>
      <c r="C128" s="248"/>
      <c r="D128" s="248"/>
      <c r="E128" s="248"/>
      <c r="F128" s="248"/>
      <c r="G128" s="248"/>
      <c r="H128" s="248"/>
      <c r="I128" s="248"/>
      <c r="J128" s="248"/>
      <c r="K128" s="248"/>
      <c r="L128" s="248"/>
      <c r="M128" s="248"/>
      <c r="N128" s="248"/>
      <c r="O128" s="248"/>
      <c r="P128" s="248"/>
      <c r="Q128" s="248"/>
      <c r="R128" s="248"/>
      <c r="S128" s="248"/>
      <c r="T128" s="248"/>
      <c r="U128" s="248"/>
      <c r="V128" s="248"/>
      <c r="W128" s="248"/>
      <c r="X128" s="248"/>
      <c r="Y128" s="248"/>
      <c r="Z128" s="248"/>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I128" s="638" t="s">
        <v>329</v>
      </c>
      <c r="BJ128" s="638">
        <v>8</v>
      </c>
      <c r="BK128" s="638" t="s">
        <v>328</v>
      </c>
      <c r="BL128" s="691">
        <f>BN128*BM128</f>
        <v>5.208333333333333E-3</v>
      </c>
      <c r="BM128" s="699">
        <v>90</v>
      </c>
      <c r="BN128" s="696">
        <v>5.7870370370370366E-5</v>
      </c>
      <c r="BO128" s="285"/>
      <c r="BP128" s="692">
        <v>6.9444444444444447E-4</v>
      </c>
      <c r="BQ128" s="691">
        <f t="shared" si="29"/>
        <v>0</v>
      </c>
      <c r="BR128" s="699"/>
      <c r="BS128" s="696"/>
      <c r="BT128" s="285"/>
      <c r="BU128" s="692">
        <v>6.9444444444444447E-4</v>
      </c>
      <c r="BX128" s="642" t="str">
        <f t="shared" si="27"/>
        <v>May</v>
      </c>
      <c r="BY128" s="649">
        <f>IF(CB128=$CB133,SUMIF($BI121:$BI132,$BX128,$BR121:$BR132),SUMIF($BI121:$BI132,$BX128,$BM121:$BM132))</f>
        <v>90</v>
      </c>
      <c r="BZ128" s="693">
        <f>IF(IF(CB128=CB133,SUMIF(BI121:BI132,$BX128,BU121:BU132),SUMIF(BI121:BI132,$BX128,BP121:BP132))=0,NA(),IF(CB128=CB133,SUMIF(BI121:BI132,$BX128,BU121:BU132),SUMIF(BI121:BI132,$BX128,BP121:BP132)))</f>
        <v>6.9444444444444447E-4</v>
      </c>
      <c r="CA128" s="694">
        <f>IF(IF(CB128=CB133,SUMIF(BI121:BI132,$BX128,BS121:BS132),SUMIF(BI121:BI132,$BX128,BN121:BN132))=0,NA(),IF(CB128=CB133,SUMIF(BI121:BI132,$BX128,BS121:BS132),SUMIF(BI121:BI132,$BX128,BN121:BN132)))</f>
        <v>5.7870370370370366E-5</v>
      </c>
      <c r="CB128" s="645">
        <f t="shared" si="30"/>
        <v>22</v>
      </c>
      <c r="CC128" s="645">
        <f t="shared" si="28"/>
        <v>5</v>
      </c>
    </row>
    <row r="129" spans="2:81" ht="14.65" customHeight="1">
      <c r="B129" s="553"/>
      <c r="C129" s="553"/>
      <c r="D129" s="553"/>
      <c r="E129" s="553"/>
      <c r="F129" s="553"/>
      <c r="G129" s="553"/>
      <c r="H129" s="553"/>
      <c r="I129" s="553"/>
      <c r="J129" s="553"/>
      <c r="K129" s="553"/>
      <c r="L129" s="553"/>
      <c r="M129" s="553"/>
      <c r="N129" s="553"/>
      <c r="O129" s="553"/>
      <c r="P129" s="553"/>
      <c r="Q129" s="558"/>
      <c r="R129" s="558"/>
      <c r="S129" s="558"/>
      <c r="T129" s="553"/>
      <c r="U129" s="553"/>
      <c r="V129" s="553"/>
      <c r="W129" s="553"/>
      <c r="X129" s="553"/>
      <c r="Y129" s="553"/>
      <c r="Z129" s="553"/>
      <c r="AA129" s="553"/>
      <c r="AB129" s="553"/>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I129" s="638" t="s">
        <v>331</v>
      </c>
      <c r="BJ129" s="638">
        <v>9</v>
      </c>
      <c r="BK129" s="638" t="s">
        <v>328</v>
      </c>
      <c r="BL129" s="691">
        <f>BN129*BM129</f>
        <v>8.8888888888888889E-3</v>
      </c>
      <c r="BM129" s="699">
        <v>128</v>
      </c>
      <c r="BN129" s="696">
        <v>6.9444444444444444E-5</v>
      </c>
      <c r="BO129" s="285"/>
      <c r="BP129" s="692">
        <v>6.9444444444444447E-4</v>
      </c>
      <c r="BQ129" s="691">
        <f>BS129*BR129</f>
        <v>0</v>
      </c>
      <c r="BR129" s="699"/>
      <c r="BS129" s="696"/>
      <c r="BT129" s="285"/>
      <c r="BU129" s="692">
        <v>6.9444444444444447E-4</v>
      </c>
      <c r="BX129" s="642" t="str">
        <f t="shared" si="27"/>
        <v>Jun</v>
      </c>
      <c r="BY129" s="649">
        <f>IF(CB129=$CB133,SUMIF($BI121:$BI132,$BX129,$BR121:$BR132),SUMIF($BI121:$BI132,$BX129,$BM121:$BM132))</f>
        <v>128</v>
      </c>
      <c r="BZ129" s="693">
        <f>IF(IF(CB129=CB133,SUMIF(BI121:BI132,$BX129,BU121:BU132),SUMIF(BI121:BI132,$BX129,BP121:BP132))=0,NA(),IF(CB129=CB133,SUMIF(BI121:BI132,$BX129,BU121:BU132),SUMIF(BI121:BI132,$BX129,BP121:BP132)))</f>
        <v>6.9444444444444447E-4</v>
      </c>
      <c r="CA129" s="694">
        <f>IF(IF(CB129=CB133,SUMIF(BI121:BI132,$BX129,BS121:BS132),SUMIF(BI121:BI132,$BX129,BN121:BN132))=0,NA(),IF(CB129=CB133,SUMIF(BI121:BI132,$BX129,BS121:BS132),SUMIF(BI121:BI132,$BX129,BN121:BN132)))</f>
        <v>6.9444444444444444E-5</v>
      </c>
      <c r="CB129" s="645">
        <f t="shared" si="30"/>
        <v>22</v>
      </c>
      <c r="CC129" s="645">
        <f t="shared" si="28"/>
        <v>6</v>
      </c>
    </row>
    <row r="130" spans="2:81" ht="14.65" customHeight="1">
      <c r="B130" s="553"/>
      <c r="C130" s="553"/>
      <c r="D130" s="553"/>
      <c r="E130" s="553"/>
      <c r="F130" s="553"/>
      <c r="G130" s="553"/>
      <c r="H130" s="553"/>
      <c r="I130" s="553"/>
      <c r="J130" s="553"/>
      <c r="K130" s="553"/>
      <c r="L130" s="553"/>
      <c r="M130" s="553"/>
      <c r="N130" s="553"/>
      <c r="O130" s="553"/>
      <c r="P130" s="553"/>
      <c r="Q130" s="558"/>
      <c r="R130" s="558"/>
      <c r="S130" s="558"/>
      <c r="T130" s="558"/>
      <c r="U130" s="558"/>
      <c r="V130" s="558"/>
      <c r="W130" s="558"/>
      <c r="X130" s="558"/>
      <c r="Y130" s="558"/>
      <c r="Z130" s="558"/>
      <c r="AA130" s="558"/>
      <c r="AB130" s="55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I130" s="638" t="s">
        <v>337</v>
      </c>
      <c r="BJ130" s="638">
        <v>10</v>
      </c>
      <c r="BK130" s="638" t="s">
        <v>338</v>
      </c>
      <c r="BL130" s="691">
        <f>BN130*BM130</f>
        <v>6.3657407407407404E-3</v>
      </c>
      <c r="BM130" s="703">
        <v>110</v>
      </c>
      <c r="BN130" s="696">
        <v>5.7870370370370366E-5</v>
      </c>
      <c r="BO130" s="284">
        <f>IF(SUM(BM130:BM132=0),0,SUM(BL130:BL132)/SUM(BM130:BM132))</f>
        <v>9.5547675334909372E-5</v>
      </c>
      <c r="BP130" s="692">
        <v>6.9444444444444447E-4</v>
      </c>
      <c r="BQ130" s="691">
        <f t="shared" ref="BQ130:BQ132" si="31">BS130*BR130</f>
        <v>0</v>
      </c>
      <c r="BR130" s="703"/>
      <c r="BS130" s="696"/>
      <c r="BT130" s="284">
        <f>IF(SUM(BR130:BR132=0),0,SUM(BQ130:BQ132)/SUM(BR130:BR132))</f>
        <v>0</v>
      </c>
      <c r="BU130" s="692">
        <v>6.9444444444444447E-4</v>
      </c>
      <c r="BX130" s="642" t="str">
        <f t="shared" si="27"/>
        <v>Jul</v>
      </c>
      <c r="BY130" s="649">
        <f>IF(CB130=$CB133,SUMIF($BI121:$BI132,$BX130,$BR121:$BR132),SUMIF($BI121:$BI132,$BX130,$BM121:$BM132))</f>
        <v>110</v>
      </c>
      <c r="BZ130" s="693">
        <f>IF(IF(CB130=CB133,SUMIF(BI121:BI132,$BX130,BU121:BU132),SUMIF(BI121:BI132,$BX130,BP121:BP132))=0,NA(),IF(CB130=CB133,SUMIF(BI121:BI132,$BX130,BU121:BU132),SUMIF(BI121:BI132,$BX130,BP121:BP132)))</f>
        <v>6.9444444444444447E-4</v>
      </c>
      <c r="CA130" s="694">
        <f>IF(IF(CB130=CB133,SUMIF(BI121:BI132,$BX130,BS121:BS132),SUMIF(BI121:BI132,$BX130,BN121:BN132))=0,NA(),IF(CB130=CB133,SUMIF(BI121:BI132,$BX130,BS121:BS132),SUMIF(BI121:BI132,$BX130,BN121:BN132)))</f>
        <v>5.7870370370370366E-5</v>
      </c>
      <c r="CB130" s="645">
        <f t="shared" si="30"/>
        <v>22</v>
      </c>
      <c r="CC130" s="645">
        <f t="shared" si="28"/>
        <v>7</v>
      </c>
    </row>
    <row r="131" spans="2:81" ht="14.65" customHeight="1">
      <c r="B131" s="553"/>
      <c r="C131" s="553"/>
      <c r="D131" s="553"/>
      <c r="E131" s="553"/>
      <c r="F131" s="553"/>
      <c r="G131" s="553"/>
      <c r="H131" s="553"/>
      <c r="I131" s="553"/>
      <c r="J131" s="553"/>
      <c r="K131" s="553"/>
      <c r="L131" s="553"/>
      <c r="M131" s="553"/>
      <c r="N131" s="553"/>
      <c r="O131" s="553"/>
      <c r="P131" s="553"/>
      <c r="Q131" s="558"/>
      <c r="R131" s="558"/>
      <c r="S131" s="558"/>
      <c r="T131" s="558"/>
      <c r="U131" s="558"/>
      <c r="V131" s="558"/>
      <c r="W131" s="558"/>
      <c r="X131" s="558"/>
      <c r="Y131" s="558"/>
      <c r="Z131" s="558"/>
      <c r="AA131" s="558"/>
      <c r="AB131" s="55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I131" s="638" t="s">
        <v>343</v>
      </c>
      <c r="BJ131" s="638">
        <v>11</v>
      </c>
      <c r="BK131" s="638" t="s">
        <v>338</v>
      </c>
      <c r="BL131" s="691">
        <f>BN131*BM131</f>
        <v>4.1666666666666666E-3</v>
      </c>
      <c r="BM131" s="714">
        <v>90</v>
      </c>
      <c r="BN131" s="695">
        <v>4.6296296296296294E-5</v>
      </c>
      <c r="BO131" s="285"/>
      <c r="BP131" s="692">
        <v>6.9444444444444447E-4</v>
      </c>
      <c r="BQ131" s="691">
        <f t="shared" si="31"/>
        <v>0</v>
      </c>
      <c r="BR131" s="714"/>
      <c r="BS131" s="695"/>
      <c r="BT131" s="285"/>
      <c r="BU131" s="692">
        <v>6.9444444444444447E-4</v>
      </c>
      <c r="BX131" s="642" t="str">
        <f t="shared" si="27"/>
        <v>Aug</v>
      </c>
      <c r="BY131" s="649">
        <f>IF(CB131=$CB133,SUMIF($BI121:$BI132,$BX131,$BR121:$BR132),SUMIF($BI121:$BI132,$BX131,$BM121:$BM132))</f>
        <v>90</v>
      </c>
      <c r="BZ131" s="693">
        <f>IF(IF(CB131=CB133,SUMIF(BI121:BI132,$BX131,BU121:BU132),SUMIF(BI121:BI132,$BX131,BP121:BP132))=0,NA(),IF(CB131=CB133,SUMIF(BI121:BI132,$BX131,BU121:BU132),SUMIF(BI121:BI132,$BX131,BP121:BP132)))</f>
        <v>6.9444444444444447E-4</v>
      </c>
      <c r="CA131" s="694">
        <f>IF(IF(CB131=CB133,SUMIF(BI121:BI132,$BX131,BS121:BS132),SUMIF(BI121:BI132,$BX131,BN121:BN132))=0,NA(),IF(CB131=CB133,SUMIF(BI121:BI132,$BX131,BS121:BS132),SUMIF(BI121:BI132,$BX131,BN121:BN132)))</f>
        <v>4.6296296296296294E-5</v>
      </c>
      <c r="CB131" s="645">
        <f t="shared" si="30"/>
        <v>22</v>
      </c>
      <c r="CC131" s="645">
        <f t="shared" si="28"/>
        <v>8</v>
      </c>
    </row>
    <row r="132" spans="2:81" ht="14.65" customHeight="1">
      <c r="B132" s="559"/>
      <c r="C132" s="559"/>
      <c r="D132" s="559"/>
      <c r="E132" s="559"/>
      <c r="F132" s="559"/>
      <c r="G132" s="559"/>
      <c r="H132" s="559"/>
      <c r="I132" s="559"/>
      <c r="J132" s="559"/>
      <c r="K132" s="560"/>
      <c r="L132" s="560"/>
      <c r="M132" s="560"/>
      <c r="N132" s="560"/>
      <c r="O132" s="560"/>
      <c r="P132" s="560"/>
      <c r="Q132" s="561"/>
      <c r="R132" s="561"/>
      <c r="S132" s="561"/>
      <c r="T132" s="560"/>
      <c r="U132" s="560"/>
      <c r="V132" s="560"/>
      <c r="W132" s="560"/>
      <c r="X132" s="560"/>
      <c r="Y132" s="560"/>
      <c r="Z132" s="560"/>
      <c r="AA132" s="560"/>
      <c r="AB132" s="560"/>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I132" s="638" t="s">
        <v>344</v>
      </c>
      <c r="BJ132" s="638">
        <v>12</v>
      </c>
      <c r="BK132" s="638" t="s">
        <v>338</v>
      </c>
      <c r="BL132" s="691">
        <f>BN132*BM132</f>
        <v>2.0902777777777777E-2</v>
      </c>
      <c r="BM132" s="699">
        <v>129</v>
      </c>
      <c r="BN132" s="696">
        <v>1.6203703703703703E-4</v>
      </c>
      <c r="BO132" s="286"/>
      <c r="BP132" s="692">
        <v>6.9444444444444447E-4</v>
      </c>
      <c r="BQ132" s="691">
        <f t="shared" si="31"/>
        <v>0</v>
      </c>
      <c r="BR132" s="699"/>
      <c r="BS132" s="696"/>
      <c r="BT132" s="286"/>
      <c r="BU132" s="692">
        <v>6.9444444444444447E-4</v>
      </c>
      <c r="BX132" s="642" t="str">
        <f t="shared" si="27"/>
        <v>Sep</v>
      </c>
      <c r="BY132" s="649">
        <f>IF(CB132=$CB133,SUMIF($BI121:$BI132,$BX132,$BR121:$BR132),SUMIF($BI121:$BI132,$BX132,$BM121:$BM132))</f>
        <v>129</v>
      </c>
      <c r="BZ132" s="693">
        <f>IF(IF(CB132=CB133,SUMIF(BI121:BI132,$BX132,BU121:BU132),SUMIF(BI121:BI132,$BX132,BP121:BP132))=0,NA(),IF(CB132=CB133,SUMIF(BI121:BI132,$BX132,BU121:BU132),SUMIF(BI121:BI132,$BX132,BP121:BP132)))</f>
        <v>6.9444444444444447E-4</v>
      </c>
      <c r="CA132" s="694">
        <f>IF(IF(CB132=CB133,SUMIF(BI121:BI132,$BX132,BS121:BS132),SUMIF(BI121:BI132,$BX132,BN121:BN132))=0,NA(),IF(CB132=CB133,SUMIF(BI121:BI132,$BX132,BS121:BS132),SUMIF(BI121:BI132,$BX132,BN121:BN132)))</f>
        <v>1.6203703703703703E-4</v>
      </c>
      <c r="CB132" s="645">
        <f t="shared" si="30"/>
        <v>22</v>
      </c>
      <c r="CC132" s="645">
        <f>IF(CC133-1&lt;1,CC133+11,CC133-1)</f>
        <v>9</v>
      </c>
    </row>
    <row r="133" spans="2:81" ht="14.65" customHeight="1">
      <c r="B133" s="248"/>
      <c r="C133" s="248"/>
      <c r="D133" s="248"/>
      <c r="E133" s="248"/>
      <c r="F133" s="248"/>
      <c r="G133" s="248"/>
      <c r="H133" s="248"/>
      <c r="I133" s="248"/>
      <c r="J133" s="248"/>
      <c r="K133" s="248"/>
      <c r="L133" s="248"/>
      <c r="M133" s="248"/>
      <c r="N133" s="248"/>
      <c r="O133" s="248"/>
      <c r="P133" s="248"/>
      <c r="Q133" s="248"/>
      <c r="R133" s="248"/>
      <c r="S133" s="248"/>
      <c r="T133" s="248"/>
      <c r="U133" s="248"/>
      <c r="V133" s="248"/>
      <c r="W133" s="248"/>
      <c r="X133" s="248"/>
      <c r="Y133" s="248"/>
      <c r="Z133" s="248"/>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J133" s="277"/>
      <c r="BK133" s="277"/>
      <c r="BL133" s="277"/>
      <c r="BM133" s="277"/>
      <c r="BN133" s="277"/>
      <c r="BO133" s="277"/>
      <c r="BP133" s="277"/>
      <c r="BQ133" s="277"/>
      <c r="BR133" s="277"/>
      <c r="BS133" s="277"/>
      <c r="BT133" s="277"/>
      <c r="BW133" s="647" t="str">
        <f>Cover!$M$34</f>
        <v>OCT FY-24</v>
      </c>
      <c r="BX133" s="642" t="str">
        <f>TEXT(CONCATENATE(CC133,"/01/20",CB133),"MMM")</f>
        <v>Oct</v>
      </c>
      <c r="BY133" s="649">
        <f>SUMIF($BI121:$BI132,$BX133,$BR121:$BR132)</f>
        <v>0</v>
      </c>
      <c r="BZ133" s="693">
        <f>IF(IF(CB133=CB133,SUMIF(BI121:BI132,$BX133,BU121:BU132),SUMIF(BI121:BI132,$BX133,BP121:BP132))=0,NA(),IF(CB133=CB133,SUMIF(BI121:BI132,$BX133,BU121:BU132),SUMIF(BI121:BI132,$BX133,BP121:BP132)))</f>
        <v>6.9444444444444447E-4</v>
      </c>
      <c r="CA133" s="694" t="e">
        <f>IF(SUMIF($BI121:$BI132,$BX133,$BS121:$BS132)=0,NA(),SUMIF($BI121:$BI132,$BX133,$BS121:$BS132))</f>
        <v>#N/A</v>
      </c>
      <c r="CB133" s="645">
        <f t="shared" si="30"/>
        <v>23</v>
      </c>
      <c r="CC133" s="645">
        <f>MONTH(DATEVALUE(LEFT(BW133,3)&amp;" 1"))</f>
        <v>10</v>
      </c>
    </row>
    <row r="134" spans="2:81" ht="14.65" customHeight="1">
      <c r="B134" s="248"/>
      <c r="C134" s="248"/>
      <c r="D134" s="248"/>
      <c r="E134" s="248"/>
      <c r="F134" s="248"/>
      <c r="G134" s="248"/>
      <c r="H134" s="248"/>
      <c r="I134" s="248"/>
      <c r="J134" s="248"/>
      <c r="K134" s="248"/>
      <c r="L134" s="248"/>
      <c r="M134" s="248"/>
      <c r="N134" s="248"/>
      <c r="O134" s="248"/>
      <c r="P134" s="248"/>
      <c r="Q134" s="248"/>
      <c r="R134" s="248"/>
      <c r="S134" s="248"/>
      <c r="T134" s="248"/>
      <c r="U134" s="248"/>
      <c r="V134" s="248"/>
      <c r="W134" s="248"/>
      <c r="X134" s="248"/>
      <c r="Y134" s="248"/>
      <c r="Z134" s="248"/>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J134" s="37"/>
      <c r="BK134" s="37"/>
      <c r="BL134" s="37"/>
      <c r="BM134" s="37"/>
      <c r="BN134" s="37"/>
      <c r="BO134" s="37"/>
      <c r="BP134" s="37"/>
      <c r="BQ134" s="37"/>
      <c r="BR134" s="37"/>
      <c r="BS134" s="37"/>
      <c r="BT134" s="37"/>
      <c r="BU134" s="37"/>
    </row>
    <row r="135" spans="2:81" ht="14.65" customHeight="1">
      <c r="B135" s="248"/>
      <c r="C135" s="248"/>
      <c r="D135" s="248"/>
      <c r="E135" s="248"/>
      <c r="F135" s="248"/>
      <c r="G135" s="248"/>
      <c r="H135" s="248"/>
      <c r="I135" s="248"/>
      <c r="J135" s="248"/>
      <c r="K135" s="248"/>
      <c r="L135" s="248"/>
      <c r="M135" s="248"/>
      <c r="N135" s="248"/>
      <c r="O135" s="248"/>
      <c r="P135" s="248"/>
      <c r="Q135" s="248"/>
      <c r="R135" s="248"/>
      <c r="S135" s="248"/>
      <c r="T135" s="248"/>
      <c r="U135" s="248"/>
      <c r="V135" s="248"/>
      <c r="W135" s="248"/>
      <c r="X135" s="248"/>
      <c r="Y135" s="248"/>
      <c r="Z135" s="248"/>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I135" s="54" t="s">
        <v>292</v>
      </c>
      <c r="BJ135" s="287" t="s">
        <v>157</v>
      </c>
      <c r="BK135" s="287"/>
      <c r="BL135" s="287"/>
      <c r="BM135" s="287"/>
      <c r="BN135" s="287"/>
      <c r="BO135" s="287"/>
      <c r="BP135" s="287"/>
      <c r="BQ135" s="287"/>
      <c r="BR135" s="287"/>
      <c r="BS135" s="287"/>
      <c r="BT135" s="287"/>
      <c r="BU135" s="287"/>
    </row>
    <row r="136" spans="2:81" ht="14.65" customHeight="1">
      <c r="B136" s="248"/>
      <c r="C136" s="248"/>
      <c r="D136" s="248"/>
      <c r="E136" s="248"/>
      <c r="F136" s="248"/>
      <c r="G136" s="248"/>
      <c r="H136" s="248"/>
      <c r="I136" s="248"/>
      <c r="J136" s="248"/>
      <c r="K136" s="248"/>
      <c r="L136" s="248"/>
      <c r="M136" s="248"/>
      <c r="N136" s="248"/>
      <c r="O136" s="248"/>
      <c r="P136" s="248"/>
      <c r="Q136" s="248"/>
      <c r="R136" s="248"/>
      <c r="S136" s="248"/>
      <c r="T136" s="248"/>
      <c r="U136" s="248"/>
      <c r="V136" s="248"/>
      <c r="W136" s="248"/>
      <c r="X136" s="248"/>
      <c r="Y136" s="248"/>
      <c r="Z136" s="248"/>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I136" s="54" t="s">
        <v>296</v>
      </c>
      <c r="BJ136" s="283" t="s">
        <v>156</v>
      </c>
      <c r="BK136" s="283"/>
      <c r="BL136" s="283"/>
      <c r="BM136" s="283"/>
      <c r="BN136" s="283"/>
      <c r="BO136" s="283"/>
      <c r="BP136" s="283"/>
      <c r="BQ136" s="283"/>
      <c r="BR136" s="283"/>
      <c r="BS136" s="283"/>
      <c r="BT136" s="283"/>
      <c r="BU136" s="283"/>
    </row>
    <row r="137" spans="2:81" ht="14.65" customHeight="1" thickBot="1">
      <c r="B137" s="248"/>
      <c r="C137" s="248"/>
      <c r="D137" s="248"/>
      <c r="E137" s="248"/>
      <c r="F137" s="248"/>
      <c r="G137" s="248"/>
      <c r="H137" s="248"/>
      <c r="I137" s="248"/>
      <c r="J137" s="248"/>
      <c r="K137" s="248"/>
      <c r="L137" s="248"/>
      <c r="M137" s="248"/>
      <c r="N137" s="248"/>
      <c r="O137" s="248"/>
      <c r="P137" s="248"/>
      <c r="Q137" s="248"/>
      <c r="R137" s="248"/>
      <c r="S137" s="248"/>
      <c r="T137" s="248"/>
      <c r="U137" s="248"/>
      <c r="V137" s="248"/>
      <c r="W137" s="248"/>
      <c r="X137" s="248"/>
      <c r="Y137" s="248"/>
      <c r="Z137" s="248"/>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I137" s="54" t="s">
        <v>300</v>
      </c>
      <c r="BJ137" s="283" t="s">
        <v>472</v>
      </c>
      <c r="BK137" s="283"/>
      <c r="BL137" s="283"/>
      <c r="BM137" s="283"/>
      <c r="BN137" s="283"/>
      <c r="BO137" s="283"/>
      <c r="BP137" s="283"/>
      <c r="BQ137" s="283"/>
      <c r="BR137" s="283"/>
      <c r="BS137" s="283"/>
      <c r="BT137" s="283"/>
      <c r="BU137" s="283"/>
    </row>
    <row r="138" spans="2:81" ht="14.65" customHeight="1" thickBot="1">
      <c r="B138" s="248"/>
      <c r="C138" s="248"/>
      <c r="D138" s="248"/>
      <c r="E138" s="248"/>
      <c r="F138" s="248"/>
      <c r="G138" s="248"/>
      <c r="H138" s="248"/>
      <c r="I138" s="248"/>
      <c r="J138" s="248"/>
      <c r="K138" s="248"/>
      <c r="L138" s="248"/>
      <c r="M138" s="248"/>
      <c r="N138" s="248"/>
      <c r="O138" s="248"/>
      <c r="P138" s="248"/>
      <c r="Q138" s="248"/>
      <c r="R138" s="248"/>
      <c r="S138" s="248"/>
      <c r="T138" s="248"/>
      <c r="U138" s="248"/>
      <c r="V138" s="248"/>
      <c r="W138" s="248"/>
      <c r="X138" s="248"/>
      <c r="Y138" s="248"/>
      <c r="Z138" s="248"/>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I138" s="1405" t="s">
        <v>458</v>
      </c>
      <c r="BJ138" s="1406"/>
      <c r="BK138" s="1407"/>
      <c r="BL138" s="1405" t="s">
        <v>487</v>
      </c>
      <c r="BM138" s="1406"/>
      <c r="BN138" s="1406"/>
      <c r="BO138" s="1406"/>
      <c r="BP138" s="1407"/>
      <c r="BQ138" s="1405" t="s">
        <v>301</v>
      </c>
      <c r="BR138" s="1406"/>
      <c r="BS138" s="1406"/>
      <c r="BT138" s="1406"/>
      <c r="BU138" s="1407"/>
      <c r="BW138" s="1405" t="s">
        <v>303</v>
      </c>
      <c r="BX138" s="1406"/>
      <c r="BY138" s="1406"/>
      <c r="BZ138" s="1406"/>
      <c r="CA138" s="1406"/>
      <c r="CB138" s="1406"/>
      <c r="CC138" s="1407"/>
    </row>
    <row r="139" spans="2:81" ht="14.65" customHeight="1">
      <c r="B139" s="248"/>
      <c r="C139" s="248"/>
      <c r="D139" s="248"/>
      <c r="E139" s="248"/>
      <c r="F139" s="248"/>
      <c r="G139" s="248"/>
      <c r="H139" s="248"/>
      <c r="I139" s="248"/>
      <c r="J139" s="248"/>
      <c r="K139" s="248"/>
      <c r="L139" s="248"/>
      <c r="M139" s="248"/>
      <c r="N139" s="248"/>
      <c r="O139" s="248"/>
      <c r="P139" s="248"/>
      <c r="Q139" s="248"/>
      <c r="R139" s="248"/>
      <c r="S139" s="248"/>
      <c r="T139" s="248"/>
      <c r="U139" s="248"/>
      <c r="V139" s="248"/>
      <c r="W139" s="248"/>
      <c r="X139" s="248"/>
      <c r="Y139" s="248"/>
      <c r="Z139" s="248"/>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I139" s="636" t="s">
        <v>23</v>
      </c>
      <c r="BJ139" s="636" t="s">
        <v>37</v>
      </c>
      <c r="BK139" s="636" t="s">
        <v>304</v>
      </c>
      <c r="BL139" s="637" t="s">
        <v>305</v>
      </c>
      <c r="BM139" s="637" t="s">
        <v>306</v>
      </c>
      <c r="BN139" s="637" t="s">
        <v>488</v>
      </c>
      <c r="BO139" s="278" t="s">
        <v>489</v>
      </c>
      <c r="BP139" s="637" t="s">
        <v>490</v>
      </c>
      <c r="BQ139" s="637" t="s">
        <v>305</v>
      </c>
      <c r="BR139" s="637" t="s">
        <v>310</v>
      </c>
      <c r="BS139" s="637" t="s">
        <v>307</v>
      </c>
      <c r="BT139" s="278" t="s">
        <v>308</v>
      </c>
      <c r="BU139" s="637" t="s">
        <v>309</v>
      </c>
      <c r="BW139" s="279" t="s">
        <v>314</v>
      </c>
      <c r="BX139" s="279" t="s">
        <v>23</v>
      </c>
      <c r="BY139" s="280" t="s">
        <v>315</v>
      </c>
      <c r="BZ139" s="279" t="s">
        <v>122</v>
      </c>
      <c r="CA139" s="279" t="s">
        <v>316</v>
      </c>
      <c r="CB139" s="279" t="s">
        <v>317</v>
      </c>
      <c r="CC139" s="279" t="s">
        <v>318</v>
      </c>
    </row>
    <row r="140" spans="2:81" ht="14.65" customHeight="1">
      <c r="B140" s="248"/>
      <c r="C140" s="248"/>
      <c r="D140" s="248"/>
      <c r="E140" s="248"/>
      <c r="F140" s="248"/>
      <c r="G140" s="248"/>
      <c r="H140" s="248"/>
      <c r="I140" s="248"/>
      <c r="J140" s="248"/>
      <c r="K140" s="248"/>
      <c r="L140" s="248"/>
      <c r="M140" s="248"/>
      <c r="N140" s="248"/>
      <c r="O140" s="248"/>
      <c r="P140" s="248"/>
      <c r="Q140" s="248"/>
      <c r="R140" s="248"/>
      <c r="S140" s="248"/>
      <c r="T140" s="248"/>
      <c r="U140" s="248"/>
      <c r="V140" s="248"/>
      <c r="W140" s="248"/>
      <c r="X140" s="248"/>
      <c r="Y140" s="248"/>
      <c r="Z140" s="248"/>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I140" s="638" t="s">
        <v>319</v>
      </c>
      <c r="BJ140" s="638">
        <v>1</v>
      </c>
      <c r="BK140" s="638" t="s">
        <v>320</v>
      </c>
      <c r="BL140" s="706">
        <v>118</v>
      </c>
      <c r="BM140" s="665">
        <v>120</v>
      </c>
      <c r="BN140" s="657">
        <f t="shared" ref="BN140:BN151" si="32">IF(BM140=0,0,BL140/BM140)</f>
        <v>0.98333333333333328</v>
      </c>
      <c r="BO140" s="281">
        <f>IF(SUM(BM140:BM142=0),0,SUM(BL140:BL142)/SUM(BM140:BM142))</f>
        <v>0.98160919540229885</v>
      </c>
      <c r="BP140" s="686">
        <v>0.8</v>
      </c>
      <c r="BQ140" s="706"/>
      <c r="BR140" s="665"/>
      <c r="BS140" s="686">
        <f t="shared" ref="BS140:BS150" si="33">IF(BR140=0,0,BQ140/BR140)</f>
        <v>0</v>
      </c>
      <c r="BT140" s="281">
        <f>IF(SUM(BR140:BR142=0),0,SUM(BQ140:BQ142)/SUM(BR140:BR142))</f>
        <v>0</v>
      </c>
      <c r="BU140" s="657">
        <v>0.8</v>
      </c>
      <c r="BX140" s="642" t="str">
        <f t="shared" ref="BX140:BX151" si="34">TEXT(CONCATENATE(CC140,"/01/20",CB140),"MMM")</f>
        <v>Oct</v>
      </c>
      <c r="BY140" s="649">
        <f>IF(CB140=$CB152,SUMIF($BI140:$BI151,$BX140,$BR140:$BR151),SUMIF($BI140:$BI151,$BX140,$BM140:$BM151))</f>
        <v>120</v>
      </c>
      <c r="BZ140" s="641">
        <f>IF(IF(CB140=CB152,SUMIF(BI140:BI151,$BX140,BU140:BU151),SUMIF(BI140:BI151,$BX140,BP140:BP151))=0,NA(),IF(CB140=CB152,SUMIF(BI140:BI151,$BX140,BU140:BU151),SUMIF(BI140:BI151,$BX140,BP140:BP151)))</f>
        <v>0.8</v>
      </c>
      <c r="CA140" s="644">
        <f>IF(IF(CB140=CB152,SUMIF(BI140:BI151,$BX140,BS140:BS151),SUMIF(BI140:BI151,$BX140,BN140:BN151))=0,NA(),IF(CB140=CB152,SUMIF(BI140:BI151,$BX140,BS140:BS151),SUMIF(BI140:BI151,$BX140,BN140:BN151)))</f>
        <v>0.98333333333333328</v>
      </c>
      <c r="CB140" s="645">
        <f>CB121</f>
        <v>22</v>
      </c>
      <c r="CC140" s="645">
        <f t="shared" ref="CC140:CC150" si="35">IF(CC141-1&lt;1,CC141+11,CC141-1)</f>
        <v>10</v>
      </c>
    </row>
    <row r="141" spans="2:81" ht="14.65" customHeight="1">
      <c r="B141" s="248"/>
      <c r="C141" s="248"/>
      <c r="D141" s="248"/>
      <c r="E141" s="248"/>
      <c r="F141" s="248"/>
      <c r="G141" s="248"/>
      <c r="H141" s="248"/>
      <c r="I141" s="248"/>
      <c r="J141" s="248"/>
      <c r="K141" s="248"/>
      <c r="L141" s="248"/>
      <c r="M141" s="248"/>
      <c r="N141" s="248"/>
      <c r="O141" s="248"/>
      <c r="P141" s="248"/>
      <c r="Q141" s="248"/>
      <c r="R141" s="248"/>
      <c r="S141" s="248"/>
      <c r="T141" s="248"/>
      <c r="U141" s="248"/>
      <c r="V141" s="248"/>
      <c r="W141" s="248"/>
      <c r="X141" s="248"/>
      <c r="Y141" s="248"/>
      <c r="Z141" s="248"/>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I141" s="638" t="s">
        <v>321</v>
      </c>
      <c r="BJ141" s="638">
        <v>2</v>
      </c>
      <c r="BK141" s="638" t="s">
        <v>320</v>
      </c>
      <c r="BL141" s="706">
        <v>149</v>
      </c>
      <c r="BM141" s="646">
        <v>152</v>
      </c>
      <c r="BN141" s="657">
        <f t="shared" si="32"/>
        <v>0.98026315789473684</v>
      </c>
      <c r="BP141" s="686">
        <v>0.8</v>
      </c>
      <c r="BQ141" s="706"/>
      <c r="BR141" s="646"/>
      <c r="BS141" s="686">
        <f t="shared" si="33"/>
        <v>0</v>
      </c>
      <c r="BU141" s="657">
        <v>0.8</v>
      </c>
      <c r="BX141" s="642" t="str">
        <f t="shared" si="34"/>
        <v>Nov</v>
      </c>
      <c r="BY141" s="649">
        <f>IF(CB141=$CB152,SUMIF($BI140:$BI151,$BX141,$BR140:$BR151),SUMIF($BI140:$BI151,$BX141,$BM140:$BM151))</f>
        <v>152</v>
      </c>
      <c r="BZ141" s="641">
        <f>IF(IF(CB141=CB152,SUMIF(BI140:BI151,$BX141,BU140:BU151),SUMIF(BI140:BI151,$BX141,BP140:BP151))=0,NA(),IF(CB141=CB152,SUMIF(BI140:BI151,$BX141,BU140:BU151),SUMIF(BI140:BI151,$BX141,BP140:BP151)))</f>
        <v>0.8</v>
      </c>
      <c r="CA141" s="644">
        <f>IF(IF(CB141=CB152,SUMIF(BI140:BI151,$BX141,BS140:BS151),SUMIF(BI140:BI151,$BX141,BN140:BN151))=0,NA(),IF(CB141=CB152,SUMIF(BI140:BI151,$BX141,BS140:BS151),SUMIF(BI140:BI151,$BX141,BN140:BN151)))</f>
        <v>0.98026315789473684</v>
      </c>
      <c r="CB141" s="645">
        <f t="shared" ref="CB141:CB152" si="36">CB122</f>
        <v>22</v>
      </c>
      <c r="CC141" s="645">
        <f t="shared" si="35"/>
        <v>11</v>
      </c>
    </row>
    <row r="142" spans="2:81" ht="14.65" customHeight="1">
      <c r="B142" s="248"/>
      <c r="C142" s="248"/>
      <c r="D142" s="248"/>
      <c r="E142" s="248"/>
      <c r="F142" s="248"/>
      <c r="G142" s="248"/>
      <c r="H142" s="248"/>
      <c r="I142" s="248"/>
      <c r="J142" s="248"/>
      <c r="K142" s="248"/>
      <c r="L142" s="248"/>
      <c r="M142" s="248"/>
      <c r="N142" s="248"/>
      <c r="O142" s="248"/>
      <c r="P142" s="248"/>
      <c r="Q142" s="248"/>
      <c r="R142" s="248"/>
      <c r="S142" s="248"/>
      <c r="T142" s="248"/>
      <c r="U142" s="248"/>
      <c r="V142" s="248"/>
      <c r="W142" s="248"/>
      <c r="X142" s="248"/>
      <c r="Y142" s="248"/>
      <c r="Z142" s="248"/>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I142" s="638" t="s">
        <v>322</v>
      </c>
      <c r="BJ142" s="638">
        <v>3</v>
      </c>
      <c r="BK142" s="638" t="s">
        <v>320</v>
      </c>
      <c r="BL142" s="706">
        <v>160</v>
      </c>
      <c r="BM142" s="646">
        <v>163</v>
      </c>
      <c r="BN142" s="657">
        <f t="shared" si="32"/>
        <v>0.98159509202453987</v>
      </c>
      <c r="BP142" s="686">
        <v>0.8</v>
      </c>
      <c r="BQ142" s="706"/>
      <c r="BR142" s="646"/>
      <c r="BS142" s="686">
        <f t="shared" si="33"/>
        <v>0</v>
      </c>
      <c r="BU142" s="657">
        <v>0.8</v>
      </c>
      <c r="BX142" s="642" t="str">
        <f t="shared" si="34"/>
        <v>Dec</v>
      </c>
      <c r="BY142" s="649">
        <f>IF(CB142=$CB152,SUMIF($BI140:$BI151,$BX142,$BR140:$BR151),SUMIF($BI140:$BI151,$BX142,$BM140:$BM151))</f>
        <v>163</v>
      </c>
      <c r="BZ142" s="641">
        <f>IF(IF(CB142=CB152,SUMIF(BI140:BI151,$BX142,BU140:BU151),SUMIF(BI140:BI151,$BX142,BP140:BP151))=0,NA(),IF(CB142=CB152,SUMIF(BI140:BI151,$BX142,BU140:BU151),SUMIF(BI140:BI151,$BX142,BP140:BP151)))</f>
        <v>0.8</v>
      </c>
      <c r="CA142" s="644">
        <f>IF(IF(CB142=CB152,SUMIF(BI140:BI151,$BX142,BS140:BS151),SUMIF(BI140:BI151,$BX142,BN140:BN151))=0,NA(),IF(CB142=CB152,SUMIF(BI140:BI151,$BX142,BS140:BS151),SUMIF(BI140:BI151,$BX142,BN140:BN151)))</f>
        <v>0.98159509202453987</v>
      </c>
      <c r="CB142" s="645">
        <f t="shared" si="36"/>
        <v>22</v>
      </c>
      <c r="CC142" s="645">
        <f t="shared" si="35"/>
        <v>12</v>
      </c>
    </row>
    <row r="143" spans="2:81" ht="14.65" customHeight="1">
      <c r="B143" s="248"/>
      <c r="C143" s="248"/>
      <c r="D143" s="248"/>
      <c r="E143" s="248"/>
      <c r="F143" s="248"/>
      <c r="G143" s="248"/>
      <c r="H143" s="248"/>
      <c r="I143" s="248"/>
      <c r="J143" s="248"/>
      <c r="K143" s="248"/>
      <c r="L143" s="248"/>
      <c r="M143" s="248"/>
      <c r="N143" s="248"/>
      <c r="O143" s="248"/>
      <c r="P143" s="248"/>
      <c r="Q143" s="248"/>
      <c r="R143" s="248"/>
      <c r="S143" s="248"/>
      <c r="T143" s="248"/>
      <c r="U143" s="248"/>
      <c r="V143" s="248"/>
      <c r="W143" s="248"/>
      <c r="X143" s="248"/>
      <c r="Y143" s="248"/>
      <c r="Z143" s="248"/>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I143" s="638" t="s">
        <v>323</v>
      </c>
      <c r="BJ143" s="638">
        <v>4</v>
      </c>
      <c r="BK143" s="638" t="s">
        <v>324</v>
      </c>
      <c r="BL143" s="706">
        <v>98</v>
      </c>
      <c r="BM143" s="646">
        <v>99</v>
      </c>
      <c r="BN143" s="657">
        <f t="shared" si="32"/>
        <v>0.98989898989898994</v>
      </c>
      <c r="BO143" s="281">
        <f>IF(SUM(BM143:BM145=0),0,SUM(BL143:BL145)/SUM(BM143:BM145))</f>
        <v>0.98392282958199362</v>
      </c>
      <c r="BP143" s="686">
        <v>0.8</v>
      </c>
      <c r="BQ143" s="706"/>
      <c r="BR143" s="646"/>
      <c r="BS143" s="686">
        <f t="shared" si="33"/>
        <v>0</v>
      </c>
      <c r="BT143" s="281">
        <f>IF(SUM(BR143:BR145=0),0,SUM(BQ143:BQ145)/SUM(BR143:BR145))</f>
        <v>0</v>
      </c>
      <c r="BU143" s="657">
        <v>0.8</v>
      </c>
      <c r="BX143" s="642" t="str">
        <f t="shared" si="34"/>
        <v>Jan</v>
      </c>
      <c r="BY143" s="649">
        <f>IF(CB143=$CB152,SUMIF($BI140:$BI151,$BX143,$BR140:$BR151),SUMIF($BI140:$BI151,$BX143,$BM140:$BM151))</f>
        <v>99</v>
      </c>
      <c r="BZ143" s="641">
        <f>IF(IF(CB143=CB152,SUMIF(BI140:BI151,$BX143,BU140:BU151),SUMIF(BI140:BI151,$BX143,BP140:BP151))=0,NA(),IF(CB143=CB152,SUMIF(BI140:BI151,$BX143,BU140:BU151),SUMIF(BI140:BI151,$BX143,BP140:BP151)))</f>
        <v>0.8</v>
      </c>
      <c r="CA143" s="644">
        <f>IF(IF(CB143=CB152,SUMIF(BI140:BI151,$BX143,BS140:BS151),SUMIF(BI140:BI151,$BX143,BN140:BN151))=0,NA(),IF(CB143=CB152,SUMIF(BI140:BI151,$BX143,BS140:BS151),SUMIF(BI140:BI151,$BX143,BN140:BN151)))</f>
        <v>0.98989898989898994</v>
      </c>
      <c r="CB143" s="645">
        <f t="shared" si="36"/>
        <v>22</v>
      </c>
      <c r="CC143" s="645">
        <f t="shared" si="35"/>
        <v>1</v>
      </c>
    </row>
    <row r="144" spans="2:81" ht="14.65" customHeight="1">
      <c r="B144" s="248"/>
      <c r="C144" s="248"/>
      <c r="D144" s="248"/>
      <c r="E144" s="248"/>
      <c r="F144" s="248"/>
      <c r="G144" s="248"/>
      <c r="H144" s="248"/>
      <c r="I144" s="248"/>
      <c r="J144" s="248"/>
      <c r="K144" s="248"/>
      <c r="L144" s="248"/>
      <c r="M144" s="248"/>
      <c r="N144" s="248"/>
      <c r="O144" s="248"/>
      <c r="P144" s="248"/>
      <c r="Q144" s="248"/>
      <c r="R144" s="248"/>
      <c r="S144" s="248"/>
      <c r="T144" s="248"/>
      <c r="U144" s="248"/>
      <c r="V144" s="248"/>
      <c r="W144" s="248"/>
      <c r="X144" s="248"/>
      <c r="Y144" s="248"/>
      <c r="Z144" s="248"/>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I144" s="638" t="s">
        <v>325</v>
      </c>
      <c r="BJ144" s="638">
        <v>5</v>
      </c>
      <c r="BK144" s="638" t="s">
        <v>324</v>
      </c>
      <c r="BL144" s="639">
        <v>117</v>
      </c>
      <c r="BM144" s="639">
        <v>118</v>
      </c>
      <c r="BN144" s="657">
        <f t="shared" si="32"/>
        <v>0.99152542372881358</v>
      </c>
      <c r="BP144" s="686">
        <v>0.8</v>
      </c>
      <c r="BQ144" s="639"/>
      <c r="BR144" s="639"/>
      <c r="BS144" s="686">
        <f t="shared" si="33"/>
        <v>0</v>
      </c>
      <c r="BU144" s="657">
        <v>0.8</v>
      </c>
      <c r="BX144" s="642" t="str">
        <f t="shared" si="34"/>
        <v>Feb</v>
      </c>
      <c r="BY144" s="649">
        <f>IF(CB144=$CB152,SUMIF($BI140:$BI151,$BX144,$BR140:$BR151),SUMIF($BI140:$BI151,$BX144,$BM140:$BM151))</f>
        <v>118</v>
      </c>
      <c r="BZ144" s="641">
        <f>IF(IF(CB144=CB152,SUMIF(BI140:BI151,$BX144,BU140:BU151),SUMIF(BI140:BI151,$BX144,BP140:BP151))=0,NA(),IF(CB144=CB152,SUMIF(BI140:BI151,$BX144,BU140:BU151),SUMIF(BI140:BI151,$BX144,BP140:BP151)))</f>
        <v>0.8</v>
      </c>
      <c r="CA144" s="644">
        <f>IF(IF(CB144=CB152,SUMIF(BI140:BI151,$BX144,BS140:BS151),SUMIF(BI140:BI151,$BX144,BN140:BN151))=0,NA(),IF(CB144=CB152,SUMIF(BI140:BI151,$BX144,BS140:BS151),SUMIF(BI140:BI151,$BX144,BN140:BN151)))</f>
        <v>0.99152542372881358</v>
      </c>
      <c r="CB144" s="645">
        <f t="shared" si="36"/>
        <v>22</v>
      </c>
      <c r="CC144" s="645">
        <f t="shared" si="35"/>
        <v>2</v>
      </c>
    </row>
    <row r="145" spans="2:81" ht="14.65" customHeight="1">
      <c r="B145" s="248"/>
      <c r="C145" s="248"/>
      <c r="D145" s="248"/>
      <c r="E145" s="248"/>
      <c r="F145" s="248"/>
      <c r="G145" s="248"/>
      <c r="H145" s="248"/>
      <c r="I145" s="248"/>
      <c r="J145" s="248"/>
      <c r="K145" s="248"/>
      <c r="L145" s="248"/>
      <c r="M145" s="248"/>
      <c r="N145" s="248"/>
      <c r="O145" s="248"/>
      <c r="P145" s="248"/>
      <c r="Q145" s="248"/>
      <c r="R145" s="248"/>
      <c r="S145" s="248"/>
      <c r="T145" s="248"/>
      <c r="U145" s="248"/>
      <c r="V145" s="248"/>
      <c r="W145" s="248"/>
      <c r="X145" s="248"/>
      <c r="Y145" s="248"/>
      <c r="Z145" s="248"/>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I145" s="638" t="s">
        <v>326</v>
      </c>
      <c r="BJ145" s="638">
        <v>6</v>
      </c>
      <c r="BK145" s="638" t="s">
        <v>324</v>
      </c>
      <c r="BL145" s="639">
        <v>91</v>
      </c>
      <c r="BM145" s="639">
        <v>94</v>
      </c>
      <c r="BN145" s="657">
        <f t="shared" si="32"/>
        <v>0.96808510638297873</v>
      </c>
      <c r="BP145" s="686">
        <v>0.8</v>
      </c>
      <c r="BQ145" s="639"/>
      <c r="BR145" s="639"/>
      <c r="BS145" s="686">
        <f t="shared" si="33"/>
        <v>0</v>
      </c>
      <c r="BU145" s="657">
        <v>0.8</v>
      </c>
      <c r="BX145" s="642" t="str">
        <f t="shared" si="34"/>
        <v>Mar</v>
      </c>
      <c r="BY145" s="649">
        <f>IF(CB145=$CB152,SUMIF($BI140:$BI151,$BX145,$BR140:$BR151),SUMIF($BI140:$BI151,$BX145,$BM140:$BM151))</f>
        <v>94</v>
      </c>
      <c r="BZ145" s="641">
        <f>IF(IF(CB145=CB152,SUMIF(BI140:BI151,$BX145,BU140:BU151),SUMIF(BI140:BI151,$BX145,BP140:BP151))=0,NA(),IF(CB145=CB152,SUMIF(BI140:BI151,$BX145,BU140:BU151),SUMIF(BI140:BI151,$BX145,BP140:BP151)))</f>
        <v>0.8</v>
      </c>
      <c r="CA145" s="644">
        <f>IF(IF(CB145=CB152,SUMIF(BI140:BI151,$BX145,BS140:BS151),SUMIF(BI140:BI151,$BX145,BN140:BN151))=0,NA(),IF(CB145=CB152,SUMIF(BI140:BI151,$BX145,BS140:BS151),SUMIF(BI140:BI151,$BX145,BN140:BN151)))</f>
        <v>0.96808510638297873</v>
      </c>
      <c r="CB145" s="645">
        <f t="shared" si="36"/>
        <v>22</v>
      </c>
      <c r="CC145" s="645">
        <f t="shared" si="35"/>
        <v>3</v>
      </c>
    </row>
    <row r="146" spans="2:81" ht="14.65" customHeight="1">
      <c r="B146" s="248"/>
      <c r="C146" s="248"/>
      <c r="D146" s="248"/>
      <c r="E146" s="248"/>
      <c r="F146" s="248"/>
      <c r="G146" s="248"/>
      <c r="H146" s="248"/>
      <c r="I146" s="248"/>
      <c r="J146" s="248"/>
      <c r="K146" s="248"/>
      <c r="L146" s="248"/>
      <c r="M146" s="248"/>
      <c r="N146" s="248"/>
      <c r="O146" s="248"/>
      <c r="P146" s="248"/>
      <c r="Q146" s="248"/>
      <c r="R146" s="248"/>
      <c r="S146" s="248"/>
      <c r="T146" s="248"/>
      <c r="U146" s="248"/>
      <c r="V146" s="248"/>
      <c r="W146" s="248"/>
      <c r="X146" s="248"/>
      <c r="Y146" s="248"/>
      <c r="Z146" s="248"/>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I146" s="638" t="s">
        <v>327</v>
      </c>
      <c r="BJ146" s="638">
        <v>7</v>
      </c>
      <c r="BK146" s="638" t="s">
        <v>328</v>
      </c>
      <c r="BL146" s="651">
        <v>91</v>
      </c>
      <c r="BM146" s="651">
        <v>92</v>
      </c>
      <c r="BN146" s="657">
        <f t="shared" si="32"/>
        <v>0.98913043478260865</v>
      </c>
      <c r="BO146" s="281">
        <f>IF(SUM(BM146:BM148=0),0,SUM(BL146:BL148)/SUM(BM146:BM148))</f>
        <v>0.99354838709677418</v>
      </c>
      <c r="BP146" s="686">
        <v>0.8</v>
      </c>
      <c r="BQ146" s="651"/>
      <c r="BR146" s="651"/>
      <c r="BS146" s="686">
        <f t="shared" si="33"/>
        <v>0</v>
      </c>
      <c r="BT146" s="281">
        <f>IF(SUM(BR146:BR148=0),0,SUM(BQ146:BQ148)/SUM(BR146:BR148))</f>
        <v>0</v>
      </c>
      <c r="BU146" s="657">
        <v>0.8</v>
      </c>
      <c r="BX146" s="642" t="str">
        <f t="shared" si="34"/>
        <v>Apr</v>
      </c>
      <c r="BY146" s="649">
        <f>IF(CB146=$CB152,SUMIF($BI140:$BI151,$BX146,$BR140:$BR151),SUMIF($BI140:$BI151,$BX146,$BM140:$BM151))</f>
        <v>92</v>
      </c>
      <c r="BZ146" s="641">
        <f>IF(IF(CB146=CB152,SUMIF(BI140:BI151,$BX146,BU140:BU151),SUMIF(BI140:BI151,$BX146,BP140:BP151))=0,NA(),IF(CB146=CB152,SUMIF(BI140:BI151,$BX146,BU140:BU151),SUMIF(BI140:BI151,$BX146,BP140:BP151)))</f>
        <v>0.8</v>
      </c>
      <c r="CA146" s="644">
        <f>IF(IF(CB146=CB152,SUMIF(BI140:BI151,$BX146,BS140:BS151),SUMIF(BI140:BI151,$BX146,BN140:BN151))=0,NA(),IF(CB146=CB152,SUMIF(BI140:BI151,$BX146,BS140:BS151),SUMIF(BI140:BI151,$BX146,BN140:BN151)))</f>
        <v>0.98913043478260865</v>
      </c>
      <c r="CB146" s="645">
        <f t="shared" si="36"/>
        <v>22</v>
      </c>
      <c r="CC146" s="645">
        <f t="shared" si="35"/>
        <v>4</v>
      </c>
    </row>
    <row r="147" spans="2:81" ht="14.65" customHeight="1">
      <c r="B147" s="248"/>
      <c r="C147" s="248"/>
      <c r="D147" s="248"/>
      <c r="E147" s="248"/>
      <c r="F147" s="248"/>
      <c r="G147" s="248"/>
      <c r="H147" s="248"/>
      <c r="I147" s="248"/>
      <c r="J147" s="248"/>
      <c r="K147" s="248"/>
      <c r="L147" s="248"/>
      <c r="M147" s="248"/>
      <c r="N147" s="248"/>
      <c r="O147" s="248"/>
      <c r="P147" s="248"/>
      <c r="Q147" s="248"/>
      <c r="R147" s="248"/>
      <c r="S147" s="248"/>
      <c r="T147" s="248"/>
      <c r="U147" s="248"/>
      <c r="V147" s="248"/>
      <c r="W147" s="248"/>
      <c r="X147" s="248"/>
      <c r="Y147" s="248"/>
      <c r="Z147" s="248"/>
      <c r="AA147" s="248"/>
      <c r="AB147" s="248"/>
      <c r="AC147" s="248"/>
      <c r="AD147" s="248"/>
      <c r="AE147" s="248"/>
      <c r="AF147" s="248"/>
      <c r="AG147" s="248"/>
      <c r="AH147" s="248"/>
      <c r="AI147" s="248"/>
      <c r="AJ147" s="248"/>
      <c r="AK147" s="248"/>
      <c r="AL147" s="248"/>
      <c r="AM147" s="248"/>
      <c r="AN147" s="248"/>
      <c r="AO147" s="248"/>
      <c r="AP147" s="248"/>
      <c r="AQ147" s="248"/>
      <c r="AR147" s="248"/>
      <c r="AS147" s="248"/>
      <c r="AT147" s="248"/>
      <c r="AU147" s="248"/>
      <c r="AV147" s="248"/>
      <c r="AW147" s="248"/>
      <c r="AX147" s="248"/>
      <c r="AY147" s="248"/>
      <c r="AZ147" s="248"/>
      <c r="BA147" s="248"/>
      <c r="BB147" s="248"/>
      <c r="BC147" s="248"/>
      <c r="BD147" s="248"/>
      <c r="BE147" s="248"/>
      <c r="BI147" s="638" t="s">
        <v>329</v>
      </c>
      <c r="BJ147" s="638">
        <v>8</v>
      </c>
      <c r="BK147" s="638" t="s">
        <v>328</v>
      </c>
      <c r="BL147" s="651">
        <v>90</v>
      </c>
      <c r="BM147" s="651">
        <v>90</v>
      </c>
      <c r="BN147" s="657">
        <f t="shared" si="32"/>
        <v>1</v>
      </c>
      <c r="BP147" s="686">
        <v>0.8</v>
      </c>
      <c r="BQ147" s="651"/>
      <c r="BR147" s="651"/>
      <c r="BS147" s="686">
        <f t="shared" si="33"/>
        <v>0</v>
      </c>
      <c r="BU147" s="657">
        <v>0.8</v>
      </c>
      <c r="BX147" s="642" t="str">
        <f t="shared" si="34"/>
        <v>May</v>
      </c>
      <c r="BY147" s="649">
        <f>IF(CB147=$CB152,SUMIF($BI140:$BI151,$BX147,$BR140:$BR151),SUMIF($BI140:$BI151,$BX147,$BM140:$BM151))</f>
        <v>90</v>
      </c>
      <c r="BZ147" s="641">
        <f>IF(IF(CB147=CB152,SUMIF(BI140:BI151,$BX147,BU140:BU151),SUMIF(BI140:BI151,$BX147,BP140:BP151))=0,NA(),IF(CB147=CB152,SUMIF(BI140:BI151,$BX147,BU140:BU151),SUMIF(BI140:BI151,$BX147,BP140:BP151)))</f>
        <v>0.8</v>
      </c>
      <c r="CA147" s="644">
        <f>IF(IF(CB147=CB152,SUMIF(BI140:BI151,$BX147,BS140:BS151),SUMIF(BI140:BI151,$BX147,BN140:BN151))=0,NA(),IF(CB147=CB152,SUMIF(BI140:BI151,$BX147,BS140:BS151),SUMIF(BI140:BI151,$BX147,BN140:BN151)))</f>
        <v>1</v>
      </c>
      <c r="CB147" s="645">
        <f t="shared" si="36"/>
        <v>22</v>
      </c>
      <c r="CC147" s="645">
        <f t="shared" si="35"/>
        <v>5</v>
      </c>
    </row>
    <row r="148" spans="2:81" ht="14.65" customHeight="1">
      <c r="B148" s="248"/>
      <c r="C148" s="248"/>
      <c r="D148" s="248"/>
      <c r="E148" s="248"/>
      <c r="F148" s="248"/>
      <c r="G148" s="248"/>
      <c r="H148" s="248"/>
      <c r="I148" s="248"/>
      <c r="J148" s="248"/>
      <c r="K148" s="248"/>
      <c r="L148" s="248"/>
      <c r="M148" s="248"/>
      <c r="N148" s="248"/>
      <c r="O148" s="248"/>
      <c r="P148" s="248"/>
      <c r="Q148" s="248"/>
      <c r="R148" s="248"/>
      <c r="S148" s="248"/>
      <c r="T148" s="248"/>
      <c r="U148" s="248"/>
      <c r="V148" s="248"/>
      <c r="W148" s="248"/>
      <c r="X148" s="248"/>
      <c r="Y148" s="248"/>
      <c r="Z148" s="248"/>
      <c r="AA148" s="248"/>
      <c r="AB148" s="248"/>
      <c r="AC148" s="248"/>
      <c r="AD148" s="248"/>
      <c r="AE148" s="248"/>
      <c r="AF148" s="248"/>
      <c r="AG148" s="248"/>
      <c r="AH148" s="248"/>
      <c r="AI148" s="248"/>
      <c r="AJ148" s="248"/>
      <c r="AK148" s="248"/>
      <c r="AL148" s="248"/>
      <c r="AM148" s="248"/>
      <c r="AN148" s="248"/>
      <c r="AO148" s="248"/>
      <c r="AP148" s="248"/>
      <c r="AQ148" s="248"/>
      <c r="AR148" s="248"/>
      <c r="AS148" s="248"/>
      <c r="AT148" s="248"/>
      <c r="AU148" s="248"/>
      <c r="AV148" s="248"/>
      <c r="AW148" s="248"/>
      <c r="AX148" s="248"/>
      <c r="AY148" s="248"/>
      <c r="AZ148" s="248"/>
      <c r="BA148" s="248"/>
      <c r="BB148" s="248"/>
      <c r="BC148" s="248"/>
      <c r="BD148" s="248"/>
      <c r="BE148" s="248"/>
      <c r="BI148" s="638" t="s">
        <v>331</v>
      </c>
      <c r="BJ148" s="638">
        <v>9</v>
      </c>
      <c r="BK148" s="638" t="s">
        <v>328</v>
      </c>
      <c r="BL148" s="651">
        <v>127</v>
      </c>
      <c r="BM148" s="651">
        <v>128</v>
      </c>
      <c r="BN148" s="657">
        <f t="shared" si="32"/>
        <v>0.9921875</v>
      </c>
      <c r="BP148" s="686">
        <v>0.8</v>
      </c>
      <c r="BQ148" s="651"/>
      <c r="BR148" s="651"/>
      <c r="BS148" s="686">
        <f t="shared" si="33"/>
        <v>0</v>
      </c>
      <c r="BU148" s="657">
        <v>0.8</v>
      </c>
      <c r="BX148" s="642" t="str">
        <f t="shared" si="34"/>
        <v>Jun</v>
      </c>
      <c r="BY148" s="649">
        <f>IF(CB148=$CB152,SUMIF($BI140:$BI151,$BX148,$BR140:$BR151),SUMIF($BI140:$BI151,$BX148,$BM140:$BM151))</f>
        <v>128</v>
      </c>
      <c r="BZ148" s="641">
        <f>IF(IF(CB148=CB152,SUMIF(BI140:BI151,$BX148,BU140:BU151),SUMIF(BI140:BI151,$BX148,BP140:BP151))=0,NA(),IF(CB148=CB152,SUMIF(BI140:BI151,$BX148,BU140:BU151),SUMIF(BI140:BI151,$BX148,BP140:BP151)))</f>
        <v>0.8</v>
      </c>
      <c r="CA148" s="644">
        <f>IF(IF(CB148=CB152,SUMIF(BI140:BI151,$BX148,BS140:BS151),SUMIF(BI140:BI151,$BX148,BN140:BN151))=0,NA(),IF(CB148=CB152,SUMIF(BI140:BI151,$BX148,BS140:BS151),SUMIF(BI140:BI151,$BX148,BN140:BN151)))</f>
        <v>0.9921875</v>
      </c>
      <c r="CB148" s="645">
        <f t="shared" si="36"/>
        <v>22</v>
      </c>
      <c r="CC148" s="645">
        <f t="shared" si="35"/>
        <v>6</v>
      </c>
    </row>
    <row r="149" spans="2:81" ht="14.65" customHeight="1">
      <c r="B149" s="248"/>
      <c r="C149" s="248"/>
      <c r="D149" s="248"/>
      <c r="E149" s="248"/>
      <c r="F149" s="248"/>
      <c r="G149" s="248"/>
      <c r="H149" s="248"/>
      <c r="I149" s="248"/>
      <c r="J149" s="248"/>
      <c r="K149" s="248"/>
      <c r="L149" s="248"/>
      <c r="M149" s="248"/>
      <c r="N149" s="248"/>
      <c r="O149" s="248"/>
      <c r="P149" s="248"/>
      <c r="Q149" s="248"/>
      <c r="R149" s="248"/>
      <c r="S149" s="248"/>
      <c r="T149" s="248"/>
      <c r="U149" s="248"/>
      <c r="V149" s="248"/>
      <c r="W149" s="248"/>
      <c r="X149" s="248"/>
      <c r="Y149" s="248"/>
      <c r="Z149" s="248"/>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I149" s="638" t="s">
        <v>337</v>
      </c>
      <c r="BJ149" s="638">
        <v>10</v>
      </c>
      <c r="BK149" s="638" t="s">
        <v>338</v>
      </c>
      <c r="BL149" s="703">
        <v>110</v>
      </c>
      <c r="BM149" s="703">
        <v>110</v>
      </c>
      <c r="BN149" s="657">
        <f t="shared" si="32"/>
        <v>1</v>
      </c>
      <c r="BO149" s="281">
        <f>IF(SUM(BM149:BM151=0),0,SUM(BL149:BL151)/SUM(BM149:BM151))</f>
        <v>0.97872340425531912</v>
      </c>
      <c r="BP149" s="686">
        <v>0.8</v>
      </c>
      <c r="BQ149" s="703"/>
      <c r="BR149" s="703"/>
      <c r="BS149" s="686">
        <f t="shared" si="33"/>
        <v>0</v>
      </c>
      <c r="BT149" s="281">
        <f>IF(SUM(BR149:BR151=0),0,SUM(BQ149:BQ151)/SUM(BR149:BR151))</f>
        <v>0</v>
      </c>
      <c r="BU149" s="657">
        <v>0.8</v>
      </c>
      <c r="BX149" s="642" t="str">
        <f t="shared" si="34"/>
        <v>Jul</v>
      </c>
      <c r="BY149" s="649">
        <f>IF(CB149=$CB152,SUMIF($BI140:$BI151,$BX149,$BR140:$BR151),SUMIF($BI140:$BI151,$BX149,$BM140:$BM151))</f>
        <v>110</v>
      </c>
      <c r="BZ149" s="641">
        <f>IF(IF(CB149=CB152,SUMIF(BI140:BI151,$BX149,BU140:BU151),SUMIF(BI140:BI151,$BX149,BP140:BP151))=0,NA(),IF(CB149=CB152,SUMIF(BI140:BI151,$BX149,BU140:BU151),SUMIF(BI140:BI151,$BX149,BP140:BP151)))</f>
        <v>0.8</v>
      </c>
      <c r="CA149" s="644">
        <f>IF(IF(CB149=CB152,SUMIF(BI140:BI151,$BX149,BS140:BS151),SUMIF(BI140:BI151,$BX149,BN140:BN151))=0,NA(),IF(CB149=CB152,SUMIF(BI140:BI151,$BX149,BS140:BS151),SUMIF(BI140:BI151,$BX149,BN140:BN151)))</f>
        <v>1</v>
      </c>
      <c r="CB149" s="645">
        <f t="shared" si="36"/>
        <v>22</v>
      </c>
      <c r="CC149" s="645">
        <f t="shared" si="35"/>
        <v>7</v>
      </c>
    </row>
    <row r="150" spans="2:81" ht="14.65" customHeight="1">
      <c r="B150" s="391"/>
      <c r="C150" s="248"/>
      <c r="D150" s="248"/>
      <c r="E150" s="248"/>
      <c r="F150" s="248"/>
      <c r="G150" s="248"/>
      <c r="H150" s="248"/>
      <c r="I150" s="248"/>
      <c r="J150" s="248"/>
      <c r="K150" s="248"/>
      <c r="L150" s="248"/>
      <c r="M150" s="248"/>
      <c r="N150" s="248"/>
      <c r="O150" s="248"/>
      <c r="P150" s="248"/>
      <c r="Q150" s="248"/>
      <c r="R150" s="248"/>
      <c r="S150" s="248"/>
      <c r="T150" s="248"/>
      <c r="U150" s="248"/>
      <c r="V150" s="248"/>
      <c r="W150" s="248"/>
      <c r="X150" s="248"/>
      <c r="Y150" s="248"/>
      <c r="Z150" s="248"/>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I150" s="638" t="s">
        <v>343</v>
      </c>
      <c r="BJ150" s="638">
        <v>11</v>
      </c>
      <c r="BK150" s="638" t="s">
        <v>338</v>
      </c>
      <c r="BL150" s="651">
        <v>90</v>
      </c>
      <c r="BM150" s="651">
        <v>90</v>
      </c>
      <c r="BN150" s="657">
        <f t="shared" si="32"/>
        <v>1</v>
      </c>
      <c r="BP150" s="686">
        <v>0.8</v>
      </c>
      <c r="BQ150" s="651"/>
      <c r="BR150" s="651"/>
      <c r="BS150" s="686">
        <f t="shared" si="33"/>
        <v>0</v>
      </c>
      <c r="BU150" s="657">
        <v>0.8</v>
      </c>
      <c r="BX150" s="642" t="str">
        <f t="shared" si="34"/>
        <v>Aug</v>
      </c>
      <c r="BY150" s="649">
        <f>IF(CB150=$CB152,SUMIF($BI140:$BI151,$BX150,$BR140:$BR151),SUMIF($BI140:$BI151,$BX150,$BM140:$BM151))</f>
        <v>90</v>
      </c>
      <c r="BZ150" s="641">
        <f>IF(IF(CB150=CB152,SUMIF(BI140:BI151,$BX150,BU140:BU151),SUMIF(BI140:BI151,$BX150,BP140:BP151))=0,NA(),IF(CB150=CB152,SUMIF(BI140:BI151,$BX150,BU140:BU151),SUMIF(BI140:BI151,$BX150,BP140:BP151)))</f>
        <v>0.8</v>
      </c>
      <c r="CA150" s="644">
        <f>IF(IF(CB150=CB152,SUMIF(BI140:BI151,$BX150,BS140:BS151),SUMIF(BI140:BI151,$BX150,BN140:BN151))=0,NA(),IF(CB150=CB152,SUMIF(BI140:BI151,$BX150,BS140:BS151),SUMIF(BI140:BI151,$BX150,BN140:BN151)))</f>
        <v>1</v>
      </c>
      <c r="CB150" s="645">
        <f t="shared" si="36"/>
        <v>22</v>
      </c>
      <c r="CC150" s="645">
        <f t="shared" si="35"/>
        <v>8</v>
      </c>
    </row>
    <row r="151" spans="2:81" ht="14.65" customHeight="1">
      <c r="B151" s="555"/>
      <c r="C151" s="555"/>
      <c r="D151" s="555"/>
      <c r="E151" s="555"/>
      <c r="F151" s="555"/>
      <c r="G151" s="555"/>
      <c r="H151" s="555"/>
      <c r="I151" s="555"/>
      <c r="J151" s="555"/>
      <c r="K151" s="555"/>
      <c r="L151" s="555"/>
      <c r="M151" s="555"/>
      <c r="N151" s="555"/>
      <c r="O151" s="555"/>
      <c r="P151" s="555"/>
      <c r="Q151" s="555"/>
      <c r="R151" s="555"/>
      <c r="S151" s="555"/>
      <c r="T151" s="555"/>
      <c r="U151" s="555"/>
      <c r="V151" s="555"/>
      <c r="W151" s="555"/>
      <c r="X151" s="555"/>
      <c r="Y151" s="555"/>
      <c r="Z151" s="555"/>
      <c r="AA151" s="555"/>
      <c r="AB151" s="555"/>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I151" s="638" t="s">
        <v>344</v>
      </c>
      <c r="BJ151" s="638">
        <v>12</v>
      </c>
      <c r="BK151" s="638" t="s">
        <v>338</v>
      </c>
      <c r="BL151" s="651">
        <v>122</v>
      </c>
      <c r="BM151" s="651">
        <v>129</v>
      </c>
      <c r="BN151" s="657">
        <f t="shared" si="32"/>
        <v>0.94573643410852715</v>
      </c>
      <c r="BP151" s="686">
        <v>0.8</v>
      </c>
      <c r="BQ151" s="651"/>
      <c r="BR151" s="651"/>
      <c r="BS151" s="686">
        <f>ROUND(IF(BR151=0,0,BQ151/BR151),1)</f>
        <v>0</v>
      </c>
      <c r="BU151" s="657">
        <v>0.8</v>
      </c>
      <c r="BX151" s="642" t="str">
        <f t="shared" si="34"/>
        <v>Sep</v>
      </c>
      <c r="BY151" s="649">
        <f>IF(CB151=$CB152,SUMIF($BI140:$BI151,$BX151,$BR140:$BR151),SUMIF($BI140:$BI151,$BX151,$BM140:$BM151))</f>
        <v>129</v>
      </c>
      <c r="BZ151" s="641">
        <f>IF(IF(CB151=CB152,SUMIF(BI140:BI151,$BX151,BU140:BU151),SUMIF(BI140:BI151,$BX151,BP140:BP151))=0,NA(),IF(CB151=CB152,SUMIF(BI140:BI151,$BX151,BU140:BU151),SUMIF(BI140:BI151,$BX151,BP140:BP151)))</f>
        <v>0.8</v>
      </c>
      <c r="CA151" s="644">
        <f>IF(IF(CB151=CB152,SUMIF(BI140:BI151,$BX151,BS140:BS151),SUMIF(BI140:BI151,$BX151,BN140:BN151))=0,NA(),IF(CB151=CB152,SUMIF(BI140:BI151,$BX151,BS140:BS151),SUMIF(BI140:BI151,$BX151,BN140:BN151)))</f>
        <v>0.94573643410852715</v>
      </c>
      <c r="CB151" s="645">
        <f t="shared" si="36"/>
        <v>22</v>
      </c>
      <c r="CC151" s="645">
        <f>IF(CC152-1&lt;1,CC152+11,CC152-1)</f>
        <v>9</v>
      </c>
    </row>
    <row r="152" spans="2:81" ht="14.65" customHeight="1">
      <c r="B152" s="555"/>
      <c r="C152" s="555"/>
      <c r="D152" s="555"/>
      <c r="E152" s="555"/>
      <c r="F152" s="555"/>
      <c r="G152" s="555"/>
      <c r="H152" s="555"/>
      <c r="I152" s="555"/>
      <c r="J152" s="555"/>
      <c r="K152" s="555"/>
      <c r="L152" s="555"/>
      <c r="M152" s="555"/>
      <c r="N152" s="555"/>
      <c r="O152" s="555"/>
      <c r="P152" s="555"/>
      <c r="Q152" s="555"/>
      <c r="R152" s="555"/>
      <c r="S152" s="555"/>
      <c r="T152" s="555"/>
      <c r="U152" s="555"/>
      <c r="V152" s="555"/>
      <c r="W152" s="555"/>
      <c r="X152" s="555"/>
      <c r="Y152" s="555"/>
      <c r="Z152" s="555"/>
      <c r="AA152" s="555"/>
      <c r="AB152" s="555"/>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W152" s="647" t="str">
        <f>Cover!$M$34</f>
        <v>OCT FY-24</v>
      </c>
      <c r="BX152" s="642" t="str">
        <f>TEXT(CONCATENATE(CC152,"/01/20",CB152),"MMM")</f>
        <v>Oct</v>
      </c>
      <c r="BY152" s="649">
        <f>SUMIF($BI140:$BI151,$BX152,$BR140:$BR151)</f>
        <v>0</v>
      </c>
      <c r="BZ152" s="641">
        <f>IF(IF(CB152=CB152,SUMIF(BI140:BI151,$BX152,BU140:BU151),SUMIF(BI140:BI151,$BX152,BP140:BP151))=0,NA(),IF(CB152=CB152,SUMIF(BI140:BI151,$BX152,BU140:BU151),SUMIF(BI140:BI151,$BX152,BP140:BP151)))</f>
        <v>0.8</v>
      </c>
      <c r="CA152" s="644" t="e">
        <f>IF(SUMIF($BI140:$BI151,$BX152,$BS140:$BS151)=0,NA(),SUMIF($BI140:$BI151,$BX152,$BS140:$BS151))</f>
        <v>#N/A</v>
      </c>
      <c r="CB152" s="645">
        <f t="shared" si="36"/>
        <v>23</v>
      </c>
      <c r="CC152" s="645">
        <f>MONTH(DATEVALUE(LEFT(BW152,3)&amp;" 1"))</f>
        <v>10</v>
      </c>
    </row>
    <row r="153" spans="2:81" ht="14.65" customHeight="1">
      <c r="B153" s="555"/>
      <c r="C153" s="555"/>
      <c r="D153" s="555"/>
      <c r="E153" s="555"/>
      <c r="F153" s="555"/>
      <c r="G153" s="555"/>
      <c r="H153" s="555"/>
      <c r="I153" s="555"/>
      <c r="J153" s="555"/>
      <c r="K153" s="555"/>
      <c r="L153" s="555"/>
      <c r="M153" s="555"/>
      <c r="N153" s="555"/>
      <c r="O153" s="555"/>
      <c r="P153" s="555"/>
      <c r="Q153" s="555"/>
      <c r="R153" s="555"/>
      <c r="S153" s="555"/>
      <c r="T153" s="555"/>
      <c r="U153" s="555"/>
      <c r="V153" s="555"/>
      <c r="W153" s="555"/>
      <c r="X153" s="555"/>
      <c r="Y153" s="555"/>
      <c r="Z153" s="555"/>
      <c r="AA153" s="555"/>
      <c r="AB153" s="555"/>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J153" s="6"/>
      <c r="BK153" s="6"/>
      <c r="BL153" s="6"/>
      <c r="BM153" s="6"/>
      <c r="BN153" s="6"/>
      <c r="BO153" s="6"/>
      <c r="BP153" s="6"/>
      <c r="BQ153" s="6"/>
      <c r="BR153" s="6"/>
      <c r="BS153" s="6"/>
      <c r="BT153" s="6"/>
      <c r="BU153" s="6"/>
      <c r="BW153" s="6"/>
      <c r="BX153" s="6"/>
      <c r="BY153" s="6"/>
      <c r="BZ153" s="6"/>
      <c r="CA153" s="6"/>
      <c r="CB153" s="6"/>
      <c r="CC153" s="6"/>
    </row>
    <row r="154" spans="2:81" ht="14.65" customHeight="1">
      <c r="B154" s="555"/>
      <c r="C154" s="555"/>
      <c r="D154" s="555"/>
      <c r="E154" s="555"/>
      <c r="F154" s="555"/>
      <c r="G154" s="555"/>
      <c r="H154" s="555"/>
      <c r="I154" s="555"/>
      <c r="J154" s="555"/>
      <c r="K154" s="555"/>
      <c r="L154" s="555"/>
      <c r="M154" s="555"/>
      <c r="N154" s="555"/>
      <c r="O154" s="555"/>
      <c r="P154" s="555"/>
      <c r="Q154" s="555"/>
      <c r="R154" s="555"/>
      <c r="S154" s="555"/>
      <c r="T154" s="555"/>
      <c r="U154" s="555"/>
      <c r="V154" s="555"/>
      <c r="W154" s="555"/>
      <c r="X154" s="555"/>
      <c r="Y154" s="555"/>
      <c r="Z154" s="555"/>
      <c r="AA154" s="555"/>
      <c r="AB154" s="555"/>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row>
  </sheetData>
  <mergeCells count="197">
    <mergeCell ref="BI1:BU1"/>
    <mergeCell ref="B5:AR5"/>
    <mergeCell ref="AP15:AQ15"/>
    <mergeCell ref="AS15:AX15"/>
    <mergeCell ref="AZ15:BE15"/>
    <mergeCell ref="B8:AB11"/>
    <mergeCell ref="AE8:BE11"/>
    <mergeCell ref="I16:L16"/>
    <mergeCell ref="N16:Q16"/>
    <mergeCell ref="S16:V16"/>
    <mergeCell ref="V14:W14"/>
    <mergeCell ref="B15:G15"/>
    <mergeCell ref="I15:V15"/>
    <mergeCell ref="X15:AB15"/>
    <mergeCell ref="AE15:AJ15"/>
    <mergeCell ref="AL15:AO15"/>
    <mergeCell ref="B2:BE4"/>
    <mergeCell ref="BB22:BE22"/>
    <mergeCell ref="BJ22:BU22"/>
    <mergeCell ref="AN17:AQ17"/>
    <mergeCell ref="AU17:AX17"/>
    <mergeCell ref="BB17:BE17"/>
    <mergeCell ref="AN18:AQ18"/>
    <mergeCell ref="AU18:AX18"/>
    <mergeCell ref="BB18:BE18"/>
    <mergeCell ref="AN23:AQ23"/>
    <mergeCell ref="AU23:AX23"/>
    <mergeCell ref="BB23:BE23"/>
    <mergeCell ref="BJ23:BU23"/>
    <mergeCell ref="AN19:AQ19"/>
    <mergeCell ref="AU19:AX19"/>
    <mergeCell ref="BB19:BE19"/>
    <mergeCell ref="BJ21:BU21"/>
    <mergeCell ref="AN22:AQ22"/>
    <mergeCell ref="AU22:AX22"/>
    <mergeCell ref="BW24:CC24"/>
    <mergeCell ref="AE29:BE32"/>
    <mergeCell ref="AN24:AQ24"/>
    <mergeCell ref="AU24:AX24"/>
    <mergeCell ref="BB24:BE24"/>
    <mergeCell ref="BL24:BP24"/>
    <mergeCell ref="BQ24:BU24"/>
    <mergeCell ref="B29:AB32"/>
    <mergeCell ref="AT39:AV39"/>
    <mergeCell ref="AW39:AY39"/>
    <mergeCell ref="AZ39:BB39"/>
    <mergeCell ref="BC39:BE39"/>
    <mergeCell ref="B39:J39"/>
    <mergeCell ref="K39:M39"/>
    <mergeCell ref="N39:P39"/>
    <mergeCell ref="Q39:S39"/>
    <mergeCell ref="T39:V39"/>
    <mergeCell ref="W39:Y39"/>
    <mergeCell ref="Z39:AB39"/>
    <mergeCell ref="AN36:AS36"/>
    <mergeCell ref="AT36:AV38"/>
    <mergeCell ref="AW36:BE36"/>
    <mergeCell ref="AE37:AM38"/>
    <mergeCell ref="AN37:AP38"/>
    <mergeCell ref="BW43:CC43"/>
    <mergeCell ref="AE57:AM57"/>
    <mergeCell ref="AN57:AP57"/>
    <mergeCell ref="AQ57:AS57"/>
    <mergeCell ref="AT57:AV57"/>
    <mergeCell ref="AW57:AY57"/>
    <mergeCell ref="AZ57:BB57"/>
    <mergeCell ref="BC57:BE57"/>
    <mergeCell ref="AE39:AM39"/>
    <mergeCell ref="AN39:AP39"/>
    <mergeCell ref="AQ39:AS39"/>
    <mergeCell ref="BJ40:BU40"/>
    <mergeCell ref="BL43:BP43"/>
    <mergeCell ref="BQ43:BU43"/>
    <mergeCell ref="BL62:BP62"/>
    <mergeCell ref="BQ62:BU62"/>
    <mergeCell ref="V42:AB51"/>
    <mergeCell ref="AY42:BE51"/>
    <mergeCell ref="B54:J54"/>
    <mergeCell ref="K54:P54"/>
    <mergeCell ref="Q54:S56"/>
    <mergeCell ref="T54:AB54"/>
    <mergeCell ref="B55:J56"/>
    <mergeCell ref="B57:J57"/>
    <mergeCell ref="K57:M57"/>
    <mergeCell ref="N57:P57"/>
    <mergeCell ref="Z57:AB57"/>
    <mergeCell ref="Q57:S57"/>
    <mergeCell ref="T57:V57"/>
    <mergeCell ref="W57:Y57"/>
    <mergeCell ref="AE54:AM54"/>
    <mergeCell ref="AN54:AS54"/>
    <mergeCell ref="AT54:AV56"/>
    <mergeCell ref="AW54:BE54"/>
    <mergeCell ref="AE55:AM56"/>
    <mergeCell ref="K55:M56"/>
    <mergeCell ref="N55:P56"/>
    <mergeCell ref="T55:V56"/>
    <mergeCell ref="W55:Y56"/>
    <mergeCell ref="Z55:AB56"/>
    <mergeCell ref="B92:J92"/>
    <mergeCell ref="K92:P92"/>
    <mergeCell ref="BW62:CC62"/>
    <mergeCell ref="BL81:BP81"/>
    <mergeCell ref="BQ81:BU81"/>
    <mergeCell ref="BW81:CC81"/>
    <mergeCell ref="V60:AB69"/>
    <mergeCell ref="AY60:BE69"/>
    <mergeCell ref="AN55:AP56"/>
    <mergeCell ref="AQ55:AS56"/>
    <mergeCell ref="AW55:AY56"/>
    <mergeCell ref="AZ55:BB56"/>
    <mergeCell ref="BC55:BE56"/>
    <mergeCell ref="B72:J72"/>
    <mergeCell ref="K72:P72"/>
    <mergeCell ref="Q72:S74"/>
    <mergeCell ref="T72:AB72"/>
    <mergeCell ref="B73:J74"/>
    <mergeCell ref="K73:M74"/>
    <mergeCell ref="N73:P74"/>
    <mergeCell ref="T73:V74"/>
    <mergeCell ref="W73:Y74"/>
    <mergeCell ref="BJ116:BU116"/>
    <mergeCell ref="BL119:BP119"/>
    <mergeCell ref="BQ119:BU119"/>
    <mergeCell ref="BQ100:BU100"/>
    <mergeCell ref="AE36:AM36"/>
    <mergeCell ref="B36:J36"/>
    <mergeCell ref="K36:P36"/>
    <mergeCell ref="Q36:S38"/>
    <mergeCell ref="T36:AB36"/>
    <mergeCell ref="B37:J38"/>
    <mergeCell ref="K37:M38"/>
    <mergeCell ref="N37:P38"/>
    <mergeCell ref="T37:V38"/>
    <mergeCell ref="W37:Y38"/>
    <mergeCell ref="Z37:AB38"/>
    <mergeCell ref="AQ37:AS38"/>
    <mergeCell ref="AW37:AY38"/>
    <mergeCell ref="AZ37:BB38"/>
    <mergeCell ref="BC37:BE38"/>
    <mergeCell ref="Q92:S94"/>
    <mergeCell ref="T92:AB92"/>
    <mergeCell ref="B93:J94"/>
    <mergeCell ref="K93:M94"/>
    <mergeCell ref="N93:P94"/>
    <mergeCell ref="BL138:BP138"/>
    <mergeCell ref="BQ138:BU138"/>
    <mergeCell ref="BW138:CC138"/>
    <mergeCell ref="AW95:AY95"/>
    <mergeCell ref="AZ95:BB95"/>
    <mergeCell ref="BC95:BE95"/>
    <mergeCell ref="V116:AB125"/>
    <mergeCell ref="BI24:BK24"/>
    <mergeCell ref="BI43:BK43"/>
    <mergeCell ref="BI62:BK62"/>
    <mergeCell ref="BI81:BK81"/>
    <mergeCell ref="BI119:BK119"/>
    <mergeCell ref="BI138:BK138"/>
    <mergeCell ref="BW100:CC100"/>
    <mergeCell ref="AE95:AM95"/>
    <mergeCell ref="AN95:AP95"/>
    <mergeCell ref="AY98:BE107"/>
    <mergeCell ref="AQ95:AS95"/>
    <mergeCell ref="AT95:AV95"/>
    <mergeCell ref="BW119:CC119"/>
    <mergeCell ref="AE92:AM92"/>
    <mergeCell ref="AN92:AS92"/>
    <mergeCell ref="AT92:AV94"/>
    <mergeCell ref="AW92:BE92"/>
    <mergeCell ref="Z73:AB74"/>
    <mergeCell ref="B75:J75"/>
    <mergeCell ref="K75:M75"/>
    <mergeCell ref="N75:P75"/>
    <mergeCell ref="Q75:S75"/>
    <mergeCell ref="T75:V75"/>
    <mergeCell ref="W75:Y75"/>
    <mergeCell ref="Z75:AB75"/>
    <mergeCell ref="BI100:BK100"/>
    <mergeCell ref="BL100:BP100"/>
    <mergeCell ref="V78:AB87"/>
    <mergeCell ref="B95:J95"/>
    <mergeCell ref="K95:M95"/>
    <mergeCell ref="AE93:AM94"/>
    <mergeCell ref="AN93:AP94"/>
    <mergeCell ref="AQ93:AS94"/>
    <mergeCell ref="AW93:AY94"/>
    <mergeCell ref="AZ93:BB94"/>
    <mergeCell ref="BC93:BE94"/>
    <mergeCell ref="V98:AB107"/>
    <mergeCell ref="T93:V94"/>
    <mergeCell ref="W93:Y94"/>
    <mergeCell ref="Z93:AB94"/>
    <mergeCell ref="N95:P95"/>
    <mergeCell ref="Q95:S95"/>
    <mergeCell ref="T95:V95"/>
    <mergeCell ref="W95:Y95"/>
    <mergeCell ref="Z95:AB95"/>
  </mergeCells>
  <conditionalFormatting sqref="A7:A29 BF7:BH29">
    <cfRule type="cellIs" dxfId="1794" priority="2405" operator="equal">
      <formula>"XXX"</formula>
    </cfRule>
  </conditionalFormatting>
  <conditionalFormatting sqref="A62:A66">
    <cfRule type="cellIs" dxfId="1793" priority="2400" operator="equal">
      <formula>"XXX"</formula>
    </cfRule>
  </conditionalFormatting>
  <conditionalFormatting sqref="A85:A89">
    <cfRule type="cellIs" dxfId="1792" priority="2397" operator="equal">
      <formula>"XXX"</formula>
    </cfRule>
  </conditionalFormatting>
  <conditionalFormatting sqref="BH35 BH37">
    <cfRule type="cellIs" dxfId="1791" priority="2261" operator="equal">
      <formula>"XXX"</formula>
    </cfRule>
  </conditionalFormatting>
  <conditionalFormatting sqref="BY1:CC23 BW1:BX3 BW17:BX23 BX15:BX16">
    <cfRule type="cellIs" dxfId="1790" priority="2247" operator="equal">
      <formula>"XXX"</formula>
    </cfRule>
  </conditionalFormatting>
  <conditionalFormatting sqref="BU18">
    <cfRule type="cellIs" dxfId="1789" priority="2118" operator="equal">
      <formula>"XXX"</formula>
    </cfRule>
  </conditionalFormatting>
  <conditionalFormatting sqref="BV15">
    <cfRule type="cellIs" dxfId="1788" priority="2117" operator="equal">
      <formula>"XXX"</formula>
    </cfRule>
  </conditionalFormatting>
  <conditionalFormatting sqref="BW40:BX42 BW59:BW61 BY39:CC42 BX58:CC61 BW77:CC80">
    <cfRule type="cellIs" dxfId="1787" priority="2010" operator="equal">
      <formula>"XXX"</formula>
    </cfRule>
  </conditionalFormatting>
  <conditionalFormatting sqref="BW26:BX38">
    <cfRule type="cellIs" dxfId="1786" priority="2009" operator="equal">
      <formula>"XXX"</formula>
    </cfRule>
  </conditionalFormatting>
  <conditionalFormatting sqref="BW45:BX57">
    <cfRule type="cellIs" dxfId="1785" priority="2006" operator="equal">
      <formula>"XXX"</formula>
    </cfRule>
  </conditionalFormatting>
  <conditionalFormatting sqref="BW64:BX76">
    <cfRule type="cellIs" dxfId="1784" priority="2003" operator="equal">
      <formula>"XXX"</formula>
    </cfRule>
  </conditionalFormatting>
  <conditionalFormatting sqref="BW83:BX95">
    <cfRule type="cellIs" dxfId="1783" priority="2000" operator="equal">
      <formula>"XXX"</formula>
    </cfRule>
  </conditionalFormatting>
  <conditionalFormatting sqref="B5:AR5">
    <cfRule type="cellIs" dxfId="1782" priority="1986" operator="equal">
      <formula>"XXX"</formula>
    </cfRule>
  </conditionalFormatting>
  <conditionalFormatting sqref="B7:BE7 AC15:AD15 F28:AD28 AC17:AD19 U24:W24 B12:BE14 AC16:AG16 AI16:BE16 AJ17 AI22 F24 H20:H24 J24:L24 AC20:AH20">
    <cfRule type="cellIs" dxfId="1781" priority="1985" operator="equal">
      <formula>"XXX"</formula>
    </cfRule>
  </conditionalFormatting>
  <conditionalFormatting sqref="AE28:AG28 AI28:BE28 AY22:BA24 AR22:AT24 AK22:AM24">
    <cfRule type="cellIs" dxfId="1780" priority="1984" operator="equal">
      <formula>"XXX"</formula>
    </cfRule>
  </conditionalFormatting>
  <conditionalFormatting sqref="AJ22">
    <cfRule type="cellIs" dxfId="1779" priority="1982" operator="equal">
      <formula>"XXX"</formula>
    </cfRule>
  </conditionalFormatting>
  <conditionalFormatting sqref="BB17:BE18 BB22:BE22 BB23">
    <cfRule type="cellIs" dxfId="1778" priority="1981" operator="lessThan">
      <formula>0</formula>
    </cfRule>
  </conditionalFormatting>
  <conditionalFormatting sqref="AU17:AX18 AU22:AX23">
    <cfRule type="cellIs" dxfId="1777" priority="1977" operator="lessThan">
      <formula>0</formula>
    </cfRule>
  </conditionalFormatting>
  <conditionalFormatting sqref="I24">
    <cfRule type="cellIs" dxfId="1776" priority="1976" operator="equal">
      <formula>"XXX"</formula>
    </cfRule>
  </conditionalFormatting>
  <conditionalFormatting sqref="I24">
    <cfRule type="cellIs" dxfId="1775" priority="1975" operator="equal">
      <formula>$A$1</formula>
    </cfRule>
  </conditionalFormatting>
  <conditionalFormatting sqref="I23:J23">
    <cfRule type="cellIs" dxfId="1774" priority="1972" operator="equal">
      <formula>$A$1</formula>
    </cfRule>
  </conditionalFormatting>
  <conditionalFormatting sqref="K39 T39 W39 Z39 N39">
    <cfRule type="cellIs" dxfId="1773" priority="1949" operator="equal">
      <formula>"XXX"</formula>
    </cfRule>
    <cfRule type="cellIs" dxfId="1772" priority="1950" operator="greaterThanOrEqual">
      <formula>$Q39</formula>
    </cfRule>
    <cfRule type="cellIs" dxfId="1771" priority="1951" operator="lessThan">
      <formula>$Q39*0.9</formula>
    </cfRule>
    <cfRule type="cellIs" dxfId="1770" priority="2406" operator="lessThan">
      <formula>$Q39</formula>
    </cfRule>
  </conditionalFormatting>
  <conditionalFormatting sqref="K57 T57 W57 Z57 N57 K95 T95 W95 Z95 N95">
    <cfRule type="cellIs" dxfId="1769" priority="1943" stopIfTrue="1" operator="greaterThan">
      <formula>$Q57*1.1</formula>
    </cfRule>
    <cfRule type="cellIs" dxfId="1768" priority="1944" operator="greaterThan">
      <formula>$Q57</formula>
    </cfRule>
    <cfRule type="cellIs" dxfId="1767" priority="1945" operator="lessThanOrEqual">
      <formula>$Q57</formula>
    </cfRule>
  </conditionalFormatting>
  <conditionalFormatting sqref="AW57">
    <cfRule type="cellIs" dxfId="1766" priority="1855" operator="greaterThanOrEqual">
      <formula>$AT$57*-1.9</formula>
    </cfRule>
  </conditionalFormatting>
  <conditionalFormatting sqref="BQ148 BR129">
    <cfRule type="expression" dxfId="1765" priority="1750">
      <formula>(AND($BJ129=$BX$5,LEN($BQ129)=0))</formula>
    </cfRule>
  </conditionalFormatting>
  <conditionalFormatting sqref="BJ16">
    <cfRule type="expression" dxfId="1764" priority="1748">
      <formula>(AND(BJ$5=$BX$5,LEN(BJ$16)=0))</formula>
    </cfRule>
  </conditionalFormatting>
  <conditionalFormatting sqref="BJ16:BV16">
    <cfRule type="expression" dxfId="1763" priority="1747">
      <formula>(AND(BJ$5=$BX$5,LEN(BJ$16)=0))</formula>
    </cfRule>
  </conditionalFormatting>
  <conditionalFormatting sqref="BH36">
    <cfRule type="cellIs" dxfId="1762" priority="1727" operator="equal">
      <formula>"XXX"</formula>
    </cfRule>
  </conditionalFormatting>
  <conditionalFormatting sqref="G24">
    <cfRule type="cellIs" dxfId="1761" priority="1721" operator="equal">
      <formula>"XXX"</formula>
    </cfRule>
  </conditionalFormatting>
  <conditionalFormatting sqref="F22">
    <cfRule type="cellIs" dxfId="1760" priority="1719" operator="equal">
      <formula>"XXX"</formula>
    </cfRule>
  </conditionalFormatting>
  <conditionalFormatting sqref="G22:G23">
    <cfRule type="cellIs" dxfId="1759" priority="1718" operator="equal">
      <formula>"XXX"</formula>
    </cfRule>
  </conditionalFormatting>
  <conditionalFormatting sqref="G22:G23">
    <cfRule type="cellIs" dxfId="1758" priority="1717" operator="notEqual">
      <formula>0</formula>
    </cfRule>
  </conditionalFormatting>
  <conditionalFormatting sqref="I26">
    <cfRule type="cellIs" dxfId="1757" priority="1711" operator="equal">
      <formula>"XXX"</formula>
    </cfRule>
  </conditionalFormatting>
  <conditionalFormatting sqref="I26">
    <cfRule type="cellIs" dxfId="1756" priority="1710" operator="equal">
      <formula>$A$1</formula>
    </cfRule>
  </conditionalFormatting>
  <conditionalFormatting sqref="I25">
    <cfRule type="cellIs" dxfId="1755" priority="1709" operator="equal">
      <formula>$A$1</formula>
    </cfRule>
  </conditionalFormatting>
  <conditionalFormatting sqref="G25">
    <cfRule type="cellIs" dxfId="1754" priority="1706" operator="equal">
      <formula>"XXX"</formula>
    </cfRule>
  </conditionalFormatting>
  <conditionalFormatting sqref="G25">
    <cfRule type="cellIs" dxfId="1753" priority="1705" operator="notEqual">
      <formula>0</formula>
    </cfRule>
  </conditionalFormatting>
  <conditionalFormatting sqref="G26">
    <cfRule type="cellIs" dxfId="1752" priority="1697" operator="equal">
      <formula>"XXX"</formula>
    </cfRule>
  </conditionalFormatting>
  <conditionalFormatting sqref="G26">
    <cfRule type="expression" dxfId="1751" priority="1695">
      <formula>$G$25=0</formula>
    </cfRule>
    <cfRule type="cellIs" dxfId="1750" priority="1696" operator="notEqual">
      <formula>0</formula>
    </cfRule>
  </conditionalFormatting>
  <conditionalFormatting sqref="BH38:BH41">
    <cfRule type="cellIs" dxfId="1749" priority="1694" operator="equal">
      <formula>"XXX"</formula>
    </cfRule>
  </conditionalFormatting>
  <conditionalFormatting sqref="BR148 BR129:BS129">
    <cfRule type="expression" dxfId="1748" priority="1606">
      <formula>(AND($BJ129=$BX$5,LEN($BR129)=0))</formula>
    </cfRule>
  </conditionalFormatting>
  <conditionalFormatting sqref="X24:AB24">
    <cfRule type="cellIs" dxfId="1747" priority="1136" operator="equal">
      <formula>"XXX"</formula>
    </cfRule>
  </conditionalFormatting>
  <conditionalFormatting sqref="Z16:Z21">
    <cfRule type="cellIs" dxfId="1746" priority="1135" operator="equal">
      <formula>"XXX"</formula>
    </cfRule>
  </conditionalFormatting>
  <conditionalFormatting sqref="Y16:Y18 Y21">
    <cfRule type="cellIs" dxfId="1745" priority="1134" operator="equal">
      <formula>"XXX"</formula>
    </cfRule>
  </conditionalFormatting>
  <conditionalFormatting sqref="Y19:Y20">
    <cfRule type="cellIs" dxfId="1744" priority="1133" operator="equal">
      <formula>"XXX"</formula>
    </cfRule>
  </conditionalFormatting>
  <conditionalFormatting sqref="Y22:Y23">
    <cfRule type="cellIs" dxfId="1743" priority="1132" operator="equal">
      <formula>"XXX"</formula>
    </cfRule>
  </conditionalFormatting>
  <conditionalFormatting sqref="BU17">
    <cfRule type="cellIs" dxfId="1742" priority="1055" operator="equal">
      <formula>"XXX"</formula>
    </cfRule>
  </conditionalFormatting>
  <conditionalFormatting sqref="B2">
    <cfRule type="cellIs" dxfId="1741" priority="975" operator="equal">
      <formula>"XXX"</formula>
    </cfRule>
  </conditionalFormatting>
  <conditionalFormatting sqref="BQ33">
    <cfRule type="expression" dxfId="1740" priority="642">
      <formula>(AND($BJ33=$BX$5,LEN($BQ33)=0))</formula>
    </cfRule>
  </conditionalFormatting>
  <conditionalFormatting sqref="BR33">
    <cfRule type="expression" dxfId="1739" priority="641">
      <formula>(AND($BJ33=$BX$5,LEN($BR33)=0))</formula>
    </cfRule>
  </conditionalFormatting>
  <conditionalFormatting sqref="BR52">
    <cfRule type="expression" dxfId="1738" priority="640">
      <formula>(AND($BJ52=$BX$5,LEN($BQ52)=0))</formula>
    </cfRule>
  </conditionalFormatting>
  <conditionalFormatting sqref="BR52">
    <cfRule type="expression" dxfId="1737" priority="639">
      <formula>(AND($BJ52=$BX$5,LEN($BR52)=0))</formula>
    </cfRule>
  </conditionalFormatting>
  <conditionalFormatting sqref="BQ71">
    <cfRule type="expression" dxfId="1736" priority="638">
      <formula>(AND($BJ71=$BX$5,LEN($BQ71)=0))</formula>
    </cfRule>
  </conditionalFormatting>
  <conditionalFormatting sqref="BR71">
    <cfRule type="expression" dxfId="1735" priority="637">
      <formula>(AND($BJ71=$BX$5,LEN($BR71)=0))</formula>
    </cfRule>
  </conditionalFormatting>
  <conditionalFormatting sqref="BQ90">
    <cfRule type="expression" dxfId="1734" priority="636">
      <formula>(AND($BJ90=$BX$5,LEN($BQ90)=0))</formula>
    </cfRule>
  </conditionalFormatting>
  <conditionalFormatting sqref="BR90">
    <cfRule type="expression" dxfId="1733" priority="635">
      <formula>(AND($BJ90=$BX$5,LEN($BR90)=0))</formula>
    </cfRule>
  </conditionalFormatting>
  <conditionalFormatting sqref="V59:AB59">
    <cfRule type="cellIs" dxfId="1732" priority="622" operator="equal">
      <formula>"XXX"</formula>
    </cfRule>
  </conditionalFormatting>
  <conditionalFormatting sqref="AY59:BE59">
    <cfRule type="cellIs" dxfId="1731" priority="621" operator="equal">
      <formula>"XXX"</formula>
    </cfRule>
  </conditionalFormatting>
  <conditionalFormatting sqref="V41:AB41">
    <cfRule type="cellIs" dxfId="1730" priority="624" operator="equal">
      <formula>"XXX"</formula>
    </cfRule>
  </conditionalFormatting>
  <conditionalFormatting sqref="AY41:BE41">
    <cfRule type="cellIs" dxfId="1729" priority="623" operator="equal">
      <formula>"XXX"</formula>
    </cfRule>
  </conditionalFormatting>
  <conditionalFormatting sqref="B55 K54:AB56">
    <cfRule type="cellIs" dxfId="1728" priority="616" operator="equal">
      <formula>"XXX"</formula>
    </cfRule>
  </conditionalFormatting>
  <conditionalFormatting sqref="K54:AB54 Q55:AB56">
    <cfRule type="cellIs" dxfId="1727" priority="615" operator="equal">
      <formula>"XXX"</formula>
    </cfRule>
  </conditionalFormatting>
  <conditionalFormatting sqref="K55:P56">
    <cfRule type="cellIs" dxfId="1726" priority="614" operator="equal">
      <formula>"XXX"</formula>
    </cfRule>
  </conditionalFormatting>
  <conditionalFormatting sqref="AE55 AN54:BE56">
    <cfRule type="cellIs" dxfId="1725" priority="613" operator="equal">
      <formula>"XXX"</formula>
    </cfRule>
  </conditionalFormatting>
  <conditionalFormatting sqref="AN54:BE54 AT55:BE56">
    <cfRule type="cellIs" dxfId="1724" priority="612" operator="equal">
      <formula>"XXX"</formula>
    </cfRule>
  </conditionalFormatting>
  <conditionalFormatting sqref="AN55:AS56">
    <cfRule type="cellIs" dxfId="1723" priority="611" operator="equal">
      <formula>"XXX"</formula>
    </cfRule>
  </conditionalFormatting>
  <conditionalFormatting sqref="B37 K36:AB38">
    <cfRule type="cellIs" dxfId="1722" priority="610" operator="equal">
      <formula>"XXX"</formula>
    </cfRule>
  </conditionalFormatting>
  <conditionalFormatting sqref="K36:AB36 Q37:AB38">
    <cfRule type="cellIs" dxfId="1721" priority="609" operator="equal">
      <formula>"XXX"</formula>
    </cfRule>
  </conditionalFormatting>
  <conditionalFormatting sqref="K37:P38">
    <cfRule type="cellIs" dxfId="1720" priority="608" operator="equal">
      <formula>"XXX"</formula>
    </cfRule>
  </conditionalFormatting>
  <conditionalFormatting sqref="AE37 AN36:BE38">
    <cfRule type="cellIs" dxfId="1719" priority="607" operator="equal">
      <formula>"XXX"</formula>
    </cfRule>
  </conditionalFormatting>
  <conditionalFormatting sqref="AN36:BE36 AT37:BE38">
    <cfRule type="cellIs" dxfId="1718" priority="606" operator="equal">
      <formula>"XXX"</formula>
    </cfRule>
  </conditionalFormatting>
  <conditionalFormatting sqref="AN37:AS38">
    <cfRule type="cellIs" dxfId="1717" priority="605" operator="equal">
      <formula>"XXX"</formula>
    </cfRule>
  </conditionalFormatting>
  <conditionalFormatting sqref="AN39 AW39 AZ39 BC39 AQ39">
    <cfRule type="cellIs" dxfId="1716" priority="15019" stopIfTrue="1" operator="greaterThan">
      <formula>$AT39*1.1</formula>
    </cfRule>
    <cfRule type="cellIs" dxfId="1715" priority="15020" operator="greaterThan">
      <formula>$AT39</formula>
    </cfRule>
    <cfRule type="cellIs" dxfId="1714" priority="15021" operator="lessThanOrEqual">
      <formula>$AT39</formula>
    </cfRule>
  </conditionalFormatting>
  <conditionalFormatting sqref="AN57 AW57 AZ57 BC57 AQ57 AN95 AW95 AZ95 BC95 AQ95">
    <cfRule type="cellIs" dxfId="1713" priority="15022" operator="greaterThanOrEqual">
      <formula>$AT57</formula>
    </cfRule>
    <cfRule type="cellIs" dxfId="1712" priority="15023" operator="lessThan">
      <formula>$AT57*0.9</formula>
    </cfRule>
    <cfRule type="cellIs" dxfId="1711" priority="15024" operator="lessThan">
      <formula>$AT57</formula>
    </cfRule>
  </conditionalFormatting>
  <conditionalFormatting sqref="AE57:AM57">
    <cfRule type="cellIs" dxfId="1710" priority="604" operator="equal">
      <formula>"XXX"</formula>
    </cfRule>
  </conditionalFormatting>
  <conditionalFormatting sqref="B34">
    <cfRule type="cellIs" dxfId="1709" priority="603" operator="equal">
      <formula>"XXX"</formula>
    </cfRule>
  </conditionalFormatting>
  <conditionalFormatting sqref="B97:U107 AC97:AX107 B115:U125 B126:BE126 B114:BE114 AC110:AD112 AC92:AD94 AN95:BE95 B108:BE108 AC109:BE109 C90:BE90 AC115:BE125">
    <cfRule type="cellIs" dxfId="1708" priority="595" operator="equal">
      <formula>"XXX"</formula>
    </cfRule>
  </conditionalFormatting>
  <conditionalFormatting sqref="B128:BE128">
    <cfRule type="cellIs" dxfId="1707" priority="594" operator="equal">
      <formula>"XXX"</formula>
    </cfRule>
  </conditionalFormatting>
  <conditionalFormatting sqref="C90:BE90 B95:AB95 AN95:BE95">
    <cfRule type="cellIs" dxfId="1706" priority="587" operator="equal">
      <formula>"XXX"</formula>
    </cfRule>
  </conditionalFormatting>
  <conditionalFormatting sqref="AW95">
    <cfRule type="cellIs" dxfId="1705" priority="572" operator="greaterThanOrEqual">
      <formula>$AT$57*-1.9</formula>
    </cfRule>
  </conditionalFormatting>
  <conditionalFormatting sqref="V116 V115:AB115">
    <cfRule type="cellIs" dxfId="1704" priority="569" operator="equal">
      <formula>"XXX"</formula>
    </cfRule>
  </conditionalFormatting>
  <conditionalFormatting sqref="AY116 AY115:BE115">
    <cfRule type="cellIs" dxfId="1703" priority="568" operator="equal">
      <formula>"XXX"</formula>
    </cfRule>
  </conditionalFormatting>
  <conditionalFormatting sqref="V97:AB97">
    <cfRule type="cellIs" dxfId="1702" priority="571" operator="equal">
      <formula>"XXX"</formula>
    </cfRule>
  </conditionalFormatting>
  <conditionalFormatting sqref="AY97:BE97">
    <cfRule type="cellIs" dxfId="1701" priority="570" operator="equal">
      <formula>"XXX"</formula>
    </cfRule>
  </conditionalFormatting>
  <conditionalFormatting sqref="AE93 AN92:BE94">
    <cfRule type="cellIs" dxfId="1700" priority="560" operator="equal">
      <formula>"XXX"</formula>
    </cfRule>
  </conditionalFormatting>
  <conditionalFormatting sqref="AN92:BE92 AT93:BE94">
    <cfRule type="cellIs" dxfId="1699" priority="559" operator="equal">
      <formula>"XXX"</formula>
    </cfRule>
  </conditionalFormatting>
  <conditionalFormatting sqref="AN93:AS94">
    <cfRule type="cellIs" dxfId="1698" priority="558" operator="equal">
      <formula>"XXX"</formula>
    </cfRule>
  </conditionalFormatting>
  <conditionalFormatting sqref="B93 K92:AB94">
    <cfRule type="cellIs" dxfId="1697" priority="554" operator="equal">
      <formula>"XXX"</formula>
    </cfRule>
  </conditionalFormatting>
  <conditionalFormatting sqref="K92:AB92 Q93:AB94">
    <cfRule type="cellIs" dxfId="1696" priority="553" operator="equal">
      <formula>"XXX"</formula>
    </cfRule>
  </conditionalFormatting>
  <conditionalFormatting sqref="K93:P94">
    <cfRule type="cellIs" dxfId="1695" priority="552" operator="equal">
      <formula>"XXX"</formula>
    </cfRule>
  </conditionalFormatting>
  <conditionalFormatting sqref="AE95:AM95">
    <cfRule type="cellIs" dxfId="1694" priority="551" operator="equal">
      <formula>"XXX"</formula>
    </cfRule>
  </conditionalFormatting>
  <conditionalFormatting sqref="B90">
    <cfRule type="cellIs" dxfId="1693" priority="550" operator="equal">
      <formula>"XXX"</formula>
    </cfRule>
  </conditionalFormatting>
  <conditionalFormatting sqref="BW116:BX118 BY115:CC118 BW134:CC137">
    <cfRule type="cellIs" dxfId="1692" priority="547" operator="equal">
      <formula>"XXX"</formula>
    </cfRule>
  </conditionalFormatting>
  <conditionalFormatting sqref="BW121:BX133">
    <cfRule type="cellIs" dxfId="1691" priority="545" operator="equal">
      <formula>"XXX"</formula>
    </cfRule>
  </conditionalFormatting>
  <conditionalFormatting sqref="BW140:BX152">
    <cfRule type="cellIs" dxfId="1690" priority="543" operator="equal">
      <formula>"XXX"</formula>
    </cfRule>
  </conditionalFormatting>
  <conditionalFormatting sqref="BJ153:BU153">
    <cfRule type="cellIs" dxfId="1689" priority="462" operator="equal">
      <formula>"XXX"</formula>
    </cfRule>
  </conditionalFormatting>
  <conditionalFormatting sqref="C127:BE127">
    <cfRule type="cellIs" dxfId="1688" priority="461" operator="equal">
      <formula>"XXX"</formula>
    </cfRule>
  </conditionalFormatting>
  <conditionalFormatting sqref="C127:BE127">
    <cfRule type="cellIs" dxfId="1687" priority="460" operator="equal">
      <formula>"XXX"</formula>
    </cfRule>
  </conditionalFormatting>
  <conditionalFormatting sqref="B127">
    <cfRule type="cellIs" dxfId="1686" priority="459" operator="equal">
      <formula>"XXX"</formula>
    </cfRule>
  </conditionalFormatting>
  <conditionalFormatting sqref="K129:AB129 Q130:AB131">
    <cfRule type="cellIs" dxfId="1685" priority="457" operator="equal">
      <formula>"XXX"</formula>
    </cfRule>
  </conditionalFormatting>
  <conditionalFormatting sqref="K129:AB131">
    <cfRule type="cellIs" dxfId="1684" priority="458" operator="equal">
      <formula>"XXX"</formula>
    </cfRule>
  </conditionalFormatting>
  <conditionalFormatting sqref="K130:P131">
    <cfRule type="cellIs" dxfId="1683" priority="456" operator="equal">
      <formula>"XXX"</formula>
    </cfRule>
  </conditionalFormatting>
  <conditionalFormatting sqref="B130">
    <cfRule type="cellIs" dxfId="1682" priority="455" operator="equal">
      <formula>"XXX"</formula>
    </cfRule>
  </conditionalFormatting>
  <conditionalFormatting sqref="B151 B149:AB150">
    <cfRule type="cellIs" dxfId="1681" priority="450" operator="equal">
      <formula>"XXX"</formula>
    </cfRule>
  </conditionalFormatting>
  <conditionalFormatting sqref="B150:H150">
    <cfRule type="cellIs" dxfId="1680" priority="449" operator="equal">
      <formula>"XXX"</formula>
    </cfRule>
  </conditionalFormatting>
  <conditionalFormatting sqref="B73 K72:AB74">
    <cfRule type="cellIs" dxfId="1679" priority="448" operator="equal">
      <formula>"XXX"</formula>
    </cfRule>
  </conditionalFormatting>
  <conditionalFormatting sqref="K72:AB72 Q73:AB74">
    <cfRule type="cellIs" dxfId="1678" priority="447" operator="equal">
      <formula>"XXX"</formula>
    </cfRule>
  </conditionalFormatting>
  <conditionalFormatting sqref="K73:P74">
    <cfRule type="cellIs" dxfId="1677" priority="446" operator="equal">
      <formula>"XXX"</formula>
    </cfRule>
  </conditionalFormatting>
  <conditionalFormatting sqref="BW96:CC99">
    <cfRule type="cellIs" dxfId="1676" priority="445" operator="equal">
      <formula>"XXX"</formula>
    </cfRule>
  </conditionalFormatting>
  <conditionalFormatting sqref="BW102:BX114">
    <cfRule type="cellIs" dxfId="1675" priority="444" operator="equal">
      <formula>"XXX"</formula>
    </cfRule>
  </conditionalFormatting>
  <conditionalFormatting sqref="BQ110">
    <cfRule type="expression" dxfId="1674" priority="443">
      <formula>(AND($BJ110=$BX$5,LEN($BQ110)=0))</formula>
    </cfRule>
  </conditionalFormatting>
  <conditionalFormatting sqref="BQ111">
    <cfRule type="expression" dxfId="1673" priority="441">
      <formula>(AND($BJ111=$BX$5,LEN($BQ111)=0))</formula>
    </cfRule>
  </conditionalFormatting>
  <conditionalFormatting sqref="BQ112">
    <cfRule type="expression" dxfId="1672" priority="439">
      <formula>(AND($BJ112=$BX$5,LEN($BQ112)=0))</formula>
    </cfRule>
  </conditionalFormatting>
  <conditionalFormatting sqref="BQ113">
    <cfRule type="expression" dxfId="1671" priority="437">
      <formula>(AND($BJ113=$BX$5,LEN($BQ113)=0))</formula>
    </cfRule>
  </conditionalFormatting>
  <conditionalFormatting sqref="BQ106">
    <cfRule type="expression" dxfId="1670" priority="435">
      <formula>(AND($BJ106=$BX$5,LEN($BQ106)=0))</formula>
    </cfRule>
  </conditionalFormatting>
  <conditionalFormatting sqref="BQ107">
    <cfRule type="expression" dxfId="1669" priority="433">
      <formula>(AND($BJ107=$BX$5,LEN($BQ107)=0))</formula>
    </cfRule>
  </conditionalFormatting>
  <conditionalFormatting sqref="BQ108">
    <cfRule type="expression" dxfId="1668" priority="431">
      <formula>(AND($BJ108=$BX$5,LEN($BQ108)=0))</formula>
    </cfRule>
  </conditionalFormatting>
  <conditionalFormatting sqref="BQ109">
    <cfRule type="expression" dxfId="1667" priority="429">
      <formula>(AND($BJ109=$BX$5,LEN($BQ109)=0))</formula>
    </cfRule>
  </conditionalFormatting>
  <conditionalFormatting sqref="V77:AB77">
    <cfRule type="cellIs" dxfId="1666" priority="427" operator="equal">
      <formula>"XXX"</formula>
    </cfRule>
  </conditionalFormatting>
  <conditionalFormatting sqref="BQ34">
    <cfRule type="expression" dxfId="1665" priority="426">
      <formula>(AND($BJ34=$BX$5,LEN($BQ34)=0))</formula>
    </cfRule>
  </conditionalFormatting>
  <conditionalFormatting sqref="BR34">
    <cfRule type="expression" dxfId="1664" priority="425">
      <formula>(AND($BJ34=$BX$5,LEN($BR34)=0))</formula>
    </cfRule>
  </conditionalFormatting>
  <conditionalFormatting sqref="BR53">
    <cfRule type="expression" dxfId="1663" priority="424">
      <formula>(AND($BJ53=$BX$5,LEN($BQ53)=0))</formula>
    </cfRule>
  </conditionalFormatting>
  <conditionalFormatting sqref="BR53:BS53">
    <cfRule type="expression" dxfId="1662" priority="423">
      <formula>(AND($BJ53=$BX$5,LEN($BR53)=0))</formula>
    </cfRule>
  </conditionalFormatting>
  <conditionalFormatting sqref="BQ72">
    <cfRule type="expression" dxfId="1661" priority="422">
      <formula>(AND($BJ72=$BX$5,LEN($BQ72)=0))</formula>
    </cfRule>
  </conditionalFormatting>
  <conditionalFormatting sqref="BR72">
    <cfRule type="expression" dxfId="1660" priority="421">
      <formula>(AND($BJ72=$BX$5,LEN($BR72)=0))</formula>
    </cfRule>
  </conditionalFormatting>
  <conditionalFormatting sqref="BQ91">
    <cfRule type="expression" dxfId="1659" priority="420">
      <formula>(AND($BJ91=$BX$5,LEN($BQ91)=0))</formula>
    </cfRule>
  </conditionalFormatting>
  <conditionalFormatting sqref="BR91">
    <cfRule type="expression" dxfId="1658" priority="419">
      <formula>(AND($BJ91=$BX$5,LEN($BR91)=0))</formula>
    </cfRule>
  </conditionalFormatting>
  <conditionalFormatting sqref="BQ147">
    <cfRule type="expression" dxfId="1657" priority="408">
      <formula>(AND($BJ147=$BX$5,LEN($BQ147)=0))</formula>
    </cfRule>
  </conditionalFormatting>
  <conditionalFormatting sqref="BR147">
    <cfRule type="expression" dxfId="1656" priority="407">
      <formula>(AND($BJ147=$BX$5,LEN($BR147)=0))</formula>
    </cfRule>
  </conditionalFormatting>
  <conditionalFormatting sqref="BR128">
    <cfRule type="expression" dxfId="1655" priority="406">
      <formula>(AND($BJ128=$BX$5,LEN($BQ128)=0))</formula>
    </cfRule>
  </conditionalFormatting>
  <conditionalFormatting sqref="BR128">
    <cfRule type="expression" dxfId="1654" priority="405">
      <formula>(AND($BJ128=$BX$5,LEN($BR128)=0))</formula>
    </cfRule>
  </conditionalFormatting>
  <conditionalFormatting sqref="BM125:BM126">
    <cfRule type="expression" dxfId="1653" priority="251">
      <formula>(AND($BJ125=$BX$5,LEN($BQ125)=0))</formula>
    </cfRule>
  </conditionalFormatting>
  <conditionalFormatting sqref="BM125:BN126">
    <cfRule type="expression" dxfId="1652" priority="250">
      <formula>(AND($BJ125=$BX$5,LEN($BR125)=0))</formula>
    </cfRule>
  </conditionalFormatting>
  <conditionalFormatting sqref="BL144:BL145">
    <cfRule type="expression" dxfId="1651" priority="241">
      <formula>(AND($BJ144=$BX$5,LEN($BQ144)=0))</formula>
    </cfRule>
  </conditionalFormatting>
  <conditionalFormatting sqref="BM144:BM145">
    <cfRule type="expression" dxfId="1650" priority="240">
      <formula>(AND($BJ144=$BX$5,LEN($BR144)=0))</formula>
    </cfRule>
  </conditionalFormatting>
  <conditionalFormatting sqref="BL30">
    <cfRule type="expression" dxfId="1649" priority="213">
      <formula>(AND($BJ30=$BX$5,LEN($BQ30)=0))</formula>
    </cfRule>
  </conditionalFormatting>
  <conditionalFormatting sqref="BM30">
    <cfRule type="expression" dxfId="1648" priority="212">
      <formula>(AND($BJ30=$BX$5,LEN($BR30)=0))</formula>
    </cfRule>
  </conditionalFormatting>
  <conditionalFormatting sqref="BL31">
    <cfRule type="expression" dxfId="1647" priority="211">
      <formula>(AND($BJ31=$BX$5,LEN($BQ31)=0))</formula>
    </cfRule>
  </conditionalFormatting>
  <conditionalFormatting sqref="BM31">
    <cfRule type="expression" dxfId="1646" priority="210">
      <formula>(AND($BJ31=$BX$5,LEN($BR31)=0))</formula>
    </cfRule>
  </conditionalFormatting>
  <conditionalFormatting sqref="BL32">
    <cfRule type="expression" dxfId="1645" priority="209">
      <formula>(AND($BJ32=$BX$5,LEN($BQ32)=0))</formula>
    </cfRule>
  </conditionalFormatting>
  <conditionalFormatting sqref="BM32">
    <cfRule type="expression" dxfId="1644" priority="208">
      <formula>(AND($BJ32=$BX$5,LEN($BR32)=0))</formula>
    </cfRule>
  </conditionalFormatting>
  <conditionalFormatting sqref="BL33">
    <cfRule type="expression" dxfId="1643" priority="207">
      <formula>(AND($BJ33=$BX$5,LEN($BQ33)=0))</formula>
    </cfRule>
  </conditionalFormatting>
  <conditionalFormatting sqref="BM33">
    <cfRule type="expression" dxfId="1642" priority="206">
      <formula>(AND($BJ33=$BX$5,LEN($BR33)=0))</formula>
    </cfRule>
  </conditionalFormatting>
  <conditionalFormatting sqref="BL34">
    <cfRule type="expression" dxfId="1641" priority="205">
      <formula>(AND($BJ34=$BX$5,LEN($BQ34)=0))</formula>
    </cfRule>
  </conditionalFormatting>
  <conditionalFormatting sqref="BM34">
    <cfRule type="expression" dxfId="1640" priority="204">
      <formula>(AND($BJ34=$BX$5,LEN($BR34)=0))</formula>
    </cfRule>
  </conditionalFormatting>
  <conditionalFormatting sqref="BL35">
    <cfRule type="expression" dxfId="1639" priority="203">
      <formula>(AND($BJ35=$BX$5,LEN($BQ35)=0))</formula>
    </cfRule>
  </conditionalFormatting>
  <conditionalFormatting sqref="BM35">
    <cfRule type="expression" dxfId="1638" priority="202">
      <formula>(AND($BJ35=$BX$5,LEN($BR35)=0))</formula>
    </cfRule>
  </conditionalFormatting>
  <conditionalFormatting sqref="BL36">
    <cfRule type="expression" dxfId="1637" priority="201">
      <formula>(AND($BJ36=$BX$5,LEN($BQ36)=0))</formula>
    </cfRule>
  </conditionalFormatting>
  <conditionalFormatting sqref="BM36">
    <cfRule type="expression" dxfId="1636" priority="200">
      <formula>(AND($BJ36=$BX$5,LEN($BR36)=0))</formula>
    </cfRule>
  </conditionalFormatting>
  <conditionalFormatting sqref="BL37">
    <cfRule type="expression" dxfId="1635" priority="199">
      <formula>(AND($BJ37=$BX$5,LEN($BQ37)=0))</formula>
    </cfRule>
  </conditionalFormatting>
  <conditionalFormatting sqref="BM37">
    <cfRule type="expression" dxfId="1634" priority="198">
      <formula>(AND($BJ37=$BX$5,LEN($BR37)=0))</formula>
    </cfRule>
  </conditionalFormatting>
  <conditionalFormatting sqref="BM49">
    <cfRule type="expression" dxfId="1633" priority="197">
      <formula>(AND($BJ49=$BX$5,LEN($BQ49)=0))</formula>
    </cfRule>
  </conditionalFormatting>
  <conditionalFormatting sqref="BM49:BN49">
    <cfRule type="expression" dxfId="1632" priority="196">
      <formula>(AND($BJ49=$BX$5,LEN($BR49)=0))</formula>
    </cfRule>
  </conditionalFormatting>
  <conditionalFormatting sqref="BM50">
    <cfRule type="expression" dxfId="1631" priority="195">
      <formula>(AND($BJ50=$BX$5,LEN($BQ50)=0))</formula>
    </cfRule>
  </conditionalFormatting>
  <conditionalFormatting sqref="BM50:BN50">
    <cfRule type="expression" dxfId="1630" priority="194">
      <formula>(AND($BJ50=$BX$5,LEN($BR50)=0))</formula>
    </cfRule>
  </conditionalFormatting>
  <conditionalFormatting sqref="BM51">
    <cfRule type="expression" dxfId="1629" priority="193">
      <formula>(AND($BJ51=$BX$5,LEN($BQ51)=0))</formula>
    </cfRule>
  </conditionalFormatting>
  <conditionalFormatting sqref="BM51:BN51">
    <cfRule type="expression" dxfId="1628" priority="192">
      <formula>(AND($BJ51=$BX$5,LEN($BR51)=0))</formula>
    </cfRule>
  </conditionalFormatting>
  <conditionalFormatting sqref="BM52">
    <cfRule type="expression" dxfId="1627" priority="191">
      <formula>(AND($BJ52=$BX$5,LEN($BQ52)=0))</formula>
    </cfRule>
  </conditionalFormatting>
  <conditionalFormatting sqref="BM52:BN52">
    <cfRule type="expression" dxfId="1626" priority="190">
      <formula>(AND($BJ52=$BX$5,LEN($BR52)=0))</formula>
    </cfRule>
  </conditionalFormatting>
  <conditionalFormatting sqref="BM53">
    <cfRule type="expression" dxfId="1625" priority="189">
      <formula>(AND($BJ53=$BX$5,LEN($BQ53)=0))</formula>
    </cfRule>
  </conditionalFormatting>
  <conditionalFormatting sqref="BM53:BN53">
    <cfRule type="expression" dxfId="1624" priority="188">
      <formula>(AND($BJ53=$BX$5,LEN($BR53)=0))</formula>
    </cfRule>
  </conditionalFormatting>
  <conditionalFormatting sqref="BM54">
    <cfRule type="expression" dxfId="1623" priority="187">
      <formula>(AND($BJ54=$BX$5,LEN($BQ54)=0))</formula>
    </cfRule>
  </conditionalFormatting>
  <conditionalFormatting sqref="BM54:BN54">
    <cfRule type="expression" dxfId="1622" priority="186">
      <formula>(AND($BJ54=$BX$5,LEN($BR54)=0))</formula>
    </cfRule>
  </conditionalFormatting>
  <conditionalFormatting sqref="BM55">
    <cfRule type="expression" dxfId="1621" priority="185">
      <formula>(AND($BJ55=$BX$5,LEN($BQ55)=0))</formula>
    </cfRule>
  </conditionalFormatting>
  <conditionalFormatting sqref="BM55:BN55">
    <cfRule type="expression" dxfId="1620" priority="184">
      <formula>(AND($BJ55=$BX$5,LEN($BR55)=0))</formula>
    </cfRule>
  </conditionalFormatting>
  <conditionalFormatting sqref="BM56">
    <cfRule type="expression" dxfId="1619" priority="183">
      <formula>(AND($BJ56=$BX$5,LEN($BQ56)=0))</formula>
    </cfRule>
  </conditionalFormatting>
  <conditionalFormatting sqref="BM56:BN56">
    <cfRule type="expression" dxfId="1618" priority="182">
      <formula>(AND($BJ56=$BX$5,LEN($BR56)=0))</formula>
    </cfRule>
  </conditionalFormatting>
  <conditionalFormatting sqref="BL68">
    <cfRule type="expression" dxfId="1617" priority="181">
      <formula>(AND($BJ68=$BX$5,LEN($BQ68)=0))</formula>
    </cfRule>
  </conditionalFormatting>
  <conditionalFormatting sqref="BM68">
    <cfRule type="expression" dxfId="1616" priority="180">
      <formula>(AND($BJ68=$BX$5,LEN($BR68)=0))</formula>
    </cfRule>
  </conditionalFormatting>
  <conditionalFormatting sqref="BL69">
    <cfRule type="expression" dxfId="1615" priority="179">
      <formula>(AND($BJ69=$BX$5,LEN($BQ69)=0))</formula>
    </cfRule>
  </conditionalFormatting>
  <conditionalFormatting sqref="BM69">
    <cfRule type="expression" dxfId="1614" priority="178">
      <formula>(AND($BJ69=$BX$5,LEN($BR69)=0))</formula>
    </cfRule>
  </conditionalFormatting>
  <conditionalFormatting sqref="BL70">
    <cfRule type="expression" dxfId="1613" priority="177">
      <formula>(AND($BJ70=$BX$5,LEN($BQ70)=0))</formula>
    </cfRule>
  </conditionalFormatting>
  <conditionalFormatting sqref="BM70">
    <cfRule type="expression" dxfId="1612" priority="176">
      <formula>(AND($BJ70=$BX$5,LEN($BR70)=0))</formula>
    </cfRule>
  </conditionalFormatting>
  <conditionalFormatting sqref="BL71">
    <cfRule type="expression" dxfId="1611" priority="175">
      <formula>(AND($BJ71=$BX$5,LEN($BQ71)=0))</formula>
    </cfRule>
  </conditionalFormatting>
  <conditionalFormatting sqref="BM71">
    <cfRule type="expression" dxfId="1610" priority="174">
      <formula>(AND($BJ71=$BX$5,LEN($BR71)=0))</formula>
    </cfRule>
  </conditionalFormatting>
  <conditionalFormatting sqref="BL72">
    <cfRule type="expression" dxfId="1609" priority="173">
      <formula>(AND($BJ72=$BX$5,LEN($BQ72)=0))</formula>
    </cfRule>
  </conditionalFormatting>
  <conditionalFormatting sqref="BM72">
    <cfRule type="expression" dxfId="1608" priority="172">
      <formula>(AND($BJ72=$BX$5,LEN($BR72)=0))</formula>
    </cfRule>
  </conditionalFormatting>
  <conditionalFormatting sqref="BL73">
    <cfRule type="expression" dxfId="1607" priority="171">
      <formula>(AND($BJ73=$BX$5,LEN($BQ73)=0))</formula>
    </cfRule>
  </conditionalFormatting>
  <conditionalFormatting sqref="BM73">
    <cfRule type="expression" dxfId="1606" priority="170">
      <formula>(AND($BJ73=$BX$5,LEN($BR73)=0))</formula>
    </cfRule>
  </conditionalFormatting>
  <conditionalFormatting sqref="BL74">
    <cfRule type="expression" dxfId="1605" priority="169">
      <formula>(AND($BJ74=$BX$5,LEN($BQ74)=0))</formula>
    </cfRule>
  </conditionalFormatting>
  <conditionalFormatting sqref="BM74">
    <cfRule type="expression" dxfId="1604" priority="168">
      <formula>(AND($BJ74=$BX$5,LEN($BR74)=0))</formula>
    </cfRule>
  </conditionalFormatting>
  <conditionalFormatting sqref="BL75">
    <cfRule type="expression" dxfId="1603" priority="167">
      <formula>(AND($BJ75=$BX$5,LEN($BQ75)=0))</formula>
    </cfRule>
  </conditionalFormatting>
  <conditionalFormatting sqref="BM75">
    <cfRule type="expression" dxfId="1602" priority="166">
      <formula>(AND($BJ75=$BX$5,LEN($BR75)=0))</formula>
    </cfRule>
  </conditionalFormatting>
  <conditionalFormatting sqref="BL87">
    <cfRule type="expression" dxfId="1601" priority="165">
      <formula>(AND($BJ87=$BX$5,LEN($BQ87)=0))</formula>
    </cfRule>
  </conditionalFormatting>
  <conditionalFormatting sqref="BM87">
    <cfRule type="expression" dxfId="1600" priority="164">
      <formula>(AND($BJ87=$BX$5,LEN($BR87)=0))</formula>
    </cfRule>
  </conditionalFormatting>
  <conditionalFormatting sqref="BL88">
    <cfRule type="expression" dxfId="1599" priority="163">
      <formula>(AND($BJ88=$BX$5,LEN($BQ88)=0))</formula>
    </cfRule>
  </conditionalFormatting>
  <conditionalFormatting sqref="BM88">
    <cfRule type="expression" dxfId="1598" priority="162">
      <formula>(AND($BJ88=$BX$5,LEN($BR88)=0))</formula>
    </cfRule>
  </conditionalFormatting>
  <conditionalFormatting sqref="BL89">
    <cfRule type="expression" dxfId="1597" priority="161">
      <formula>(AND($BJ89=$BX$5,LEN($BQ89)=0))</formula>
    </cfRule>
  </conditionalFormatting>
  <conditionalFormatting sqref="BM89">
    <cfRule type="expression" dxfId="1596" priority="160">
      <formula>(AND($BJ89=$BX$5,LEN($BR89)=0))</formula>
    </cfRule>
  </conditionalFormatting>
  <conditionalFormatting sqref="BL90">
    <cfRule type="expression" dxfId="1595" priority="159">
      <formula>(AND($BJ90=$BX$5,LEN($BQ90)=0))</formula>
    </cfRule>
  </conditionalFormatting>
  <conditionalFormatting sqref="BM90">
    <cfRule type="expression" dxfId="1594" priority="158">
      <formula>(AND($BJ90=$BX$5,LEN($BR90)=0))</formula>
    </cfRule>
  </conditionalFormatting>
  <conditionalFormatting sqref="BL91">
    <cfRule type="expression" dxfId="1593" priority="157">
      <formula>(AND($BJ91=$BX$5,LEN($BQ91)=0))</formula>
    </cfRule>
  </conditionalFormatting>
  <conditionalFormatting sqref="BM91">
    <cfRule type="expression" dxfId="1592" priority="156">
      <formula>(AND($BJ91=$BX$5,LEN($BR91)=0))</formula>
    </cfRule>
  </conditionalFormatting>
  <conditionalFormatting sqref="BL92">
    <cfRule type="expression" dxfId="1591" priority="155">
      <formula>(AND($BJ92=$BX$5,LEN($BQ92)=0))</formula>
    </cfRule>
  </conditionalFormatting>
  <conditionalFormatting sqref="BM92">
    <cfRule type="expression" dxfId="1590" priority="154">
      <formula>(AND($BJ92=$BX$5,LEN($BR92)=0))</formula>
    </cfRule>
  </conditionalFormatting>
  <conditionalFormatting sqref="BL93">
    <cfRule type="expression" dxfId="1589" priority="153">
      <formula>(AND($BJ93=$BX$5,LEN($BQ93)=0))</formula>
    </cfRule>
  </conditionalFormatting>
  <conditionalFormatting sqref="BM93">
    <cfRule type="expression" dxfId="1588" priority="152">
      <formula>(AND($BJ93=$BX$5,LEN($BR93)=0))</formula>
    </cfRule>
  </conditionalFormatting>
  <conditionalFormatting sqref="BL94">
    <cfRule type="expression" dxfId="1587" priority="151">
      <formula>(AND($BJ94=$BX$5,LEN($BQ94)=0))</formula>
    </cfRule>
  </conditionalFormatting>
  <conditionalFormatting sqref="BM94">
    <cfRule type="expression" dxfId="1586" priority="150">
      <formula>(AND($BJ94=$BX$5,LEN($BR94)=0))</formula>
    </cfRule>
  </conditionalFormatting>
  <conditionalFormatting sqref="BM129">
    <cfRule type="expression" dxfId="1585" priority="146">
      <formula>(AND($BJ129=$BX$5,LEN($BQ129)=0))</formula>
    </cfRule>
  </conditionalFormatting>
  <conditionalFormatting sqref="BM129:BN129">
    <cfRule type="expression" dxfId="1584" priority="145">
      <formula>(AND($BJ129=$BX$5,LEN($BR129)=0))</formula>
    </cfRule>
  </conditionalFormatting>
  <conditionalFormatting sqref="BM127:BM128">
    <cfRule type="expression" dxfId="1583" priority="144">
      <formula>(AND($BJ127=$BX$5,LEN($BQ127)=0))</formula>
    </cfRule>
  </conditionalFormatting>
  <conditionalFormatting sqref="BM127:BN128">
    <cfRule type="expression" dxfId="1582" priority="143">
      <formula>(AND($BJ127=$BX$5,LEN($BR127)=0))</formula>
    </cfRule>
  </conditionalFormatting>
  <conditionalFormatting sqref="BM130">
    <cfRule type="expression" dxfId="1581" priority="142">
      <formula>(AND($BJ130=$BX$5,LEN($BQ130)=0))</formula>
    </cfRule>
  </conditionalFormatting>
  <conditionalFormatting sqref="BM130:BN130">
    <cfRule type="expression" dxfId="1580" priority="141">
      <formula>(AND($BJ130=$BX$5,LEN($BR130)=0))</formula>
    </cfRule>
  </conditionalFormatting>
  <conditionalFormatting sqref="BM131">
    <cfRule type="expression" dxfId="1579" priority="140">
      <formula>(AND($BJ131=$BX$5,LEN($BQ131)=0))</formula>
    </cfRule>
  </conditionalFormatting>
  <conditionalFormatting sqref="BM131:BN131">
    <cfRule type="expression" dxfId="1578" priority="139">
      <formula>(AND($BJ131=$BX$5,LEN($BR131)=0))</formula>
    </cfRule>
  </conditionalFormatting>
  <conditionalFormatting sqref="BM132">
    <cfRule type="expression" dxfId="1577" priority="138">
      <formula>(AND($BJ132=$BX$5,LEN($BQ132)=0))</formula>
    </cfRule>
  </conditionalFormatting>
  <conditionalFormatting sqref="BM132:BN132">
    <cfRule type="expression" dxfId="1576" priority="137">
      <formula>(AND($BJ132=$BX$5,LEN($BR132)=0))</formula>
    </cfRule>
  </conditionalFormatting>
  <conditionalFormatting sqref="BL148">
    <cfRule type="expression" dxfId="1575" priority="136">
      <formula>(AND($BJ148=$BX$5,LEN($BQ148)=0))</formula>
    </cfRule>
  </conditionalFormatting>
  <conditionalFormatting sqref="BM148">
    <cfRule type="expression" dxfId="1574" priority="135">
      <formula>(AND($BJ148=$BX$5,LEN($BR148)=0))</formula>
    </cfRule>
  </conditionalFormatting>
  <conditionalFormatting sqref="BL146:BL147">
    <cfRule type="expression" dxfId="1573" priority="134">
      <formula>(AND($BJ146=$BX$5,LEN($BQ146)=0))</formula>
    </cfRule>
  </conditionalFormatting>
  <conditionalFormatting sqref="BM146:BM147">
    <cfRule type="expression" dxfId="1572" priority="133">
      <formula>(AND($BJ146=$BX$5,LEN($BR146)=0))</formula>
    </cfRule>
  </conditionalFormatting>
  <conditionalFormatting sqref="BL149">
    <cfRule type="expression" dxfId="1571" priority="132">
      <formula>(AND($BJ149=$BX$5,LEN($BQ149)=0))</formula>
    </cfRule>
  </conditionalFormatting>
  <conditionalFormatting sqref="BM149">
    <cfRule type="expression" dxfId="1570" priority="131">
      <formula>(AND($BJ149=$BX$5,LEN($BR149)=0))</formula>
    </cfRule>
  </conditionalFormatting>
  <conditionalFormatting sqref="BL150">
    <cfRule type="expression" dxfId="1569" priority="130">
      <formula>(AND($BJ150=$BX$5,LEN($BQ150)=0))</formula>
    </cfRule>
  </conditionalFormatting>
  <conditionalFormatting sqref="BM150">
    <cfRule type="expression" dxfId="1568" priority="129">
      <formula>(AND($BJ150=$BX$5,LEN($BR150)=0))</formula>
    </cfRule>
  </conditionalFormatting>
  <conditionalFormatting sqref="BL151">
    <cfRule type="expression" dxfId="1567" priority="128">
      <formula>(AND($BJ151=$BX$5,LEN($BQ151)=0))</formula>
    </cfRule>
  </conditionalFormatting>
  <conditionalFormatting sqref="BM151">
    <cfRule type="expression" dxfId="1566" priority="127">
      <formula>(AND($BJ151=$BX$5,LEN($BR151)=0))</formula>
    </cfRule>
  </conditionalFormatting>
  <conditionalFormatting sqref="BQ30">
    <cfRule type="expression" dxfId="1565" priority="122">
      <formula>(AND($BJ30=$BX$5,LEN($BQ30)=0))</formula>
    </cfRule>
  </conditionalFormatting>
  <conditionalFormatting sqref="BR30">
    <cfRule type="expression" dxfId="1564" priority="121">
      <formula>(AND($BJ30=$BX$5,LEN($BR30)=0))</formula>
    </cfRule>
  </conditionalFormatting>
  <conditionalFormatting sqref="BR49">
    <cfRule type="expression" dxfId="1563" priority="120">
      <formula>(AND($BJ49=$BX$5,LEN($BQ49)=0))</formula>
    </cfRule>
  </conditionalFormatting>
  <conditionalFormatting sqref="BR49:BS49">
    <cfRule type="expression" dxfId="1562" priority="119">
      <formula>(AND($BJ49=$BX$5,LEN($BR49)=0))</formula>
    </cfRule>
  </conditionalFormatting>
  <conditionalFormatting sqref="BQ68">
    <cfRule type="expression" dxfId="1561" priority="118">
      <formula>(AND($BJ68=$BX$5,LEN($BQ68)=0))</formula>
    </cfRule>
  </conditionalFormatting>
  <conditionalFormatting sqref="BR68">
    <cfRule type="expression" dxfId="1560" priority="117">
      <formula>(AND($BJ68=$BX$5,LEN($BR68)=0))</formula>
    </cfRule>
  </conditionalFormatting>
  <conditionalFormatting sqref="BQ87">
    <cfRule type="expression" dxfId="1559" priority="116">
      <formula>(AND($BJ87=$BX$5,LEN($BQ87)=0))</formula>
    </cfRule>
  </conditionalFormatting>
  <conditionalFormatting sqref="BR87">
    <cfRule type="expression" dxfId="1558" priority="115">
      <formula>(AND($BJ87=$BX$5,LEN($BR87)=0))</formula>
    </cfRule>
  </conditionalFormatting>
  <conditionalFormatting sqref="BR125">
    <cfRule type="expression" dxfId="1557" priority="114">
      <formula>(AND($BJ125=$BX$5,LEN($BQ125)=0))</formula>
    </cfRule>
  </conditionalFormatting>
  <conditionalFormatting sqref="BR125:BS125">
    <cfRule type="expression" dxfId="1556" priority="113">
      <formula>(AND($BJ125=$BX$5,LEN($BR125)=0))</formula>
    </cfRule>
  </conditionalFormatting>
  <conditionalFormatting sqref="BQ144">
    <cfRule type="expression" dxfId="1555" priority="112">
      <formula>(AND($BJ144=$BX$5,LEN($BQ144)=0))</formula>
    </cfRule>
  </conditionalFormatting>
  <conditionalFormatting sqref="BR144">
    <cfRule type="expression" dxfId="1554" priority="111">
      <formula>(AND($BJ144=$BX$5,LEN($BR144)=0))</formula>
    </cfRule>
  </conditionalFormatting>
  <conditionalFormatting sqref="V42">
    <cfRule type="cellIs" dxfId="1553" priority="100" operator="equal">
      <formula>"XXX"</formula>
    </cfRule>
  </conditionalFormatting>
  <conditionalFormatting sqref="AY42">
    <cfRule type="cellIs" dxfId="1552" priority="99" operator="equal">
      <formula>"XXX"</formula>
    </cfRule>
  </conditionalFormatting>
  <conditionalFormatting sqref="V60">
    <cfRule type="cellIs" dxfId="1551" priority="98" operator="equal">
      <formula>"XXX"</formula>
    </cfRule>
  </conditionalFormatting>
  <conditionalFormatting sqref="AY60">
    <cfRule type="cellIs" dxfId="1550" priority="97" operator="equal">
      <formula>"XXX"</formula>
    </cfRule>
  </conditionalFormatting>
  <conditionalFormatting sqref="V98">
    <cfRule type="cellIs" dxfId="1549" priority="95" operator="equal">
      <formula>"XXX"</formula>
    </cfRule>
  </conditionalFormatting>
  <conditionalFormatting sqref="AY98">
    <cfRule type="cellIs" dxfId="1548" priority="94" operator="equal">
      <formula>"XXX"</formula>
    </cfRule>
  </conditionalFormatting>
  <conditionalFormatting sqref="BQ31">
    <cfRule type="expression" dxfId="1547" priority="93">
      <formula>(AND($BJ31=$BX$5,LEN($BQ31)=0))</formula>
    </cfRule>
  </conditionalFormatting>
  <conditionalFormatting sqref="BR31">
    <cfRule type="expression" dxfId="1546" priority="92">
      <formula>(AND($BJ31=$BX$5,LEN($BR31)=0))</formula>
    </cfRule>
  </conditionalFormatting>
  <conditionalFormatting sqref="BR50">
    <cfRule type="expression" dxfId="1545" priority="91">
      <formula>(AND($BJ50=$BX$5,LEN($BQ50)=0))</formula>
    </cfRule>
  </conditionalFormatting>
  <conditionalFormatting sqref="BR50:BS50">
    <cfRule type="expression" dxfId="1544" priority="90">
      <formula>(AND($BJ50=$BX$5,LEN($BR50)=0))</formula>
    </cfRule>
  </conditionalFormatting>
  <conditionalFormatting sqref="BQ69">
    <cfRule type="expression" dxfId="1543" priority="89">
      <formula>(AND($BJ69=$BX$5,LEN($BQ69)=0))</formula>
    </cfRule>
  </conditionalFormatting>
  <conditionalFormatting sqref="BR69">
    <cfRule type="expression" dxfId="1542" priority="88">
      <formula>(AND($BJ69=$BX$5,LEN($BR69)=0))</formula>
    </cfRule>
  </conditionalFormatting>
  <conditionalFormatting sqref="BQ88">
    <cfRule type="expression" dxfId="1541" priority="87">
      <formula>(AND($BJ88=$BX$5,LEN($BQ88)=0))</formula>
    </cfRule>
  </conditionalFormatting>
  <conditionalFormatting sqref="BR88">
    <cfRule type="expression" dxfId="1540" priority="86">
      <formula>(AND($BJ88=$BX$5,LEN($BR88)=0))</formula>
    </cfRule>
  </conditionalFormatting>
  <conditionalFormatting sqref="BR126">
    <cfRule type="expression" dxfId="1539" priority="85">
      <formula>(AND($BJ126=$BX$5,LEN($BQ126)=0))</formula>
    </cfRule>
  </conditionalFormatting>
  <conditionalFormatting sqref="BR126:BS126">
    <cfRule type="expression" dxfId="1538" priority="84">
      <formula>(AND($BJ126=$BX$5,LEN($BR126)=0))</formula>
    </cfRule>
  </conditionalFormatting>
  <conditionalFormatting sqref="BQ145">
    <cfRule type="expression" dxfId="1537" priority="83">
      <formula>(AND($BJ145=$BX$5,LEN($BQ145)=0))</formula>
    </cfRule>
  </conditionalFormatting>
  <conditionalFormatting sqref="BR145">
    <cfRule type="expression" dxfId="1536" priority="82">
      <formula>(AND($BJ145=$BX$5,LEN($BR145)=0))</formula>
    </cfRule>
  </conditionalFormatting>
  <conditionalFormatting sqref="BQ32">
    <cfRule type="expression" dxfId="1535" priority="80">
      <formula>(AND($BJ32=$BX$5,LEN($BQ32)=0))</formula>
    </cfRule>
  </conditionalFormatting>
  <conditionalFormatting sqref="BR32">
    <cfRule type="expression" dxfId="1534" priority="79">
      <formula>(AND($BJ32=$BX$5,LEN($BR32)=0))</formula>
    </cfRule>
  </conditionalFormatting>
  <conditionalFormatting sqref="BR51">
    <cfRule type="expression" dxfId="1533" priority="78">
      <formula>(AND($BJ51=$BX$5,LEN($BQ51)=0))</formula>
    </cfRule>
  </conditionalFormatting>
  <conditionalFormatting sqref="BR51:BS51">
    <cfRule type="expression" dxfId="1532" priority="77">
      <formula>(AND($BJ51=$BX$5,LEN($BR51)=0))</formula>
    </cfRule>
  </conditionalFormatting>
  <conditionalFormatting sqref="BQ70">
    <cfRule type="expression" dxfId="1531" priority="76">
      <formula>(AND($BJ70=$BX$5,LEN($BQ70)=0))</formula>
    </cfRule>
  </conditionalFormatting>
  <conditionalFormatting sqref="BR70">
    <cfRule type="expression" dxfId="1530" priority="75">
      <formula>(AND($BJ70=$BX$5,LEN($BR70)=0))</formula>
    </cfRule>
  </conditionalFormatting>
  <conditionalFormatting sqref="BQ89">
    <cfRule type="expression" dxfId="1529" priority="74">
      <formula>(AND($BJ89=$BX$5,LEN($BQ89)=0))</formula>
    </cfRule>
  </conditionalFormatting>
  <conditionalFormatting sqref="BR89">
    <cfRule type="expression" dxfId="1528" priority="73">
      <formula>(AND($BJ89=$BX$5,LEN($BR89)=0))</formula>
    </cfRule>
  </conditionalFormatting>
  <conditionalFormatting sqref="BR127">
    <cfRule type="expression" dxfId="1527" priority="72">
      <formula>(AND($BJ127=$BX$5,LEN($BQ127)=0))</formula>
    </cfRule>
  </conditionalFormatting>
  <conditionalFormatting sqref="BR127:BS127">
    <cfRule type="expression" dxfId="1526" priority="71">
      <formula>(AND($BJ127=$BX$5,LEN($BR127)=0))</formula>
    </cfRule>
  </conditionalFormatting>
  <conditionalFormatting sqref="BQ146">
    <cfRule type="expression" dxfId="1525" priority="70">
      <formula>(AND($BJ146=$BX$5,LEN($BQ146)=0))</formula>
    </cfRule>
  </conditionalFormatting>
  <conditionalFormatting sqref="BR146">
    <cfRule type="expression" dxfId="1524" priority="69">
      <formula>(AND($BJ146=$BX$5,LEN($BR146)=0))</formula>
    </cfRule>
  </conditionalFormatting>
  <conditionalFormatting sqref="BS52">
    <cfRule type="expression" dxfId="1523" priority="64">
      <formula>(AND($BJ52=$BX$5,LEN($BR52)=0))</formula>
    </cfRule>
  </conditionalFormatting>
  <conditionalFormatting sqref="BS128">
    <cfRule type="expression" dxfId="1522" priority="63">
      <formula>(AND($BJ128=$BX$5,LEN($BR128)=0))</formula>
    </cfRule>
  </conditionalFormatting>
  <conditionalFormatting sqref="AC8:AD11">
    <cfRule type="cellIs" dxfId="1521" priority="55" operator="equal">
      <formula>"XXX"</formula>
    </cfRule>
  </conditionalFormatting>
  <conditionalFormatting sqref="AC29:AD32">
    <cfRule type="cellIs" dxfId="1520" priority="52" operator="equal">
      <formula>"XXX"</formula>
    </cfRule>
  </conditionalFormatting>
  <conditionalFormatting sqref="V78">
    <cfRule type="cellIs" dxfId="1519" priority="49" operator="equal">
      <formula>"XXX"</formula>
    </cfRule>
  </conditionalFormatting>
  <conditionalFormatting sqref="BQ35">
    <cfRule type="expression" dxfId="1518" priority="48">
      <formula>(AND($BJ35=$BX$5,LEN($BQ35)=0))</formula>
    </cfRule>
  </conditionalFormatting>
  <conditionalFormatting sqref="BR35">
    <cfRule type="expression" dxfId="1517" priority="47">
      <formula>(AND($BJ35=$BX$5,LEN($BR35)=0))</formula>
    </cfRule>
  </conditionalFormatting>
  <conditionalFormatting sqref="BR54">
    <cfRule type="expression" dxfId="1516" priority="46">
      <formula>(AND($BJ54=$BX$5,LEN($BQ54)=0))</formula>
    </cfRule>
  </conditionalFormatting>
  <conditionalFormatting sqref="BR54:BS54">
    <cfRule type="expression" dxfId="1515" priority="45">
      <formula>(AND($BJ54=$BX$5,LEN($BR54)=0))</formula>
    </cfRule>
  </conditionalFormatting>
  <conditionalFormatting sqref="BQ73">
    <cfRule type="expression" dxfId="1514" priority="44">
      <formula>(AND($BJ73=$BX$5,LEN($BQ73)=0))</formula>
    </cfRule>
  </conditionalFormatting>
  <conditionalFormatting sqref="BR73">
    <cfRule type="expression" dxfId="1513" priority="43">
      <formula>(AND($BJ73=$BX$5,LEN($BR73)=0))</formula>
    </cfRule>
  </conditionalFormatting>
  <conditionalFormatting sqref="BQ92">
    <cfRule type="expression" dxfId="1512" priority="42">
      <formula>(AND($BJ92=$BX$5,LEN($BQ92)=0))</formula>
    </cfRule>
  </conditionalFormatting>
  <conditionalFormatting sqref="BR92">
    <cfRule type="expression" dxfId="1511" priority="41">
      <formula>(AND($BJ92=$BX$5,LEN($BR92)=0))</formula>
    </cfRule>
  </conditionalFormatting>
  <conditionalFormatting sqref="BR111">
    <cfRule type="expression" dxfId="1510" priority="40">
      <formula>(AND($BJ111=$BX$5,LEN($BR111)=0))</formula>
    </cfRule>
  </conditionalFormatting>
  <conditionalFormatting sqref="BR130">
    <cfRule type="expression" dxfId="1509" priority="39">
      <formula>(AND($BJ130=$BX$5,LEN($BQ130)=0))</formula>
    </cfRule>
  </conditionalFormatting>
  <conditionalFormatting sqref="BR130:BS130">
    <cfRule type="expression" dxfId="1508" priority="38">
      <formula>(AND($BJ130=$BX$5,LEN($BR130)=0))</formula>
    </cfRule>
  </conditionalFormatting>
  <conditionalFormatting sqref="BQ149">
    <cfRule type="expression" dxfId="1507" priority="37">
      <formula>(AND($BJ149=$BX$5,LEN($BQ149)=0))</formula>
    </cfRule>
  </conditionalFormatting>
  <conditionalFormatting sqref="BR149">
    <cfRule type="expression" dxfId="1506" priority="36">
      <formula>(AND($BJ149=$BX$5,LEN($BR149)=0))</formula>
    </cfRule>
  </conditionalFormatting>
  <conditionalFormatting sqref="BQ36">
    <cfRule type="expression" dxfId="1505" priority="35">
      <formula>(AND($BJ36=$BX$5,LEN($BQ36)=0))</formula>
    </cfRule>
  </conditionalFormatting>
  <conditionalFormatting sqref="BR36">
    <cfRule type="expression" dxfId="1504" priority="34">
      <formula>(AND($BJ36=$BX$5,LEN($BR36)=0))</formula>
    </cfRule>
  </conditionalFormatting>
  <conditionalFormatting sqref="BR55">
    <cfRule type="expression" dxfId="1503" priority="33">
      <formula>(AND($BJ55=$BX$5,LEN($BQ55)=0))</formula>
    </cfRule>
  </conditionalFormatting>
  <conditionalFormatting sqref="BR55:BS55">
    <cfRule type="expression" dxfId="1502" priority="32">
      <formula>(AND($BJ55=$BX$5,LEN($BR55)=0))</formula>
    </cfRule>
  </conditionalFormatting>
  <conditionalFormatting sqref="BQ74">
    <cfRule type="expression" dxfId="1501" priority="31">
      <formula>(AND($BJ74=$BX$5,LEN($BQ74)=0))</formula>
    </cfRule>
  </conditionalFormatting>
  <conditionalFormatting sqref="BR74">
    <cfRule type="expression" dxfId="1500" priority="30">
      <formula>(AND($BJ74=$BX$5,LEN($BR74)=0))</formula>
    </cfRule>
  </conditionalFormatting>
  <conditionalFormatting sqref="BQ93">
    <cfRule type="expression" dxfId="1499" priority="29">
      <formula>(AND($BJ93=$BX$5,LEN($BQ93)=0))</formula>
    </cfRule>
  </conditionalFormatting>
  <conditionalFormatting sqref="BR93">
    <cfRule type="expression" dxfId="1498" priority="28">
      <formula>(AND($BJ93=$BX$5,LEN($BR93)=0))</formula>
    </cfRule>
  </conditionalFormatting>
  <conditionalFormatting sqref="BR112">
    <cfRule type="expression" dxfId="1497" priority="27">
      <formula>(AND($BJ112=$BX$5,LEN($BR112)=0))</formula>
    </cfRule>
  </conditionalFormatting>
  <conditionalFormatting sqref="BR131">
    <cfRule type="expression" dxfId="1496" priority="26">
      <formula>(AND($BJ131=$BX$5,LEN($BQ131)=0))</formula>
    </cfRule>
  </conditionalFormatting>
  <conditionalFormatting sqref="BR131:BS131">
    <cfRule type="expression" dxfId="1495" priority="25">
      <formula>(AND($BJ131=$BX$5,LEN($BR131)=0))</formula>
    </cfRule>
  </conditionalFormatting>
  <conditionalFormatting sqref="BQ150">
    <cfRule type="expression" dxfId="1494" priority="24">
      <formula>(AND($BJ150=$BX$5,LEN($BQ150)=0))</formula>
    </cfRule>
  </conditionalFormatting>
  <conditionalFormatting sqref="BR150">
    <cfRule type="expression" dxfId="1493" priority="23">
      <formula>(AND($BJ150=$BX$5,LEN($BR150)=0))</formula>
    </cfRule>
  </conditionalFormatting>
  <conditionalFormatting sqref="AE8">
    <cfRule type="cellIs" dxfId="1492" priority="21" operator="equal">
      <formula>"XXX"</formula>
    </cfRule>
  </conditionalFormatting>
  <conditionalFormatting sqref="AE29">
    <cfRule type="cellIs" dxfId="1491" priority="20" operator="equal">
      <formula>"XXX"</formula>
    </cfRule>
  </conditionalFormatting>
  <conditionalFormatting sqref="BQ37">
    <cfRule type="expression" dxfId="1490" priority="18">
      <formula>(AND($BJ37=$BX$5,LEN($BQ37)=0))</formula>
    </cfRule>
  </conditionalFormatting>
  <conditionalFormatting sqref="BR37">
    <cfRule type="expression" dxfId="1489" priority="17">
      <formula>(AND($BJ37=$BX$5,LEN($BR37)=0))</formula>
    </cfRule>
  </conditionalFormatting>
  <conditionalFormatting sqref="BR56">
    <cfRule type="expression" dxfId="1488" priority="16">
      <formula>(AND($BJ56=$BX$5,LEN($BQ56)=0))</formula>
    </cfRule>
  </conditionalFormatting>
  <conditionalFormatting sqref="BR56:BS56">
    <cfRule type="expression" dxfId="1487" priority="15">
      <formula>(AND($BJ56=$BX$5,LEN($BR56)=0))</formula>
    </cfRule>
  </conditionalFormatting>
  <conditionalFormatting sqref="BQ75">
    <cfRule type="expression" dxfId="1486" priority="14">
      <formula>(AND($BJ75=$BX$5,LEN($BQ75)=0))</formula>
    </cfRule>
  </conditionalFormatting>
  <conditionalFormatting sqref="BR75">
    <cfRule type="expression" dxfId="1485" priority="13">
      <formula>(AND($BJ75=$BX$5,LEN($BR75)=0))</formula>
    </cfRule>
  </conditionalFormatting>
  <conditionalFormatting sqref="BQ94">
    <cfRule type="expression" dxfId="1484" priority="12">
      <formula>(AND($BJ94=$BX$5,LEN($BQ94)=0))</formula>
    </cfRule>
  </conditionalFormatting>
  <conditionalFormatting sqref="BR94">
    <cfRule type="expression" dxfId="1483" priority="11">
      <formula>(AND($BJ94=$BX$5,LEN($BR94)=0))</formula>
    </cfRule>
  </conditionalFormatting>
  <conditionalFormatting sqref="BR113">
    <cfRule type="expression" dxfId="1482" priority="10">
      <formula>(AND($BJ113=$BX$5,LEN($BR113)=0))</formula>
    </cfRule>
  </conditionalFormatting>
  <conditionalFormatting sqref="BR132">
    <cfRule type="expression" dxfId="1481" priority="9">
      <formula>(AND($BJ132=$BX$5,LEN($BQ132)=0))</formula>
    </cfRule>
  </conditionalFormatting>
  <conditionalFormatting sqref="BR132:BS132">
    <cfRule type="expression" dxfId="1480" priority="8">
      <formula>(AND($BJ132=$BX$5,LEN($BR132)=0))</formula>
    </cfRule>
  </conditionalFormatting>
  <conditionalFormatting sqref="BQ151">
    <cfRule type="expression" dxfId="1479" priority="7">
      <formula>(AND($BJ151=$BX$5,LEN($BQ151)=0))</formula>
    </cfRule>
  </conditionalFormatting>
  <conditionalFormatting sqref="BR151">
    <cfRule type="expression" dxfId="1478" priority="6">
      <formula>(AND($BJ151=$BX$5,LEN($BR151)=0))</formula>
    </cfRule>
  </conditionalFormatting>
  <conditionalFormatting sqref="B8">
    <cfRule type="cellIs" dxfId="1477" priority="5" operator="equal">
      <formula>"XXX"</formula>
    </cfRule>
  </conditionalFormatting>
  <conditionalFormatting sqref="B29">
    <cfRule type="cellIs" dxfId="1476" priority="4" operator="equal">
      <formula>"XXX"</formula>
    </cfRule>
  </conditionalFormatting>
  <conditionalFormatting sqref="BM111">
    <cfRule type="expression" dxfId="1475" priority="3">
      <formula>(AND($BJ111=$BX$5,LEN($BR111)=0))</formula>
    </cfRule>
  </conditionalFormatting>
  <conditionalFormatting sqref="BM112">
    <cfRule type="expression" dxfId="1474" priority="2">
      <formula>(AND($BJ112=$BX$5,LEN($BR112)=0))</formula>
    </cfRule>
  </conditionalFormatting>
  <conditionalFormatting sqref="BM113">
    <cfRule type="expression" dxfId="1473" priority="1">
      <formula>(AND($BJ113=$BX$5,LEN($BR113)=0))</formula>
    </cfRule>
  </conditionalFormatting>
  <dataValidations count="2">
    <dataValidation type="whole" operator="lessThan" allowBlank="1" showInputMessage="1" showErrorMessage="1" errorTitle="Negative Value" error="This value must be entered as a negative number." sqref="BJ7:BV7 BJ11:BV11 BJ9:BV9" xr:uid="{00000000-0002-0000-1800-000000000000}">
      <formula1>0</formula1>
    </dataValidation>
    <dataValidation type="whole" operator="greaterThanOrEqual" allowBlank="1" showInputMessage="1" showErrorMessage="1" errorTitle="Positive Value" error="This value must be entered as a positive number." sqref="BJ6:BV6 BJ10:BV10 BJ8:BV8 BJ12:BV14" xr:uid="{00000000-0002-0000-1800-000001000000}">
      <formula1>0</formula1>
    </dataValidation>
  </dataValidations>
  <printOptions horizontalCentered="1"/>
  <pageMargins left="0.25" right="0.25" top="0.25" bottom="0.5" header="0.3" footer="0.3"/>
  <pageSetup scale="50" fitToWidth="0" fitToHeight="0" orientation="landscape" r:id="rId1"/>
  <headerFooter>
    <oddFooter>&amp;R&amp;F | &amp;A
Printed &amp;D @ &amp;T
&amp;P</oddFooter>
  </headerFooter>
  <rowBreaks count="2" manualBreakCount="2">
    <brk id="33" max="57" man="1"/>
    <brk id="89"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1983" operator="equal" id="{170F7297-837A-439F-87D2-E9E1BA76C37A}">
            <xm:f>AR!$A$1</xm:f>
            <x14:dxf>
              <font>
                <color theme="0"/>
              </font>
            </x14:dxf>
          </x14:cfRule>
          <xm:sqref>J24:J26</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5">
    <tabColor rgb="FF00B050"/>
  </sheetPr>
  <dimension ref="A1:CC90"/>
  <sheetViews>
    <sheetView showGridLines="0" topLeftCell="A10" zoomScaleNormal="100" workbookViewId="0">
      <selection activeCell="AW41" sqref="AW41"/>
    </sheetView>
  </sheetViews>
  <sheetFormatPr defaultColWidth="3.28515625" defaultRowHeight="14.65" customHeight="1"/>
  <cols>
    <col min="1" max="6" width="3.28515625" style="6"/>
    <col min="7" max="7" width="3.42578125" style="6" bestFit="1" customWidth="1"/>
    <col min="8" max="10" width="3.28515625" style="6"/>
    <col min="11" max="11" width="3.42578125" style="6" bestFit="1" customWidth="1"/>
    <col min="12" max="12" width="3.28515625" style="6"/>
    <col min="13" max="13" width="3.42578125" style="6" bestFit="1" customWidth="1"/>
    <col min="14" max="15" width="3.28515625" style="6"/>
    <col min="16" max="16" width="3.42578125" style="6" bestFit="1" customWidth="1"/>
    <col min="17" max="20" width="3.28515625" style="6"/>
    <col min="21" max="22" width="3.42578125" style="6" bestFit="1" customWidth="1"/>
    <col min="23" max="26" width="3.28515625" style="6"/>
    <col min="27" max="27" width="3.42578125" style="6" bestFit="1" customWidth="1"/>
    <col min="28" max="59" width="3.28515625" style="6"/>
    <col min="60" max="60" width="6.28515625" style="6" bestFit="1" customWidth="1"/>
    <col min="61" max="61" width="17.5703125" customWidth="1"/>
    <col min="62" max="73" width="12.7109375" customWidth="1"/>
    <col min="74" max="74" width="13.7109375" bestFit="1" customWidth="1"/>
    <col min="75" max="75" width="15.7109375" style="6" bestFit="1" customWidth="1"/>
    <col min="76" max="76" width="8.5703125" style="6" bestFit="1" customWidth="1"/>
    <col min="77" max="77" width="11.28515625" style="6" bestFit="1" customWidth="1"/>
    <col min="78" max="78" width="8.5703125" style="6" bestFit="1" customWidth="1"/>
    <col min="79" max="79" width="11.7109375" style="6" bestFit="1" customWidth="1"/>
    <col min="80" max="80" width="4.7109375" style="6" bestFit="1" customWidth="1"/>
    <col min="81" max="81" width="5.28515625" style="6" bestFit="1" customWidth="1"/>
    <col min="82" max="16384" width="3.28515625" style="6"/>
  </cols>
  <sheetData>
    <row r="1" spans="2:76" ht="14.65" customHeight="1">
      <c r="BI1" s="1525" t="s">
        <v>502</v>
      </c>
      <c r="BJ1" s="1525"/>
      <c r="BK1" s="1525"/>
      <c r="BL1" s="1525"/>
      <c r="BM1" s="1525"/>
      <c r="BN1" s="1525"/>
      <c r="BO1" s="1525"/>
      <c r="BP1" s="1525"/>
      <c r="BQ1" s="1525"/>
      <c r="BR1" s="1525"/>
      <c r="BS1" s="1525"/>
      <c r="BT1" s="1525"/>
      <c r="BU1" s="1525"/>
    </row>
    <row r="2" spans="2:76" ht="14.65" customHeight="1">
      <c r="B2" s="1494" t="s">
        <v>109</v>
      </c>
      <c r="C2" s="1494"/>
      <c r="D2" s="1494"/>
      <c r="E2" s="1494"/>
      <c r="F2" s="1494"/>
      <c r="G2" s="1494"/>
      <c r="H2" s="1494"/>
      <c r="I2" s="1494"/>
      <c r="J2" s="1494"/>
      <c r="K2" s="1494"/>
      <c r="L2" s="1494"/>
      <c r="M2" s="1494"/>
      <c r="N2" s="1494"/>
      <c r="O2" s="1494"/>
      <c r="P2" s="1494"/>
      <c r="Q2" s="1494"/>
      <c r="R2" s="1494"/>
      <c r="S2" s="1494"/>
      <c r="T2" s="1494"/>
      <c r="U2" s="1494"/>
      <c r="V2" s="1494"/>
      <c r="W2" s="1494"/>
      <c r="X2" s="1494"/>
      <c r="Y2" s="1494"/>
      <c r="Z2" s="1494"/>
      <c r="AA2" s="1494"/>
      <c r="AB2" s="1494"/>
      <c r="AC2" s="1494"/>
      <c r="AD2" s="1494"/>
      <c r="AE2" s="1494"/>
      <c r="AF2" s="1494"/>
      <c r="AG2" s="1494"/>
      <c r="AH2" s="1494"/>
      <c r="AI2" s="1494"/>
      <c r="AJ2" s="1494"/>
      <c r="AK2" s="1494"/>
      <c r="AL2" s="1494"/>
      <c r="AM2" s="1494"/>
      <c r="AN2" s="1494"/>
      <c r="AO2" s="1494"/>
      <c r="AP2" s="1494"/>
      <c r="AQ2" s="1494"/>
      <c r="AR2" s="1494"/>
      <c r="AS2" s="1494"/>
      <c r="AT2" s="1494"/>
      <c r="AU2" s="1494"/>
      <c r="AV2" s="1494"/>
      <c r="AW2" s="1494"/>
      <c r="AX2" s="1494"/>
      <c r="AY2" s="1494"/>
      <c r="AZ2" s="1494"/>
      <c r="BA2" s="1494"/>
      <c r="BB2" s="1494"/>
      <c r="BC2" s="1494"/>
      <c r="BD2" s="1494"/>
      <c r="BE2" s="1494"/>
      <c r="BI2" s="68" t="s">
        <v>503</v>
      </c>
    </row>
    <row r="3" spans="2:76" ht="14.65" customHeight="1">
      <c r="B3" s="1495" t="s">
        <v>110</v>
      </c>
      <c r="C3" s="1495"/>
      <c r="D3" s="1495"/>
      <c r="E3" s="1495"/>
      <c r="F3" s="1495"/>
      <c r="G3" s="1495"/>
      <c r="H3" s="1495"/>
      <c r="I3" s="1495"/>
      <c r="J3" s="1495"/>
      <c r="K3" s="1495"/>
      <c r="L3" s="1495"/>
      <c r="M3" s="1495"/>
      <c r="N3" s="1495"/>
      <c r="O3" s="1495"/>
      <c r="P3" s="1495"/>
      <c r="Q3" s="1495"/>
      <c r="R3" s="1495"/>
      <c r="S3" s="1495"/>
      <c r="T3" s="1495"/>
      <c r="U3" s="1495"/>
      <c r="V3" s="1495"/>
      <c r="W3" s="1495"/>
      <c r="X3" s="1495"/>
      <c r="Y3" s="1495"/>
      <c r="Z3" s="1495"/>
      <c r="AA3" s="1495"/>
      <c r="AB3" s="1495"/>
      <c r="AC3" s="1495"/>
      <c r="AD3" s="1495"/>
      <c r="AE3" s="1495"/>
      <c r="AF3" s="1495"/>
      <c r="AG3" s="1495"/>
      <c r="AH3" s="1495"/>
      <c r="AI3" s="1495"/>
      <c r="AJ3" s="1495"/>
      <c r="AK3" s="1495"/>
      <c r="AL3" s="1495"/>
      <c r="AM3" s="1495"/>
      <c r="AN3" s="1495"/>
      <c r="AO3" s="1495"/>
      <c r="AP3" s="1495"/>
      <c r="AQ3" s="1495"/>
      <c r="AR3" s="1495"/>
      <c r="AS3" s="1495"/>
      <c r="AT3" s="1495"/>
      <c r="AU3" s="1495"/>
      <c r="AV3" s="1495"/>
      <c r="AW3" s="1495"/>
      <c r="AX3" s="1495"/>
      <c r="AY3" s="1495"/>
      <c r="AZ3" s="1495"/>
      <c r="BA3" s="1495"/>
      <c r="BB3" s="1495"/>
      <c r="BC3" s="1495"/>
      <c r="BD3" s="1495"/>
      <c r="BE3" s="1495"/>
      <c r="BI3" s="4" t="s">
        <v>261</v>
      </c>
    </row>
    <row r="4" spans="2:76" ht="14.65" customHeight="1">
      <c r="B4" s="40"/>
      <c r="C4" s="8"/>
      <c r="D4" s="9"/>
      <c r="E4" s="10"/>
      <c r="F4" s="10"/>
      <c r="G4" s="10"/>
      <c r="H4" s="1496"/>
      <c r="I4" s="1496"/>
      <c r="J4" s="1496"/>
      <c r="K4" s="41"/>
      <c r="L4" s="41"/>
      <c r="M4" s="41"/>
      <c r="N4" s="41"/>
      <c r="O4" s="41"/>
      <c r="P4" s="57"/>
      <c r="Q4" s="39"/>
      <c r="BI4" s="74" t="s">
        <v>23</v>
      </c>
      <c r="BJ4" s="74" t="s">
        <v>504</v>
      </c>
      <c r="BK4" s="74" t="s">
        <v>505</v>
      </c>
      <c r="BL4" s="74" t="s">
        <v>506</v>
      </c>
      <c r="BM4" s="74" t="s">
        <v>507</v>
      </c>
      <c r="BN4" s="74" t="s">
        <v>508</v>
      </c>
      <c r="BO4" s="74" t="s">
        <v>509</v>
      </c>
      <c r="BP4" s="74" t="s">
        <v>510</v>
      </c>
      <c r="BQ4" s="74" t="s">
        <v>511</v>
      </c>
      <c r="BR4" s="74" t="s">
        <v>512</v>
      </c>
      <c r="BS4" s="74" t="s">
        <v>513</v>
      </c>
      <c r="BT4" s="74" t="s">
        <v>514</v>
      </c>
      <c r="BU4" s="74" t="s">
        <v>515</v>
      </c>
      <c r="BV4" s="74" t="s">
        <v>516</v>
      </c>
      <c r="BX4" s="151" t="s">
        <v>262</v>
      </c>
    </row>
    <row r="5" spans="2:76" ht="14.65" customHeight="1">
      <c r="B5" s="1497" t="str">
        <f>HRSO!BI1</f>
        <v xml:space="preserve">HR System Operations - Get 'Em Hired </v>
      </c>
      <c r="C5" s="1498"/>
      <c r="D5" s="1498"/>
      <c r="E5" s="1498"/>
      <c r="F5" s="1498"/>
      <c r="G5" s="1498"/>
      <c r="H5" s="1498"/>
      <c r="I5" s="1498"/>
      <c r="J5" s="1498"/>
      <c r="K5" s="1498"/>
      <c r="L5" s="1498"/>
      <c r="M5" s="1498"/>
      <c r="N5" s="1498"/>
      <c r="O5" s="1498"/>
      <c r="P5" s="1498"/>
      <c r="Q5" s="1498"/>
      <c r="R5" s="1498"/>
      <c r="S5" s="1498"/>
      <c r="T5" s="1498"/>
      <c r="U5" s="1498"/>
      <c r="V5" s="1498"/>
      <c r="W5" s="1498"/>
      <c r="X5" s="1498"/>
      <c r="Y5" s="1498"/>
      <c r="Z5" s="1498"/>
      <c r="AA5" s="1498"/>
      <c r="AB5" s="1498"/>
      <c r="AC5" s="1498"/>
      <c r="AD5" s="1498"/>
      <c r="AE5" s="1498"/>
      <c r="AF5" s="1498"/>
      <c r="AG5" s="1498"/>
      <c r="AH5" s="1498"/>
      <c r="AI5" s="1498"/>
      <c r="AJ5" s="1498"/>
      <c r="AK5" s="1498"/>
      <c r="AL5" s="1498"/>
      <c r="AM5" s="1498"/>
      <c r="AN5" s="1498"/>
      <c r="AO5" s="1498"/>
      <c r="AP5" s="1498"/>
      <c r="AQ5" s="1498"/>
      <c r="AR5" s="1498"/>
      <c r="AS5" s="715"/>
      <c r="AT5" s="715"/>
      <c r="AU5" s="715"/>
      <c r="AV5" s="715"/>
      <c r="AW5" s="715"/>
      <c r="AX5" s="715"/>
      <c r="AY5" s="715"/>
      <c r="AZ5" s="715"/>
      <c r="BA5" s="715"/>
      <c r="BB5" s="715"/>
      <c r="BC5" s="715"/>
      <c r="BD5" s="715"/>
      <c r="BE5" s="716" t="str">
        <f>Cover!M34</f>
        <v>OCT FY-24</v>
      </c>
      <c r="BI5" s="74" t="s">
        <v>37</v>
      </c>
      <c r="BJ5" s="74">
        <v>-1</v>
      </c>
      <c r="BK5" s="74">
        <v>1</v>
      </c>
      <c r="BL5" s="74">
        <v>2</v>
      </c>
      <c r="BM5" s="74">
        <v>3</v>
      </c>
      <c r="BN5" s="74">
        <v>4</v>
      </c>
      <c r="BO5" s="74">
        <v>5</v>
      </c>
      <c r="BP5" s="74">
        <v>6</v>
      </c>
      <c r="BQ5" s="74">
        <v>7</v>
      </c>
      <c r="BR5" s="74">
        <v>8</v>
      </c>
      <c r="BS5" s="74">
        <v>9</v>
      </c>
      <c r="BT5" s="74">
        <v>10</v>
      </c>
      <c r="BU5" s="74">
        <v>11</v>
      </c>
      <c r="BV5" s="74">
        <v>12</v>
      </c>
      <c r="BX5" s="68">
        <f>Cover!M36</f>
        <v>1</v>
      </c>
    </row>
    <row r="6" spans="2:76" ht="14.65" customHeight="1">
      <c r="BI6" s="68" t="s">
        <v>263</v>
      </c>
      <c r="BJ6" s="717">
        <v>11</v>
      </c>
      <c r="BK6" s="718">
        <f>BJ14-BJ13</f>
        <v>12</v>
      </c>
      <c r="BL6" s="718">
        <f t="shared" ref="BL6:BV6" si="0">BK14-BK13</f>
        <v>0</v>
      </c>
      <c r="BM6" s="718">
        <f t="shared" si="0"/>
        <v>0</v>
      </c>
      <c r="BN6" s="718">
        <f t="shared" si="0"/>
        <v>0</v>
      </c>
      <c r="BO6" s="718">
        <f t="shared" si="0"/>
        <v>0</v>
      </c>
      <c r="BP6" s="718">
        <f t="shared" si="0"/>
        <v>0</v>
      </c>
      <c r="BQ6" s="718">
        <f t="shared" si="0"/>
        <v>0</v>
      </c>
      <c r="BR6" s="718">
        <f t="shared" si="0"/>
        <v>0</v>
      </c>
      <c r="BS6" s="718">
        <f t="shared" si="0"/>
        <v>0</v>
      </c>
      <c r="BT6" s="718">
        <f t="shared" si="0"/>
        <v>0</v>
      </c>
      <c r="BU6" s="718">
        <f t="shared" si="0"/>
        <v>0</v>
      </c>
      <c r="BV6" s="718">
        <f t="shared" si="0"/>
        <v>0</v>
      </c>
      <c r="BX6" s="68"/>
    </row>
    <row r="7" spans="2:76" ht="14.65" customHeight="1">
      <c r="B7" s="45" t="s">
        <v>517</v>
      </c>
      <c r="C7" s="11"/>
      <c r="D7" s="11"/>
      <c r="E7" s="11"/>
      <c r="F7" s="11"/>
      <c r="G7" s="11"/>
      <c r="H7" s="11"/>
      <c r="I7" s="11"/>
      <c r="J7" s="11"/>
      <c r="K7" s="11"/>
      <c r="L7" s="11"/>
      <c r="M7" s="11"/>
      <c r="N7" s="11"/>
      <c r="O7" s="11"/>
      <c r="P7" s="11"/>
      <c r="Q7" s="11"/>
      <c r="R7" s="11"/>
      <c r="S7" s="11"/>
      <c r="T7" s="11"/>
      <c r="U7" s="11"/>
      <c r="V7" s="11"/>
      <c r="W7" s="11"/>
      <c r="X7" s="11"/>
      <c r="Y7" s="11"/>
      <c r="Z7" s="11"/>
      <c r="AA7" s="11"/>
      <c r="AB7" s="11"/>
      <c r="AE7" s="45" t="s">
        <v>265</v>
      </c>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I7" s="68" t="s">
        <v>266</v>
      </c>
      <c r="BJ7" s="717"/>
      <c r="BK7" s="717"/>
      <c r="BL7" s="717"/>
      <c r="BM7" s="717"/>
      <c r="BN7" s="717"/>
      <c r="BO7" s="717"/>
      <c r="BP7" s="717"/>
      <c r="BQ7" s="717"/>
      <c r="BR7" s="717"/>
      <c r="BS7" s="717"/>
      <c r="BT7" s="717"/>
      <c r="BU7" s="717"/>
      <c r="BV7" s="717"/>
      <c r="BX7" s="68"/>
    </row>
    <row r="8" spans="2:76" ht="14.65" customHeight="1">
      <c r="B8" s="1510" t="s">
        <v>518</v>
      </c>
      <c r="C8" s="1511"/>
      <c r="D8" s="1511"/>
      <c r="E8" s="1511"/>
      <c r="F8" s="1511"/>
      <c r="G8" s="1511"/>
      <c r="H8" s="1511"/>
      <c r="I8" s="1511"/>
      <c r="J8" s="1511"/>
      <c r="K8" s="1511"/>
      <c r="L8" s="1511"/>
      <c r="M8" s="1511"/>
      <c r="N8" s="1511"/>
      <c r="O8" s="1511"/>
      <c r="P8" s="1511"/>
      <c r="Q8" s="1511"/>
      <c r="R8" s="1511"/>
      <c r="S8" s="1511"/>
      <c r="T8" s="1511"/>
      <c r="U8" s="1511"/>
      <c r="V8" s="1511"/>
      <c r="W8" s="1511"/>
      <c r="X8" s="1511"/>
      <c r="Y8" s="1511"/>
      <c r="Z8" s="1511"/>
      <c r="AA8" s="1511"/>
      <c r="AB8" s="1512"/>
      <c r="AE8" s="1510" t="s">
        <v>519</v>
      </c>
      <c r="AF8" s="1511"/>
      <c r="AG8" s="1511"/>
      <c r="AH8" s="1511"/>
      <c r="AI8" s="1511"/>
      <c r="AJ8" s="1511"/>
      <c r="AK8" s="1511"/>
      <c r="AL8" s="1511"/>
      <c r="AM8" s="1511"/>
      <c r="AN8" s="1511"/>
      <c r="AO8" s="1511"/>
      <c r="AP8" s="1511"/>
      <c r="AQ8" s="1511"/>
      <c r="AR8" s="1511"/>
      <c r="AS8" s="1511"/>
      <c r="AT8" s="1511"/>
      <c r="AU8" s="1511"/>
      <c r="AV8" s="1511"/>
      <c r="AW8" s="1511"/>
      <c r="AX8" s="1511"/>
      <c r="AY8" s="1511"/>
      <c r="AZ8" s="1511"/>
      <c r="BA8" s="1511"/>
      <c r="BB8" s="1511"/>
      <c r="BC8" s="1511"/>
      <c r="BD8" s="1511"/>
      <c r="BE8" s="1512"/>
      <c r="BI8" s="68" t="s">
        <v>269</v>
      </c>
      <c r="BJ8" s="717"/>
      <c r="BK8" s="717"/>
      <c r="BL8" s="717"/>
      <c r="BM8" s="717"/>
      <c r="BN8" s="717"/>
      <c r="BO8" s="717"/>
      <c r="BP8" s="717"/>
      <c r="BQ8" s="717"/>
      <c r="BR8" s="717"/>
      <c r="BS8" s="717"/>
      <c r="BT8" s="717"/>
      <c r="BU8" s="717"/>
      <c r="BV8" s="717"/>
      <c r="BX8" s="68"/>
    </row>
    <row r="9" spans="2:76" ht="14.65" customHeight="1">
      <c r="B9" s="1513"/>
      <c r="C9" s="1514"/>
      <c r="D9" s="1514"/>
      <c r="E9" s="1514"/>
      <c r="F9" s="1514"/>
      <c r="G9" s="1514"/>
      <c r="H9" s="1514"/>
      <c r="I9" s="1514"/>
      <c r="J9" s="1514"/>
      <c r="K9" s="1514"/>
      <c r="L9" s="1514"/>
      <c r="M9" s="1514"/>
      <c r="N9" s="1514"/>
      <c r="O9" s="1514"/>
      <c r="P9" s="1514"/>
      <c r="Q9" s="1514"/>
      <c r="R9" s="1514"/>
      <c r="S9" s="1514"/>
      <c r="T9" s="1514"/>
      <c r="U9" s="1514"/>
      <c r="V9" s="1514"/>
      <c r="W9" s="1514"/>
      <c r="X9" s="1514"/>
      <c r="Y9" s="1514"/>
      <c r="Z9" s="1514"/>
      <c r="AA9" s="1514"/>
      <c r="AB9" s="1515"/>
      <c r="AE9" s="1513"/>
      <c r="AF9" s="1514"/>
      <c r="AG9" s="1514"/>
      <c r="AH9" s="1514"/>
      <c r="AI9" s="1514"/>
      <c r="AJ9" s="1514"/>
      <c r="AK9" s="1514"/>
      <c r="AL9" s="1514"/>
      <c r="AM9" s="1514"/>
      <c r="AN9" s="1514"/>
      <c r="AO9" s="1514"/>
      <c r="AP9" s="1514"/>
      <c r="AQ9" s="1514"/>
      <c r="AR9" s="1514"/>
      <c r="AS9" s="1514"/>
      <c r="AT9" s="1514"/>
      <c r="AU9" s="1514"/>
      <c r="AV9" s="1514"/>
      <c r="AW9" s="1514"/>
      <c r="AX9" s="1514"/>
      <c r="AY9" s="1514"/>
      <c r="AZ9" s="1514"/>
      <c r="BA9" s="1514"/>
      <c r="BB9" s="1514"/>
      <c r="BC9" s="1514"/>
      <c r="BD9" s="1514"/>
      <c r="BE9" s="1515"/>
      <c r="BI9" s="68" t="s">
        <v>270</v>
      </c>
      <c r="BJ9" s="717"/>
      <c r="BK9" s="717">
        <v>-12</v>
      </c>
      <c r="BL9" s="717"/>
      <c r="BM9" s="717"/>
      <c r="BN9" s="717"/>
      <c r="BO9" s="717"/>
      <c r="BP9" s="717"/>
      <c r="BQ9" s="717"/>
      <c r="BR9" s="717"/>
      <c r="BS9" s="717"/>
      <c r="BT9" s="717"/>
      <c r="BU9" s="717"/>
      <c r="BV9" s="717"/>
      <c r="BX9" s="68"/>
    </row>
    <row r="10" spans="2:76" ht="14.65" customHeight="1">
      <c r="B10" s="1513"/>
      <c r="C10" s="1514"/>
      <c r="D10" s="1514"/>
      <c r="E10" s="1514"/>
      <c r="F10" s="1514"/>
      <c r="G10" s="1514"/>
      <c r="H10" s="1514"/>
      <c r="I10" s="1514"/>
      <c r="J10" s="1514"/>
      <c r="K10" s="1514"/>
      <c r="L10" s="1514"/>
      <c r="M10" s="1514"/>
      <c r="N10" s="1514"/>
      <c r="O10" s="1514"/>
      <c r="P10" s="1514"/>
      <c r="Q10" s="1514"/>
      <c r="R10" s="1514"/>
      <c r="S10" s="1514"/>
      <c r="T10" s="1514"/>
      <c r="U10" s="1514"/>
      <c r="V10" s="1514"/>
      <c r="W10" s="1514"/>
      <c r="X10" s="1514"/>
      <c r="Y10" s="1514"/>
      <c r="Z10" s="1514"/>
      <c r="AA10" s="1514"/>
      <c r="AB10" s="1515"/>
      <c r="AE10" s="1513"/>
      <c r="AF10" s="1514"/>
      <c r="AG10" s="1514"/>
      <c r="AH10" s="1514"/>
      <c r="AI10" s="1514"/>
      <c r="AJ10" s="1514"/>
      <c r="AK10" s="1514"/>
      <c r="AL10" s="1514"/>
      <c r="AM10" s="1514"/>
      <c r="AN10" s="1514"/>
      <c r="AO10" s="1514"/>
      <c r="AP10" s="1514"/>
      <c r="AQ10" s="1514"/>
      <c r="AR10" s="1514"/>
      <c r="AS10" s="1514"/>
      <c r="AT10" s="1514"/>
      <c r="AU10" s="1514"/>
      <c r="AV10" s="1514"/>
      <c r="AW10" s="1514"/>
      <c r="AX10" s="1514"/>
      <c r="AY10" s="1514"/>
      <c r="AZ10" s="1514"/>
      <c r="BA10" s="1514"/>
      <c r="BB10" s="1514"/>
      <c r="BC10" s="1514"/>
      <c r="BD10" s="1514"/>
      <c r="BE10" s="1515"/>
      <c r="BI10" s="68" t="s">
        <v>271</v>
      </c>
      <c r="BJ10" s="717"/>
      <c r="BK10" s="717"/>
      <c r="BL10" s="717"/>
      <c r="BM10" s="717"/>
      <c r="BN10" s="717"/>
      <c r="BO10" s="717"/>
      <c r="BP10" s="717"/>
      <c r="BQ10" s="717"/>
      <c r="BR10" s="717"/>
      <c r="BS10" s="717"/>
      <c r="BT10" s="717"/>
      <c r="BU10" s="717"/>
      <c r="BV10" s="717"/>
      <c r="BX10" s="68"/>
    </row>
    <row r="11" spans="2:76" ht="14.65" customHeight="1">
      <c r="B11" s="1516"/>
      <c r="C11" s="1517"/>
      <c r="D11" s="1517"/>
      <c r="E11" s="1517"/>
      <c r="F11" s="1517"/>
      <c r="G11" s="1517"/>
      <c r="H11" s="1517"/>
      <c r="I11" s="1517"/>
      <c r="J11" s="1517"/>
      <c r="K11" s="1517"/>
      <c r="L11" s="1517"/>
      <c r="M11" s="1517"/>
      <c r="N11" s="1517"/>
      <c r="O11" s="1517"/>
      <c r="P11" s="1517"/>
      <c r="Q11" s="1517"/>
      <c r="R11" s="1517"/>
      <c r="S11" s="1517"/>
      <c r="T11" s="1517"/>
      <c r="U11" s="1517"/>
      <c r="V11" s="1517"/>
      <c r="W11" s="1517"/>
      <c r="X11" s="1517"/>
      <c r="Y11" s="1517"/>
      <c r="Z11" s="1517"/>
      <c r="AA11" s="1517"/>
      <c r="AB11" s="1518"/>
      <c r="AE11" s="1516"/>
      <c r="AF11" s="1517"/>
      <c r="AG11" s="1517"/>
      <c r="AH11" s="1517"/>
      <c r="AI11" s="1517"/>
      <c r="AJ11" s="1517"/>
      <c r="AK11" s="1517"/>
      <c r="AL11" s="1517"/>
      <c r="AM11" s="1517"/>
      <c r="AN11" s="1517"/>
      <c r="AO11" s="1517"/>
      <c r="AP11" s="1517"/>
      <c r="AQ11" s="1517"/>
      <c r="AR11" s="1517"/>
      <c r="AS11" s="1517"/>
      <c r="AT11" s="1517"/>
      <c r="AU11" s="1517"/>
      <c r="AV11" s="1517"/>
      <c r="AW11" s="1517"/>
      <c r="AX11" s="1517"/>
      <c r="AY11" s="1517"/>
      <c r="AZ11" s="1517"/>
      <c r="BA11" s="1517"/>
      <c r="BB11" s="1517"/>
      <c r="BC11" s="1517"/>
      <c r="BD11" s="1517"/>
      <c r="BE11" s="1518"/>
      <c r="BI11" s="68" t="s">
        <v>272</v>
      </c>
      <c r="BJ11" s="717"/>
      <c r="BK11" s="717"/>
      <c r="BL11" s="717"/>
      <c r="BM11" s="717"/>
      <c r="BN11" s="717"/>
      <c r="BO11" s="717"/>
      <c r="BP11" s="717"/>
      <c r="BQ11" s="717"/>
      <c r="BR11" s="717"/>
      <c r="BS11" s="717"/>
      <c r="BT11" s="717"/>
      <c r="BU11" s="717"/>
      <c r="BV11" s="717"/>
      <c r="BX11" s="68"/>
    </row>
    <row r="12" spans="2:76" ht="14.65" customHeight="1">
      <c r="BI12" s="68" t="s">
        <v>273</v>
      </c>
      <c r="BJ12" s="717">
        <v>1</v>
      </c>
      <c r="BK12" s="717"/>
      <c r="BL12" s="717"/>
      <c r="BM12" s="717"/>
      <c r="BN12" s="717"/>
      <c r="BO12" s="717"/>
      <c r="BP12" s="717"/>
      <c r="BQ12" s="717"/>
      <c r="BR12" s="717"/>
      <c r="BS12" s="717"/>
      <c r="BT12" s="717"/>
      <c r="BU12" s="717"/>
      <c r="BV12" s="717"/>
      <c r="BX12" s="68"/>
    </row>
    <row r="13" spans="2:76" ht="14.65" customHeight="1">
      <c r="B13" s="45" t="s">
        <v>14</v>
      </c>
      <c r="C13" s="46"/>
      <c r="D13" s="46"/>
      <c r="E13" s="46"/>
      <c r="F13" s="11"/>
      <c r="G13" s="11"/>
      <c r="H13" s="11"/>
      <c r="I13" s="11"/>
      <c r="J13" s="11"/>
      <c r="K13" s="11"/>
      <c r="L13" s="11"/>
      <c r="M13" s="11"/>
      <c r="N13" s="11"/>
      <c r="O13" s="11"/>
      <c r="P13" s="11"/>
      <c r="Q13" s="11"/>
      <c r="R13" s="11"/>
      <c r="S13" s="11"/>
      <c r="T13" s="11"/>
      <c r="U13" s="11"/>
      <c r="V13" s="11"/>
      <c r="W13" s="11"/>
      <c r="X13" s="11"/>
      <c r="Y13" s="11"/>
      <c r="Z13" s="11"/>
      <c r="AA13" s="11"/>
      <c r="AB13" s="11"/>
      <c r="AE13" s="60" t="s">
        <v>59</v>
      </c>
      <c r="AF13" s="61"/>
      <c r="AG13" s="62"/>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I13" s="68" t="s">
        <v>274</v>
      </c>
      <c r="BJ13" s="717"/>
      <c r="BK13" s="717"/>
      <c r="BL13" s="717"/>
      <c r="BM13" s="717"/>
      <c r="BN13" s="717"/>
      <c r="BO13" s="717"/>
      <c r="BP13" s="717"/>
      <c r="BQ13" s="717"/>
      <c r="BR13" s="717"/>
      <c r="BS13" s="717"/>
      <c r="BT13" s="717"/>
      <c r="BU13" s="717"/>
      <c r="BV13" s="717"/>
      <c r="BX13" s="68"/>
    </row>
    <row r="14" spans="2:76" ht="14.65" customHeight="1">
      <c r="B14" s="64"/>
      <c r="C14" s="64"/>
      <c r="D14" s="64"/>
      <c r="E14" s="64"/>
      <c r="F14" s="64"/>
      <c r="G14" s="64"/>
      <c r="H14" s="64"/>
      <c r="I14" s="67"/>
      <c r="J14" s="67"/>
      <c r="K14" s="88"/>
      <c r="L14" s="64"/>
      <c r="M14" s="64"/>
      <c r="N14" s="65"/>
      <c r="O14" s="64"/>
      <c r="P14" s="64"/>
      <c r="Q14" s="64"/>
      <c r="R14" s="64"/>
      <c r="S14" s="64"/>
      <c r="T14" s="64"/>
      <c r="U14" s="64"/>
      <c r="V14" s="1529"/>
      <c r="W14" s="1529"/>
      <c r="X14" s="64"/>
      <c r="Y14" s="64"/>
      <c r="Z14" s="64"/>
      <c r="AA14" s="64"/>
      <c r="AB14" s="64"/>
      <c r="AE14" s="89"/>
      <c r="AF14" s="64"/>
      <c r="AG14" s="64"/>
      <c r="AH14" s="64"/>
      <c r="AI14" s="64"/>
      <c r="AJ14" s="64"/>
      <c r="AK14" s="90"/>
      <c r="AL14" s="90"/>
      <c r="AM14" s="90"/>
      <c r="AN14" s="90"/>
      <c r="AO14" s="91"/>
      <c r="AP14" s="92"/>
      <c r="AQ14" s="92"/>
      <c r="AR14" s="92"/>
      <c r="AS14" s="90"/>
      <c r="AT14" s="91"/>
      <c r="AU14" s="90"/>
      <c r="AV14" s="90"/>
      <c r="AW14" s="90"/>
      <c r="AX14" s="64"/>
      <c r="AY14" s="64"/>
      <c r="AZ14" s="64"/>
      <c r="BA14" s="64"/>
      <c r="BB14" s="64"/>
      <c r="BC14" s="64"/>
      <c r="BD14" s="64"/>
      <c r="BE14" s="64"/>
      <c r="BI14" s="68" t="s">
        <v>41</v>
      </c>
      <c r="BJ14" s="143">
        <f t="shared" ref="BJ14:BP14" si="1">SUM(BJ6:BJ13)</f>
        <v>12</v>
      </c>
      <c r="BK14" s="143">
        <f t="shared" si="1"/>
        <v>0</v>
      </c>
      <c r="BL14" s="143">
        <f t="shared" si="1"/>
        <v>0</v>
      </c>
      <c r="BM14" s="143">
        <f t="shared" si="1"/>
        <v>0</v>
      </c>
      <c r="BN14" s="143">
        <f t="shared" si="1"/>
        <v>0</v>
      </c>
      <c r="BO14" s="143">
        <f t="shared" si="1"/>
        <v>0</v>
      </c>
      <c r="BP14" s="143">
        <f t="shared" si="1"/>
        <v>0</v>
      </c>
      <c r="BQ14" s="143">
        <f t="shared" ref="BQ14:BV14" si="2">SUM(BQ6:BQ13)</f>
        <v>0</v>
      </c>
      <c r="BR14" s="143">
        <f t="shared" si="2"/>
        <v>0</v>
      </c>
      <c r="BS14" s="143">
        <f>SUM(BS6:BS13)</f>
        <v>0</v>
      </c>
      <c r="BT14" s="143">
        <f t="shared" si="2"/>
        <v>0</v>
      </c>
      <c r="BU14" s="143">
        <f t="shared" si="2"/>
        <v>0</v>
      </c>
      <c r="BV14" s="143">
        <f t="shared" si="2"/>
        <v>0</v>
      </c>
      <c r="BX14" s="68"/>
    </row>
    <row r="15" spans="2:76" ht="14.65" customHeight="1">
      <c r="B15" s="1519" t="s">
        <v>185</v>
      </c>
      <c r="C15" s="1519"/>
      <c r="D15" s="1519"/>
      <c r="E15" s="1519"/>
      <c r="F15" s="1519"/>
      <c r="G15" s="1519"/>
      <c r="I15" s="1519" t="s">
        <v>275</v>
      </c>
      <c r="J15" s="1531"/>
      <c r="K15" s="1531"/>
      <c r="L15" s="1531"/>
      <c r="M15" s="1531"/>
      <c r="N15" s="1531"/>
      <c r="O15" s="1531"/>
      <c r="P15" s="1531"/>
      <c r="Q15" s="1531"/>
      <c r="R15" s="1531"/>
      <c r="S15" s="1531"/>
      <c r="T15" s="1531"/>
      <c r="U15" s="1531"/>
      <c r="V15" s="1531"/>
      <c r="W15" s="172"/>
      <c r="X15" s="1532" t="s">
        <v>360</v>
      </c>
      <c r="Y15" s="1136"/>
      <c r="Z15" s="1136"/>
      <c r="AA15" s="1136"/>
      <c r="AB15" s="1136"/>
      <c r="AE15" s="1519" t="s">
        <v>277</v>
      </c>
      <c r="AF15" s="1519"/>
      <c r="AG15" s="1519"/>
      <c r="AH15" s="1519"/>
      <c r="AI15" s="1519"/>
      <c r="AJ15" s="1519"/>
      <c r="AK15" s="68"/>
      <c r="AL15" s="1129" t="s">
        <v>62</v>
      </c>
      <c r="AM15" s="1129"/>
      <c r="AN15" s="1129"/>
      <c r="AO15" s="1129"/>
      <c r="AP15" s="1519" t="str">
        <f>CONCATENATE(Cover!M36,"+",12-Cover!M36)</f>
        <v>1+11</v>
      </c>
      <c r="AQ15" s="1519"/>
      <c r="AR15" s="68"/>
      <c r="AS15" s="1519" t="s">
        <v>278</v>
      </c>
      <c r="AT15" s="1519"/>
      <c r="AU15" s="1519"/>
      <c r="AV15" s="1519"/>
      <c r="AW15" s="1519"/>
      <c r="AX15" s="1519"/>
      <c r="AY15" s="68"/>
      <c r="AZ15" s="1519" t="s">
        <v>279</v>
      </c>
      <c r="BA15" s="1519"/>
      <c r="BB15" s="1519"/>
      <c r="BC15" s="1519"/>
      <c r="BD15" s="1519"/>
      <c r="BE15" s="1519"/>
      <c r="BV15" s="6"/>
    </row>
    <row r="16" spans="2:76" ht="14.65" customHeight="1">
      <c r="E16" s="78" t="s">
        <v>263</v>
      </c>
      <c r="G16" s="77">
        <f>SUMIF(BJ4:BV4,BE5,BJ6:BV6)</f>
        <v>0</v>
      </c>
      <c r="I16" s="1522" t="s">
        <v>280</v>
      </c>
      <c r="J16" s="1523"/>
      <c r="K16" s="1523"/>
      <c r="L16" s="1524"/>
      <c r="N16" s="1522" t="s">
        <v>281</v>
      </c>
      <c r="O16" s="1523"/>
      <c r="P16" s="1523"/>
      <c r="Q16" s="1524"/>
      <c r="S16" s="1522" t="s">
        <v>282</v>
      </c>
      <c r="T16" s="1523"/>
      <c r="U16" s="1523"/>
      <c r="V16" s="1524"/>
      <c r="X16" s="183" t="s">
        <v>361</v>
      </c>
      <c r="Y16" s="235"/>
      <c r="Z16" s="236"/>
      <c r="AA16" s="183"/>
      <c r="AB16" s="183"/>
      <c r="AE16" s="68"/>
      <c r="AF16" s="68"/>
      <c r="AG16" s="68"/>
      <c r="AI16" s="68"/>
      <c r="AJ16" s="103" t="s">
        <v>61</v>
      </c>
      <c r="AK16" s="68"/>
      <c r="AL16" s="68"/>
      <c r="AM16" s="68"/>
      <c r="AN16" s="68"/>
      <c r="AO16" s="68"/>
      <c r="AP16" s="68"/>
      <c r="AQ16" s="68"/>
      <c r="AR16" s="68"/>
      <c r="AS16" s="68"/>
      <c r="AT16" s="68"/>
      <c r="AU16" s="68"/>
      <c r="AV16" s="68"/>
      <c r="AW16" s="68"/>
      <c r="AX16" s="68"/>
      <c r="AY16" s="68"/>
      <c r="AZ16" s="68"/>
      <c r="BA16" s="68"/>
      <c r="BB16" s="68"/>
      <c r="BC16" s="68"/>
      <c r="BD16" s="68"/>
      <c r="BE16" s="68"/>
      <c r="BI16" s="68" t="s">
        <v>284</v>
      </c>
      <c r="BJ16" s="719">
        <v>0</v>
      </c>
      <c r="BK16" s="719">
        <v>0</v>
      </c>
      <c r="BL16" s="719"/>
      <c r="BM16" s="719"/>
      <c r="BN16" s="719"/>
      <c r="BO16" s="719"/>
      <c r="BP16" s="719"/>
      <c r="BQ16" s="719"/>
      <c r="BR16" s="719"/>
      <c r="BS16" s="719"/>
      <c r="BT16" s="719"/>
      <c r="BU16" s="719"/>
      <c r="BV16" s="719"/>
    </row>
    <row r="17" spans="2:81" ht="14.65" customHeight="1">
      <c r="E17" s="78" t="s">
        <v>285</v>
      </c>
      <c r="G17" s="77">
        <f>V20</f>
        <v>0</v>
      </c>
      <c r="I17" s="79"/>
      <c r="J17" s="78" t="s">
        <v>266</v>
      </c>
      <c r="K17" s="77">
        <f>SUMIF(BJ4:BV4,BE5,BJ7:BV7)</f>
        <v>0</v>
      </c>
      <c r="L17" s="80"/>
      <c r="N17" s="79"/>
      <c r="O17" s="78" t="s">
        <v>286</v>
      </c>
      <c r="P17" s="77">
        <f>SUMIF(BJ4:BV4,BE5,BJ9:BV9)</f>
        <v>0</v>
      </c>
      <c r="Q17" s="80"/>
      <c r="S17" s="79"/>
      <c r="T17" s="78" t="s">
        <v>286</v>
      </c>
      <c r="U17" s="77">
        <f>SUMIF(BJ4:BV4,BE5,BJ11:BV11)</f>
        <v>0</v>
      </c>
      <c r="V17" s="85"/>
      <c r="X17" s="183" t="s">
        <v>287</v>
      </c>
      <c r="Y17" s="235"/>
      <c r="Z17" s="236"/>
      <c r="AA17" s="183">
        <f>SUMIF(Admin4!$B$5:$B$298,"7983",Admin4!$C$5:$C$298)</f>
        <v>0</v>
      </c>
      <c r="AB17" s="183"/>
      <c r="AE17" s="68"/>
      <c r="AF17" s="68"/>
      <c r="AG17" s="68"/>
      <c r="AI17" s="68"/>
      <c r="AJ17" s="97" t="s">
        <v>63</v>
      </c>
      <c r="AK17" s="68"/>
      <c r="AL17" s="68"/>
      <c r="AM17" s="68"/>
      <c r="AN17" s="1530" t="e">
        <f>SUMIF(Admin3!C8:O8,AR!BE5,Admin3!#REF!)</f>
        <v>#REF!</v>
      </c>
      <c r="AO17" s="1530"/>
      <c r="AP17" s="1530"/>
      <c r="AQ17" s="1530"/>
      <c r="AR17" s="68"/>
      <c r="AS17" s="68"/>
      <c r="AT17" s="68"/>
      <c r="AU17" s="1530" t="e">
        <f>SUMIF(Admin3!C8:O8,AR!BE5,Admin3!#REF!)-SUMIF(Admin3!C8:O8,AR!BE5,Admin3!#REF!)</f>
        <v>#REF!</v>
      </c>
      <c r="AV17" s="1530"/>
      <c r="AW17" s="1530"/>
      <c r="AX17" s="1530"/>
      <c r="AY17" s="68"/>
      <c r="AZ17" s="68"/>
      <c r="BA17" s="68"/>
      <c r="BB17" s="1530" t="e">
        <f>SUMIF(Admin3!C8:O8,AR!BE5,Admin3!#REF!)-SUMIF(Admin3!C8:O8,AR!BE5,Admin3!#REF!)</f>
        <v>#REF!</v>
      </c>
      <c r="BC17" s="1530"/>
      <c r="BD17" s="1530"/>
      <c r="BE17" s="1530"/>
    </row>
    <row r="18" spans="2:81" ht="14.65" customHeight="1">
      <c r="E18" s="78" t="s">
        <v>240</v>
      </c>
      <c r="G18" s="77">
        <f>SUMIF(BJ4:BV4,BE5,BJ13:BV13)</f>
        <v>0</v>
      </c>
      <c r="I18" s="81"/>
      <c r="J18" s="82" t="s">
        <v>288</v>
      </c>
      <c r="K18" s="83">
        <f>SUMIF(BJ4:BV4,BE5,BJ8:BV8)</f>
        <v>0</v>
      </c>
      <c r="L18" s="84"/>
      <c r="N18" s="81"/>
      <c r="O18" s="82" t="s">
        <v>289</v>
      </c>
      <c r="P18" s="83">
        <f>SUMIF(BJ4:BV4,BE5,BJ10:BV10)</f>
        <v>0</v>
      </c>
      <c r="Q18" s="84"/>
      <c r="S18" s="81"/>
      <c r="T18" s="82" t="s">
        <v>289</v>
      </c>
      <c r="U18" s="83">
        <f>SUMIF(BJ4:BV4,BE5,BJ12:BV12)</f>
        <v>0</v>
      </c>
      <c r="V18" s="86"/>
      <c r="X18" s="183"/>
      <c r="Y18" s="235"/>
      <c r="Z18" s="236"/>
      <c r="AA18" s="183"/>
      <c r="AB18" s="183"/>
      <c r="AE18" s="68"/>
      <c r="AF18" s="68"/>
      <c r="AG18" s="68"/>
      <c r="AH18" s="68"/>
      <c r="AI18" s="94"/>
      <c r="AJ18" s="97" t="s">
        <v>64</v>
      </c>
      <c r="AK18" s="68"/>
      <c r="AL18" s="68"/>
      <c r="AM18" s="68"/>
      <c r="AN18" s="1530" t="e">
        <f>SUMIF(Admin3!C8:O8,AR!BE5,Admin3!#REF!)</f>
        <v>#REF!</v>
      </c>
      <c r="AO18" s="1530"/>
      <c r="AP18" s="1530"/>
      <c r="AQ18" s="1530"/>
      <c r="AR18" s="68"/>
      <c r="AS18" s="68"/>
      <c r="AT18" s="68"/>
      <c r="AU18" s="1530" t="e">
        <f>SUMIF(Admin3!C8:O8,AR!BE5,Admin3!#REF!)-SUMIF(Admin3!C8:O8,AR!BE5,Admin3!#REF!)</f>
        <v>#REF!</v>
      </c>
      <c r="AV18" s="1530"/>
      <c r="AW18" s="1530"/>
      <c r="AX18" s="1530"/>
      <c r="AY18" s="68"/>
      <c r="AZ18" s="68"/>
      <c r="BA18" s="68"/>
      <c r="BB18" s="1530" t="e">
        <f>SUMIF(Admin3!C8:O8,AR!BE5,Admin3!#REF!)-SUMIF(Admin3!C8:O8,AR!BE5,Admin3!#REF!)</f>
        <v>#REF!</v>
      </c>
      <c r="BC18" s="1530"/>
      <c r="BD18" s="1530"/>
      <c r="BE18" s="1530"/>
    </row>
    <row r="19" spans="2:81" ht="14.65" customHeight="1" thickBot="1">
      <c r="E19" s="78" t="s">
        <v>41</v>
      </c>
      <c r="G19" s="93">
        <f>SUM(G16:G18)</f>
        <v>0</v>
      </c>
      <c r="I19" s="94"/>
      <c r="J19" s="94"/>
      <c r="K19" s="94"/>
      <c r="L19" s="94"/>
      <c r="M19" s="94"/>
      <c r="N19" s="94"/>
      <c r="O19" s="94"/>
      <c r="P19" s="94"/>
      <c r="Q19" s="94"/>
      <c r="R19" s="94"/>
      <c r="S19" s="94"/>
      <c r="T19" s="94"/>
      <c r="U19" s="94"/>
      <c r="V19" s="94"/>
      <c r="W19" s="94"/>
      <c r="X19" s="183" t="s">
        <v>290</v>
      </c>
      <c r="Y19" s="235"/>
      <c r="Z19" s="236"/>
      <c r="AA19" s="237"/>
      <c r="AB19" s="237"/>
      <c r="AE19" s="68"/>
      <c r="AF19" s="68"/>
      <c r="AG19" s="68"/>
      <c r="AH19" s="68"/>
      <c r="AJ19" s="97" t="s">
        <v>65</v>
      </c>
      <c r="AN19" s="1533" t="e">
        <f>SUM(AN17:AQ18)</f>
        <v>#REF!</v>
      </c>
      <c r="AO19" s="1533"/>
      <c r="AP19" s="1533"/>
      <c r="AQ19" s="1533"/>
      <c r="AU19" s="1533" t="e">
        <f>SUM(AU17:AX18)</f>
        <v>#REF!</v>
      </c>
      <c r="AV19" s="1533"/>
      <c r="AW19" s="1533"/>
      <c r="AX19" s="1533"/>
      <c r="BB19" s="1533" t="e">
        <f>SUM(BB17:BE18)</f>
        <v>#REF!</v>
      </c>
      <c r="BC19" s="1533"/>
      <c r="BD19" s="1533"/>
      <c r="BE19" s="1533"/>
    </row>
    <row r="20" spans="2:81" ht="14.65" customHeight="1" thickTop="1" thickBot="1">
      <c r="B20" s="44"/>
      <c r="C20" s="44"/>
      <c r="D20" s="44"/>
      <c r="E20" s="78" t="s">
        <v>39</v>
      </c>
      <c r="G20" s="77">
        <f t="array" ref="G20">SUM(IF((Admin2!$C$6:$O$6=BE5)*(Admin2!$Q$9:$Q$83=BI2)*(Admin2!$B$9:$B$83="Annual Plan"),Admin2!$C$9:$O$83,0))</f>
        <v>0</v>
      </c>
      <c r="H20" s="94"/>
      <c r="I20" s="6" t="s">
        <v>284</v>
      </c>
      <c r="K20" s="94"/>
      <c r="L20" s="94"/>
      <c r="M20" s="144">
        <f>SUMIF(BJ4:BV4,BE5,BJ16:BV16)</f>
        <v>0</v>
      </c>
      <c r="T20" s="145" t="s">
        <v>291</v>
      </c>
      <c r="U20" s="94"/>
      <c r="V20" s="144">
        <f>SUM(K17:K18,P17:P18,U17:U18)</f>
        <v>0</v>
      </c>
      <c r="X20" s="183" t="s">
        <v>287</v>
      </c>
      <c r="Y20" s="235"/>
      <c r="Z20" s="236"/>
      <c r="AA20" s="183">
        <f>SUMIF(Admin4!$B$5:$B$298,"7983",Admin4!$D$5:$D$298)</f>
        <v>0</v>
      </c>
      <c r="AB20" s="183"/>
      <c r="AC20" s="94"/>
      <c r="AD20" s="94"/>
      <c r="AE20" s="65"/>
      <c r="AF20" s="65"/>
      <c r="AG20" s="65"/>
      <c r="AH20" s="65"/>
      <c r="BI20" s="4" t="s">
        <v>245</v>
      </c>
      <c r="BJ20" s="3"/>
      <c r="BK20" s="3"/>
      <c r="BL20" s="3"/>
      <c r="BM20" s="3"/>
      <c r="BN20" s="3"/>
      <c r="BO20" s="3"/>
      <c r="BP20" s="3"/>
      <c r="BQ20" s="3"/>
      <c r="BR20" s="3"/>
      <c r="BS20" s="3"/>
      <c r="BT20" s="3"/>
      <c r="BU20" s="3"/>
    </row>
    <row r="21" spans="2:81" ht="14.65" customHeight="1" thickTop="1" thickBot="1">
      <c r="B21" s="44"/>
      <c r="C21" s="44"/>
      <c r="D21" s="44"/>
      <c r="E21" s="78" t="s">
        <v>40</v>
      </c>
      <c r="F21" s="94"/>
      <c r="G21" s="93">
        <f t="array" ref="G21">SUM(IF((Admin2!$C$6:$O$6=BE5)*(Admin2!$Q$9:$Q$83=BI2)*(Admin2!$B$9:$B$83="Forecast"),Admin2!$C$9:$O$83,0))</f>
        <v>0</v>
      </c>
      <c r="H21" s="94"/>
      <c r="X21" s="183"/>
      <c r="Y21" s="235"/>
      <c r="Z21" s="236"/>
      <c r="AA21" s="183"/>
      <c r="AB21" s="183"/>
      <c r="AE21" s="64"/>
      <c r="AF21" s="64"/>
      <c r="AG21" s="64"/>
      <c r="AH21" s="64"/>
      <c r="AI21" s="68"/>
      <c r="AJ21" s="103" t="s">
        <v>23</v>
      </c>
      <c r="AK21" s="68"/>
      <c r="AL21" s="68"/>
      <c r="AM21" s="68"/>
      <c r="AN21" s="68"/>
      <c r="AO21" s="68"/>
      <c r="AP21" s="68"/>
      <c r="AQ21" s="68"/>
      <c r="AR21" s="68"/>
      <c r="AS21" s="68"/>
      <c r="AT21" s="68"/>
      <c r="AU21" s="68"/>
      <c r="AV21" s="68"/>
      <c r="AW21" s="68"/>
      <c r="AX21" s="68"/>
      <c r="AY21" s="68"/>
      <c r="AZ21" s="68"/>
      <c r="BA21" s="68"/>
      <c r="BB21" s="68"/>
      <c r="BC21" s="68"/>
      <c r="BD21" s="68"/>
      <c r="BE21" s="68"/>
      <c r="BI21" s="1" t="s">
        <v>292</v>
      </c>
      <c r="BJ21" s="1526" t="s">
        <v>520</v>
      </c>
      <c r="BK21" s="1526"/>
      <c r="BL21" s="1526"/>
      <c r="BM21" s="1526"/>
      <c r="BN21" s="1526"/>
      <c r="BO21" s="1526"/>
      <c r="BP21" s="1526"/>
      <c r="BQ21" s="1526"/>
      <c r="BR21" s="1526"/>
      <c r="BS21" s="1526"/>
      <c r="BT21" s="1526"/>
      <c r="BU21" s="1526"/>
    </row>
    <row r="22" spans="2:81" ht="14.65" customHeight="1" thickTop="1" thickBot="1">
      <c r="B22" s="44"/>
      <c r="C22" s="44"/>
      <c r="D22" s="44"/>
      <c r="E22" s="78" t="s">
        <v>294</v>
      </c>
      <c r="F22" s="94"/>
      <c r="G22" s="93">
        <f>$G$20-$G$19</f>
        <v>0</v>
      </c>
      <c r="H22" s="94"/>
      <c r="I22" s="236"/>
      <c r="J22" s="236"/>
      <c r="K22" s="236"/>
      <c r="L22" s="236"/>
      <c r="M22" s="236"/>
      <c r="N22" s="236"/>
      <c r="O22" s="236"/>
      <c r="P22" s="236"/>
      <c r="Q22" s="236"/>
      <c r="R22" s="236"/>
      <c r="S22" s="236"/>
      <c r="T22" s="236"/>
      <c r="U22" s="236"/>
      <c r="V22" s="236"/>
      <c r="W22" s="94"/>
      <c r="X22" s="183" t="s">
        <v>295</v>
      </c>
      <c r="Y22" s="235"/>
      <c r="Z22" s="236"/>
      <c r="AA22" s="237"/>
      <c r="AB22" s="238"/>
      <c r="AE22" s="64"/>
      <c r="AF22" s="64"/>
      <c r="AG22" s="64"/>
      <c r="AH22" s="64"/>
      <c r="AI22" s="68"/>
      <c r="AJ22" s="97" t="s">
        <v>63</v>
      </c>
      <c r="AK22" s="68"/>
      <c r="AL22" s="68"/>
      <c r="AM22" s="68"/>
      <c r="AN22" s="1530" t="e">
        <f>SUMIF(Admin3!C8:O8,AR!BE5,Admin3!#REF!)</f>
        <v>#REF!</v>
      </c>
      <c r="AO22" s="1530"/>
      <c r="AP22" s="1530"/>
      <c r="AQ22" s="1530"/>
      <c r="AR22" s="68"/>
      <c r="AS22" s="68"/>
      <c r="AT22" s="68"/>
      <c r="AU22" s="1530" t="e">
        <f>SUMIF(Admin3!C8:O8,AR!BE5,Admin3!#REF!)-SUMIF(Admin3!C8:O8,AR!BE5,Admin3!#REF!)</f>
        <v>#REF!</v>
      </c>
      <c r="AV22" s="1530"/>
      <c r="AW22" s="1530"/>
      <c r="AX22" s="1530"/>
      <c r="AY22" s="68"/>
      <c r="AZ22" s="68"/>
      <c r="BA22" s="68"/>
      <c r="BB22" s="1530" t="e">
        <f>SUMIF(Admin3!C8:O8,AR!BE5,Admin3!#REF!)-SUMIF(Admin3!C8:O8,AR!BE5,Admin3!#REF!)</f>
        <v>#REF!</v>
      </c>
      <c r="BC22" s="1530"/>
      <c r="BD22" s="1530"/>
      <c r="BE22" s="1530"/>
      <c r="BI22" s="54" t="s">
        <v>296</v>
      </c>
      <c r="BJ22" s="1527" t="s">
        <v>521</v>
      </c>
      <c r="BK22" s="1527"/>
      <c r="BL22" s="1527"/>
      <c r="BM22" s="1527"/>
      <c r="BN22" s="1527"/>
      <c r="BO22" s="1527"/>
      <c r="BP22" s="1527"/>
      <c r="BQ22" s="1527"/>
      <c r="BR22" s="1527"/>
      <c r="BS22" s="1527"/>
      <c r="BT22" s="1527"/>
      <c r="BU22" s="1527"/>
    </row>
    <row r="23" spans="2:81" ht="14.65" customHeight="1" thickTop="1" thickBot="1">
      <c r="B23" s="44"/>
      <c r="C23" s="44"/>
      <c r="D23" s="44"/>
      <c r="E23" s="78" t="s">
        <v>298</v>
      </c>
      <c r="F23" s="94"/>
      <c r="G23" s="93">
        <f>$G$21-$G$19</f>
        <v>0</v>
      </c>
      <c r="H23" s="94"/>
      <c r="I23" s="236"/>
      <c r="J23" s="236"/>
      <c r="K23" s="236"/>
      <c r="L23" s="236"/>
      <c r="M23" s="236"/>
      <c r="N23" s="236"/>
      <c r="O23" s="236"/>
      <c r="P23" s="236"/>
      <c r="Q23" s="236"/>
      <c r="R23" s="236"/>
      <c r="S23" s="236"/>
      <c r="T23" s="236"/>
      <c r="U23" s="236"/>
      <c r="V23" s="236"/>
      <c r="W23" s="94"/>
      <c r="X23" s="183" t="s">
        <v>299</v>
      </c>
      <c r="Y23" s="235"/>
      <c r="Z23" s="236"/>
      <c r="AA23" s="183">
        <f>SUMIF(Admin4!$L$5:$L$298,"7983",Admin4!$N$5:$N$298)</f>
        <v>0</v>
      </c>
      <c r="AB23" s="238"/>
      <c r="AE23" s="64"/>
      <c r="AF23" s="64"/>
      <c r="AG23" s="64"/>
      <c r="AH23" s="64"/>
      <c r="AI23" s="64"/>
      <c r="AJ23" s="97" t="s">
        <v>64</v>
      </c>
      <c r="AK23" s="68"/>
      <c r="AL23" s="68"/>
      <c r="AM23" s="68"/>
      <c r="AN23" s="1530" t="e">
        <f>SUMIF(Admin3!C8:O8,AR!BE5,Admin3!#REF!)</f>
        <v>#REF!</v>
      </c>
      <c r="AO23" s="1530"/>
      <c r="AP23" s="1530"/>
      <c r="AQ23" s="1530"/>
      <c r="AR23" s="68"/>
      <c r="AS23" s="68"/>
      <c r="AT23" s="68"/>
      <c r="AU23" s="1530" t="e">
        <f>SUMIF(Admin3!C8:O8,AR!BE5,Admin3!#REF!)-SUMIF(Admin3!C8:O8,AR!BE5,Admin3!#REF!)</f>
        <v>#REF!</v>
      </c>
      <c r="AV23" s="1530"/>
      <c r="AW23" s="1530"/>
      <c r="AX23" s="1530"/>
      <c r="AY23" s="68"/>
      <c r="AZ23" s="68"/>
      <c r="BA23" s="68"/>
      <c r="BB23" s="1530" t="e">
        <f>SUMIF(Admin3!C8:O8,AR!BE5,Admin3!#REF!)-SUMIF(Admin3!C8:O8,AR!BE5,Admin3!#REF!)</f>
        <v>#REF!</v>
      </c>
      <c r="BC23" s="1530"/>
      <c r="BD23" s="1530"/>
      <c r="BE23" s="1530"/>
      <c r="BI23" s="1" t="s">
        <v>300</v>
      </c>
      <c r="BJ23" s="1528" t="s">
        <v>177</v>
      </c>
      <c r="BK23" s="1528"/>
      <c r="BL23" s="1528"/>
      <c r="BM23" s="1528"/>
      <c r="BN23" s="1528"/>
      <c r="BO23" s="1528"/>
      <c r="BP23" s="1528"/>
      <c r="BQ23" s="1528"/>
      <c r="BR23" s="1528"/>
      <c r="BS23" s="1528"/>
      <c r="BT23" s="1528"/>
      <c r="BU23" s="1528"/>
    </row>
    <row r="24" spans="2:81" ht="14.65" customHeight="1" thickTop="1" thickBot="1">
      <c r="B24" s="44"/>
      <c r="C24" s="44"/>
      <c r="D24" s="44"/>
      <c r="E24" s="78"/>
      <c r="F24" s="94"/>
      <c r="G24" s="94"/>
      <c r="H24" s="94"/>
      <c r="I24" s="96"/>
      <c r="J24" s="96"/>
      <c r="K24" s="94"/>
      <c r="L24" s="94"/>
      <c r="U24" s="94"/>
      <c r="V24" s="94"/>
      <c r="W24" s="94"/>
      <c r="X24" s="239"/>
      <c r="Y24" s="239"/>
      <c r="Z24" s="240"/>
      <c r="AA24" s="239"/>
      <c r="AB24" s="241"/>
      <c r="AE24" s="64"/>
      <c r="AF24" s="64"/>
      <c r="AG24" s="64"/>
      <c r="AH24" s="64"/>
      <c r="AI24" s="64"/>
      <c r="AJ24" s="97" t="s">
        <v>65</v>
      </c>
      <c r="AK24" s="68"/>
      <c r="AL24" s="68"/>
      <c r="AM24" s="68"/>
      <c r="AN24" s="1533" t="e">
        <f>SUM(AN22:AQ23)</f>
        <v>#REF!</v>
      </c>
      <c r="AO24" s="1533"/>
      <c r="AP24" s="1533"/>
      <c r="AQ24" s="1533"/>
      <c r="AR24" s="68"/>
      <c r="AS24" s="68"/>
      <c r="AT24" s="68"/>
      <c r="AU24" s="1533" t="e">
        <f>SUM(AU22:AX23)</f>
        <v>#REF!</v>
      </c>
      <c r="AV24" s="1533"/>
      <c r="AW24" s="1533"/>
      <c r="AX24" s="1533"/>
      <c r="AY24" s="68"/>
      <c r="AZ24" s="68"/>
      <c r="BA24" s="68"/>
      <c r="BB24" s="1533" t="e">
        <f>SUM(BB22:BE23)</f>
        <v>#REF!</v>
      </c>
      <c r="BC24" s="1533"/>
      <c r="BD24" s="1533"/>
      <c r="BE24" s="1533"/>
      <c r="BI24" s="2"/>
      <c r="BJ24" s="2"/>
      <c r="BK24" s="2"/>
      <c r="BL24" s="1490" t="s">
        <v>487</v>
      </c>
      <c r="BM24" s="1491"/>
      <c r="BN24" s="1491"/>
      <c r="BO24" s="1491"/>
      <c r="BP24" s="1521"/>
      <c r="BQ24" s="1490" t="s">
        <v>522</v>
      </c>
      <c r="BR24" s="1491"/>
      <c r="BS24" s="1491"/>
      <c r="BT24" s="1491"/>
      <c r="BU24" s="1492"/>
      <c r="BW24" s="1490" t="s">
        <v>303</v>
      </c>
      <c r="BX24" s="1491"/>
      <c r="BY24" s="1491"/>
      <c r="BZ24" s="1491"/>
      <c r="CA24" s="1491"/>
      <c r="CB24" s="1491"/>
      <c r="CC24" s="1492"/>
    </row>
    <row r="25" spans="2:81" ht="14.65" customHeight="1" thickTop="1">
      <c r="B25" s="44"/>
      <c r="C25" s="44"/>
      <c r="D25" s="44"/>
      <c r="E25" s="78"/>
      <c r="F25" s="94"/>
      <c r="G25" s="95">
        <f>G26-SUM($G$16:$G$17)</f>
        <v>0</v>
      </c>
      <c r="H25" s="94"/>
      <c r="I25" s="96" t="str">
        <f>IF(G25&lt;&gt;0,"There is a variance in reported ending EEs.","")</f>
        <v/>
      </c>
      <c r="J25" s="96"/>
      <c r="K25" s="94"/>
      <c r="L25" s="94"/>
      <c r="U25" s="94"/>
      <c r="V25" s="94"/>
      <c r="W25" s="94"/>
      <c r="X25" s="94"/>
      <c r="Y25" s="94"/>
      <c r="Z25" s="97"/>
      <c r="AA25" s="94"/>
      <c r="AB25" s="98"/>
      <c r="AE25" s="64"/>
      <c r="AF25" s="64"/>
      <c r="AG25" s="64"/>
      <c r="AH25" s="64"/>
      <c r="AI25" s="64"/>
      <c r="AJ25" s="97"/>
      <c r="AK25" s="68"/>
      <c r="AL25" s="68"/>
      <c r="AM25" s="68"/>
      <c r="AN25" s="221"/>
      <c r="AO25" s="221"/>
      <c r="AP25" s="221"/>
      <c r="AQ25" s="221"/>
      <c r="AR25" s="68"/>
      <c r="AS25" s="68"/>
      <c r="AT25" s="68"/>
      <c r="AU25" s="221"/>
      <c r="AV25" s="221"/>
      <c r="AW25" s="221"/>
      <c r="AX25" s="221"/>
      <c r="AY25" s="68"/>
      <c r="AZ25" s="68"/>
      <c r="BA25" s="68"/>
      <c r="BB25" s="221"/>
      <c r="BC25" s="221"/>
      <c r="BD25" s="221"/>
      <c r="BE25" s="221"/>
      <c r="BI25" s="720" t="s">
        <v>23</v>
      </c>
      <c r="BJ25" s="720" t="s">
        <v>37</v>
      </c>
      <c r="BK25" s="720" t="s">
        <v>304</v>
      </c>
      <c r="BL25" s="721" t="s">
        <v>305</v>
      </c>
      <c r="BM25" s="721" t="s">
        <v>306</v>
      </c>
      <c r="BN25" s="721" t="s">
        <v>488</v>
      </c>
      <c r="BO25" s="135" t="s">
        <v>489</v>
      </c>
      <c r="BP25" s="721" t="s">
        <v>490</v>
      </c>
      <c r="BQ25" s="721" t="s">
        <v>305</v>
      </c>
      <c r="BR25" s="721" t="s">
        <v>523</v>
      </c>
      <c r="BS25" s="721" t="s">
        <v>524</v>
      </c>
      <c r="BT25" s="135" t="s">
        <v>525</v>
      </c>
      <c r="BU25" s="721" t="s">
        <v>526</v>
      </c>
      <c r="BW25" s="164" t="s">
        <v>314</v>
      </c>
      <c r="BX25" s="164" t="s">
        <v>23</v>
      </c>
      <c r="BY25" s="168" t="s">
        <v>315</v>
      </c>
      <c r="BZ25" s="164" t="s">
        <v>122</v>
      </c>
      <c r="CA25" s="164" t="s">
        <v>316</v>
      </c>
      <c r="CB25" s="164" t="s">
        <v>317</v>
      </c>
      <c r="CC25" s="164" t="s">
        <v>318</v>
      </c>
    </row>
    <row r="26" spans="2:81" ht="15" customHeight="1">
      <c r="B26" s="44"/>
      <c r="C26" s="44"/>
      <c r="D26" s="44"/>
      <c r="E26" s="78"/>
      <c r="F26" s="94"/>
      <c r="G26" s="95">
        <f t="array" ref="G26">SUM(IF((Admin2!$C$6:$O$6=$BE$5)*(Admin2!$Q$9:$Q$83=$BI$2)*(Admin2!$B$9:$B$83="Ending EEs"),Admin2!$C$9:$O$83,0))</f>
        <v>0</v>
      </c>
      <c r="H26" s="94"/>
      <c r="I26" s="96" t="str">
        <f>IF(G26=0,"Ending headcount per Kronos/HCMS.","")</f>
        <v>Ending headcount per Kronos/HCMS.</v>
      </c>
      <c r="J26" s="96"/>
      <c r="K26" s="94"/>
      <c r="L26" s="94"/>
      <c r="U26" s="94"/>
      <c r="V26" s="94"/>
      <c r="W26" s="94"/>
      <c r="X26" s="94"/>
      <c r="Y26" s="94"/>
      <c r="Z26" s="97"/>
      <c r="AA26" s="94"/>
      <c r="AB26" s="98"/>
      <c r="AE26" s="64"/>
      <c r="AF26" s="64"/>
      <c r="AG26" s="64"/>
      <c r="AH26" s="64"/>
      <c r="AI26" s="64"/>
      <c r="AJ26" s="97"/>
      <c r="AK26" s="68"/>
      <c r="AL26" s="68"/>
      <c r="AM26" s="68"/>
      <c r="AN26" s="221"/>
      <c r="AO26" s="221"/>
      <c r="AP26" s="221"/>
      <c r="AQ26" s="221"/>
      <c r="AR26" s="68"/>
      <c r="AS26" s="68"/>
      <c r="AT26" s="68"/>
      <c r="AU26" s="221"/>
      <c r="AV26" s="221"/>
      <c r="AW26" s="221"/>
      <c r="AX26" s="221"/>
      <c r="AY26" s="68"/>
      <c r="AZ26" s="68"/>
      <c r="BA26" s="68"/>
      <c r="BB26" s="221"/>
      <c r="BC26" s="221"/>
      <c r="BD26" s="221"/>
      <c r="BE26" s="221"/>
      <c r="BI26" s="722" t="s">
        <v>319</v>
      </c>
      <c r="BJ26" s="722">
        <v>1</v>
      </c>
      <c r="BK26" s="722" t="s">
        <v>320</v>
      </c>
      <c r="BL26" s="723">
        <f>BN26*BM26</f>
        <v>89.611199999999997</v>
      </c>
      <c r="BM26" s="724">
        <v>26.67</v>
      </c>
      <c r="BN26" s="725">
        <v>3.36</v>
      </c>
      <c r="BO26" s="140">
        <f>IF(SUM(BM26:BM28=0),0,SUM(BL26:BL28)/SUM(BM26:BM28))</f>
        <v>2.8955833088451364</v>
      </c>
      <c r="BP26" s="725">
        <v>2</v>
      </c>
      <c r="BQ26" s="726">
        <f>BS26*BR26</f>
        <v>88.663499999999999</v>
      </c>
      <c r="BR26" s="727">
        <v>25.925000000000001</v>
      </c>
      <c r="BS26" s="727">
        <v>3.42</v>
      </c>
      <c r="BT26" s="140">
        <f>IF(SUM(BR26:BR28=0),0,SUM(BQ26:BQ28)/SUM(BR26:BR28))</f>
        <v>3.42</v>
      </c>
      <c r="BU26" s="725">
        <v>2</v>
      </c>
      <c r="BX26" s="666" t="str">
        <f t="shared" ref="BX26:BX37" si="3">TEXT(CONCATENATE(CC26,"/01/20",CB26),"MMM")</f>
        <v>Oct</v>
      </c>
      <c r="BY26" s="728">
        <f>IF(CB26=$CB38,SUMIF($BI26:$BI37,$BX26,$BR26:$BR37),SUMIF($BI26:$BI37,$BX26,$BM26:$BM37))</f>
        <v>26.67</v>
      </c>
      <c r="BZ26" s="725">
        <f>IF(IF(CB26=CB38,SUMIF(BI26:BI37,$BX26,BU26:BU37),SUMIF(BI26:BI37,$BX26,BP26:BP37))=0,NA(),IF(CB26=CB38,SUMIF(BI26:BI37,$BX26,BU26:BU37),SUMIF(BI26:BI37,$BX26,BP26:BP37)))</f>
        <v>2</v>
      </c>
      <c r="CA26" s="729">
        <f>IF(IF(CB26=CB38,SUMIF(BI26:BI37,$BX26,BS26:BS37),SUMIF(BI26:BI37,$BX26,BN26:BN37))=0,NA(),IF(CB26=CB38,SUMIF(BI26:BI37,$BX26,BS26:BS37),SUMIF(BI26:BI37,$BX26,BN26:BN37)))</f>
        <v>3.36</v>
      </c>
      <c r="CB26" s="730">
        <v>20</v>
      </c>
      <c r="CC26" s="730">
        <f t="shared" ref="CC26:CC36" si="4">IF(CC27-1&lt;1,CC27+11,CC27-1)</f>
        <v>10</v>
      </c>
    </row>
    <row r="27" spans="2:81" ht="15">
      <c r="B27" s="44"/>
      <c r="C27" s="44"/>
      <c r="D27" s="44"/>
      <c r="E27" s="78"/>
      <c r="F27" s="94"/>
      <c r="G27" s="78"/>
      <c r="H27" s="78"/>
      <c r="I27" s="78"/>
      <c r="J27" s="78"/>
      <c r="K27" s="94"/>
      <c r="L27" s="94"/>
      <c r="U27" s="94"/>
      <c r="V27" s="94"/>
      <c r="W27" s="94"/>
      <c r="X27" s="94"/>
      <c r="Y27" s="94"/>
      <c r="Z27" s="97"/>
      <c r="AA27" s="94"/>
      <c r="AB27" s="98"/>
      <c r="AE27" s="64"/>
      <c r="AF27" s="64"/>
      <c r="AG27" s="64"/>
      <c r="AH27" s="64"/>
      <c r="AI27" s="64"/>
      <c r="AJ27" s="97"/>
      <c r="AK27" s="68"/>
      <c r="AL27" s="68"/>
      <c r="AM27" s="68"/>
      <c r="AN27" s="221"/>
      <c r="AO27" s="221"/>
      <c r="AP27" s="221"/>
      <c r="AQ27" s="221"/>
      <c r="AR27" s="68"/>
      <c r="AS27" s="68"/>
      <c r="AT27" s="68"/>
      <c r="AU27" s="221"/>
      <c r="AV27" s="221"/>
      <c r="AW27" s="221"/>
      <c r="AX27" s="221"/>
      <c r="AY27" s="68"/>
      <c r="AZ27" s="68"/>
      <c r="BA27" s="68"/>
      <c r="BB27" s="221"/>
      <c r="BC27" s="221"/>
      <c r="BD27" s="221"/>
      <c r="BE27" s="221"/>
      <c r="BI27" s="722" t="s">
        <v>321</v>
      </c>
      <c r="BJ27" s="722">
        <v>2</v>
      </c>
      <c r="BK27" s="722" t="s">
        <v>320</v>
      </c>
      <c r="BL27" s="723">
        <f t="shared" ref="BL27:BL37" si="5">BN27*BM27</f>
        <v>71.316200000000009</v>
      </c>
      <c r="BM27" s="724">
        <v>24.34</v>
      </c>
      <c r="BN27" s="725">
        <v>2.93</v>
      </c>
      <c r="BO27" s="136"/>
      <c r="BP27" s="725">
        <v>2</v>
      </c>
      <c r="BQ27" s="726">
        <f t="shared" ref="BQ27:BQ37" si="6">BS27*BR27</f>
        <v>0</v>
      </c>
      <c r="BR27" s="727"/>
      <c r="BS27" s="727"/>
      <c r="BT27" s="136"/>
      <c r="BU27" s="725">
        <v>2</v>
      </c>
      <c r="BX27" s="666" t="str">
        <f t="shared" si="3"/>
        <v>Nov</v>
      </c>
      <c r="BY27" s="728">
        <f>IF(CB27=$CB38,SUMIF($BI26:$BI37,$BX27,$BR26:$BR37),SUMIF($BI26:$BI37,$BX27,$BM26:$BM37))</f>
        <v>24.34</v>
      </c>
      <c r="BZ27" s="725">
        <f>IF(IF(CB27=CB38,SUMIF(BI26:BI37,$BX27,BU26:BU37),SUMIF(BI26:BI37,$BX27,BP26:BP37))=0,NA(),IF(CB27=CB38,SUMIF(BI26:BI37,$BX27,BU26:BU37),SUMIF(BI26:BI37,$BX27,BP26:BP37)))</f>
        <v>2</v>
      </c>
      <c r="CA27" s="729">
        <f>IF(IF(CB27=CB38,SUMIF(BI26:BI37,$BX27,BS26:BS37),SUMIF(BI26:BI37,$BX27,BN26:BN37))=0,NA(),IF(CB27=CB38,SUMIF(BI26:BI37,$BX27,BS26:BS37),SUMIF(BI26:BI37,$BX27,BN26:BN37)))</f>
        <v>2.93</v>
      </c>
      <c r="CB27" s="730">
        <v>20</v>
      </c>
      <c r="CC27" s="730">
        <f t="shared" si="4"/>
        <v>11</v>
      </c>
    </row>
    <row r="28" spans="2:81" ht="15">
      <c r="B28" s="44" t="s">
        <v>242</v>
      </c>
      <c r="C28" s="44"/>
      <c r="D28" s="44"/>
      <c r="E28" s="87"/>
      <c r="F28" s="94"/>
      <c r="G28" s="94"/>
      <c r="H28" s="94"/>
      <c r="I28" s="94"/>
      <c r="J28" s="94"/>
      <c r="K28" s="94"/>
      <c r="L28" s="94"/>
      <c r="M28" s="94"/>
      <c r="N28" s="94"/>
      <c r="O28" s="94"/>
      <c r="P28" s="94"/>
      <c r="Q28" s="94"/>
      <c r="R28" s="94"/>
      <c r="S28" s="94"/>
      <c r="T28" s="94"/>
      <c r="U28" s="94"/>
      <c r="V28" s="94"/>
      <c r="W28" s="94"/>
      <c r="X28" s="94"/>
      <c r="Y28" s="94"/>
      <c r="Z28" s="94"/>
      <c r="AA28" s="94"/>
      <c r="AB28" s="94"/>
      <c r="AE28" s="44" t="s">
        <v>242</v>
      </c>
      <c r="AF28" s="44"/>
      <c r="AG28" s="44"/>
      <c r="AH28" s="87"/>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I28" s="722" t="s">
        <v>322</v>
      </c>
      <c r="BJ28" s="722">
        <v>3</v>
      </c>
      <c r="BK28" s="722" t="s">
        <v>320</v>
      </c>
      <c r="BL28" s="723">
        <f t="shared" si="5"/>
        <v>36.146000000000001</v>
      </c>
      <c r="BM28" s="724">
        <v>17.05</v>
      </c>
      <c r="BN28" s="725">
        <v>2.12</v>
      </c>
      <c r="BO28" s="136"/>
      <c r="BP28" s="725">
        <v>2</v>
      </c>
      <c r="BQ28" s="726">
        <f t="shared" si="6"/>
        <v>0</v>
      </c>
      <c r="BR28" s="727"/>
      <c r="BS28" s="727"/>
      <c r="BT28" s="136"/>
      <c r="BU28" s="725">
        <v>2</v>
      </c>
      <c r="BX28" s="666" t="str">
        <f t="shared" si="3"/>
        <v>Dec</v>
      </c>
      <c r="BY28" s="728">
        <f>IF(CB28=$CB38,SUMIF($BI26:$BI37,$BX28,$BR26:$BR37),SUMIF($BI26:$BI37,$BX28,$BM26:$BM37))</f>
        <v>17.05</v>
      </c>
      <c r="BZ28" s="725">
        <f>IF(IF(CB28=CB38,SUMIF(BI26:BI37,$BX28,BU26:BU37),SUMIF(BI26:BI37,$BX28,BP26:BP37))=0,NA(),IF(CB28=CB38,SUMIF(BI26:BI37,$BX28,BU26:BU37),SUMIF(BI26:BI37,$BX28,BP26:BP37)))</f>
        <v>2</v>
      </c>
      <c r="CA28" s="729">
        <f>IF(IF(CB28=CB38,SUMIF(BI26:BI37,$BX28,BS26:BS37),SUMIF(BI26:BI37,$BX28,BN26:BN37))=0,NA(),IF(CB28=CB38,SUMIF(BI26:BI37,$BX28,BS26:BS37),SUMIF(BI26:BI37,$BX28,BN26:BN37)))</f>
        <v>2.12</v>
      </c>
      <c r="CB28" s="730">
        <v>20</v>
      </c>
      <c r="CC28" s="730">
        <f t="shared" si="4"/>
        <v>12</v>
      </c>
    </row>
    <row r="29" spans="2:81" ht="15" customHeight="1">
      <c r="B29" s="1510" t="s">
        <v>527</v>
      </c>
      <c r="C29" s="1511"/>
      <c r="D29" s="1511"/>
      <c r="E29" s="1511"/>
      <c r="F29" s="1511"/>
      <c r="G29" s="1511"/>
      <c r="H29" s="1511"/>
      <c r="I29" s="1511"/>
      <c r="J29" s="1511"/>
      <c r="K29" s="1511"/>
      <c r="L29" s="1511"/>
      <c r="M29" s="1511"/>
      <c r="N29" s="1511"/>
      <c r="O29" s="1511"/>
      <c r="P29" s="1511"/>
      <c r="Q29" s="1511"/>
      <c r="R29" s="1511"/>
      <c r="S29" s="1511"/>
      <c r="T29" s="1511"/>
      <c r="U29" s="1511"/>
      <c r="V29" s="1511"/>
      <c r="W29" s="1511"/>
      <c r="X29" s="1511"/>
      <c r="Y29" s="1511"/>
      <c r="Z29" s="1511"/>
      <c r="AA29" s="1511"/>
      <c r="AB29" s="1512"/>
      <c r="AE29" s="1510"/>
      <c r="AF29" s="1511"/>
      <c r="AG29" s="1511"/>
      <c r="AH29" s="1511"/>
      <c r="AI29" s="1511"/>
      <c r="AJ29" s="1511"/>
      <c r="AK29" s="1511"/>
      <c r="AL29" s="1511"/>
      <c r="AM29" s="1511"/>
      <c r="AN29" s="1511"/>
      <c r="AO29" s="1511"/>
      <c r="AP29" s="1511"/>
      <c r="AQ29" s="1511"/>
      <c r="AR29" s="1511"/>
      <c r="AS29" s="1511"/>
      <c r="AT29" s="1511"/>
      <c r="AU29" s="1511"/>
      <c r="AV29" s="1511"/>
      <c r="AW29" s="1511"/>
      <c r="AX29" s="1511"/>
      <c r="AY29" s="1511"/>
      <c r="AZ29" s="1511"/>
      <c r="BA29" s="1511"/>
      <c r="BB29" s="1511"/>
      <c r="BC29" s="1511"/>
      <c r="BD29" s="1511"/>
      <c r="BE29" s="1512"/>
      <c r="BI29" s="722" t="s">
        <v>323</v>
      </c>
      <c r="BJ29" s="722">
        <v>4</v>
      </c>
      <c r="BK29" s="722" t="s">
        <v>324</v>
      </c>
      <c r="BL29" s="723">
        <f t="shared" si="5"/>
        <v>42.951300000000003</v>
      </c>
      <c r="BM29" s="724">
        <v>23.73</v>
      </c>
      <c r="BN29" s="725">
        <v>1.81</v>
      </c>
      <c r="BO29" s="140">
        <f>IF(SUM(BM29:BM31=0),0,SUM(BL29:BL31)/SUM(BM29:BM31))</f>
        <v>1.4480325293879206</v>
      </c>
      <c r="BP29" s="725">
        <v>2</v>
      </c>
      <c r="BQ29" s="726">
        <f t="shared" si="6"/>
        <v>0</v>
      </c>
      <c r="BR29" s="727"/>
      <c r="BS29" s="727"/>
      <c r="BT29" s="140">
        <f>IF(SUM(BR29:BR31=0),0,SUM(BQ29:BQ31)/SUM(BR29:BR31))</f>
        <v>0</v>
      </c>
      <c r="BU29" s="725">
        <v>2</v>
      </c>
      <c r="BX29" s="666" t="str">
        <f t="shared" si="3"/>
        <v>Jan</v>
      </c>
      <c r="BY29" s="728">
        <f>IF(CB29=$CB38,SUMIF($BI26:$BI37,$BX29,$BR26:$BR37),SUMIF($BI26:$BI37,$BX29,$BM26:$BM37))</f>
        <v>23.73</v>
      </c>
      <c r="BZ29" s="725">
        <f>IF(IF(CB29=CB38,SUMIF(BI26:BI37,$BX29,BU26:BU37),SUMIF(BI26:BI37,$BX29,BP26:BP37))=0,NA(),IF(CB29=CB38,SUMIF(BI26:BI37,$BX29,BU26:BU37),SUMIF(BI26:BI37,$BX29,BP26:BP37)))</f>
        <v>2</v>
      </c>
      <c r="CA29" s="729">
        <f>IF(IF(CB29=CB38,SUMIF(BI26:BI37,$BX29,BS26:BS37),SUMIF(BI26:BI37,$BX29,BN26:BN37))=0,NA(),IF(CB29=CB38,SUMIF(BI26:BI37,$BX29,BS26:BS37),SUMIF(BI26:BI37,$BX29,BN26:BN37)))</f>
        <v>1.81</v>
      </c>
      <c r="CB29" s="730">
        <v>20</v>
      </c>
      <c r="CC29" s="730">
        <f t="shared" si="4"/>
        <v>1</v>
      </c>
    </row>
    <row r="30" spans="2:81" ht="14.65" customHeight="1">
      <c r="B30" s="1513"/>
      <c r="C30" s="1514"/>
      <c r="D30" s="1514"/>
      <c r="E30" s="1514"/>
      <c r="F30" s="1514"/>
      <c r="G30" s="1514"/>
      <c r="H30" s="1514"/>
      <c r="I30" s="1514"/>
      <c r="J30" s="1514"/>
      <c r="K30" s="1514"/>
      <c r="L30" s="1514"/>
      <c r="M30" s="1514"/>
      <c r="N30" s="1514"/>
      <c r="O30" s="1514"/>
      <c r="P30" s="1514"/>
      <c r="Q30" s="1514"/>
      <c r="R30" s="1514"/>
      <c r="S30" s="1514"/>
      <c r="T30" s="1514"/>
      <c r="U30" s="1514"/>
      <c r="V30" s="1514"/>
      <c r="W30" s="1514"/>
      <c r="X30" s="1514"/>
      <c r="Y30" s="1514"/>
      <c r="Z30" s="1514"/>
      <c r="AA30" s="1514"/>
      <c r="AB30" s="1515"/>
      <c r="AE30" s="1513"/>
      <c r="AF30" s="1514"/>
      <c r="AG30" s="1514"/>
      <c r="AH30" s="1514"/>
      <c r="AI30" s="1514"/>
      <c r="AJ30" s="1514"/>
      <c r="AK30" s="1514"/>
      <c r="AL30" s="1514"/>
      <c r="AM30" s="1514"/>
      <c r="AN30" s="1514"/>
      <c r="AO30" s="1514"/>
      <c r="AP30" s="1514"/>
      <c r="AQ30" s="1514"/>
      <c r="AR30" s="1514"/>
      <c r="AS30" s="1514"/>
      <c r="AT30" s="1514"/>
      <c r="AU30" s="1514"/>
      <c r="AV30" s="1514"/>
      <c r="AW30" s="1514"/>
      <c r="AX30" s="1514"/>
      <c r="AY30" s="1514"/>
      <c r="AZ30" s="1514"/>
      <c r="BA30" s="1514"/>
      <c r="BB30" s="1514"/>
      <c r="BC30" s="1514"/>
      <c r="BD30" s="1514"/>
      <c r="BE30" s="1515"/>
      <c r="BI30" s="722" t="s">
        <v>325</v>
      </c>
      <c r="BJ30" s="722">
        <v>5</v>
      </c>
      <c r="BK30" s="722" t="s">
        <v>324</v>
      </c>
      <c r="BL30" s="723">
        <f t="shared" si="5"/>
        <v>36.301000000000002</v>
      </c>
      <c r="BM30" s="724">
        <v>23.42</v>
      </c>
      <c r="BN30" s="725">
        <v>1.55</v>
      </c>
      <c r="BO30" s="136"/>
      <c r="BP30" s="725">
        <v>2</v>
      </c>
      <c r="BQ30" s="726">
        <f t="shared" si="6"/>
        <v>0</v>
      </c>
      <c r="BR30" s="727"/>
      <c r="BS30" s="727"/>
      <c r="BT30" s="136"/>
      <c r="BU30" s="725">
        <v>2</v>
      </c>
      <c r="BX30" s="666" t="str">
        <f t="shared" si="3"/>
        <v>Feb</v>
      </c>
      <c r="BY30" s="728">
        <f>IF(CB30=$CB38,SUMIF($BI26:$BI37,$BX30,$BR26:$BR37),SUMIF($BI26:$BI37,$BX30,$BM26:$BM37))</f>
        <v>23.42</v>
      </c>
      <c r="BZ30" s="725">
        <f>IF(IF(CB30=CB38,SUMIF(BI26:BI37,$BX30,BU26:BU37),SUMIF(BI26:BI37,$BX30,BP26:BP37))=0,NA(),IF(CB30=CB38,SUMIF(BI26:BI37,$BX30,BU26:BU37),SUMIF(BI26:BI37,$BX30,BP26:BP37)))</f>
        <v>2</v>
      </c>
      <c r="CA30" s="729">
        <f>IF(IF(CB30=CB38,SUMIF(BI26:BI37,$BX30,BS26:BS37),SUMIF(BI26:BI37,$BX30,BN26:BN37))=0,NA(),IF(CB30=CB38,SUMIF(BI26:BI37,$BX30,BS26:BS37),SUMIF(BI26:BI37,$BX30,BN26:BN37)))</f>
        <v>1.55</v>
      </c>
      <c r="CB30" s="730">
        <v>20</v>
      </c>
      <c r="CC30" s="730">
        <f t="shared" si="4"/>
        <v>2</v>
      </c>
    </row>
    <row r="31" spans="2:81" ht="14.65" customHeight="1">
      <c r="B31" s="1513"/>
      <c r="C31" s="1514"/>
      <c r="D31" s="1514"/>
      <c r="E31" s="1514"/>
      <c r="F31" s="1514"/>
      <c r="G31" s="1514"/>
      <c r="H31" s="1514"/>
      <c r="I31" s="1514"/>
      <c r="J31" s="1514"/>
      <c r="K31" s="1514"/>
      <c r="L31" s="1514"/>
      <c r="M31" s="1514"/>
      <c r="N31" s="1514"/>
      <c r="O31" s="1514"/>
      <c r="P31" s="1514"/>
      <c r="Q31" s="1514"/>
      <c r="R31" s="1514"/>
      <c r="S31" s="1514"/>
      <c r="T31" s="1514"/>
      <c r="U31" s="1514"/>
      <c r="V31" s="1514"/>
      <c r="W31" s="1514"/>
      <c r="X31" s="1514"/>
      <c r="Y31" s="1514"/>
      <c r="Z31" s="1514"/>
      <c r="AA31" s="1514"/>
      <c r="AB31" s="1515"/>
      <c r="AE31" s="1513"/>
      <c r="AF31" s="1514"/>
      <c r="AG31" s="1514"/>
      <c r="AH31" s="1514"/>
      <c r="AI31" s="1514"/>
      <c r="AJ31" s="1514"/>
      <c r="AK31" s="1514"/>
      <c r="AL31" s="1514"/>
      <c r="AM31" s="1514"/>
      <c r="AN31" s="1514"/>
      <c r="AO31" s="1514"/>
      <c r="AP31" s="1514"/>
      <c r="AQ31" s="1514"/>
      <c r="AR31" s="1514"/>
      <c r="AS31" s="1514"/>
      <c r="AT31" s="1514"/>
      <c r="AU31" s="1514"/>
      <c r="AV31" s="1514"/>
      <c r="AW31" s="1514"/>
      <c r="AX31" s="1514"/>
      <c r="AY31" s="1514"/>
      <c r="AZ31" s="1514"/>
      <c r="BA31" s="1514"/>
      <c r="BB31" s="1514"/>
      <c r="BC31" s="1514"/>
      <c r="BD31" s="1514"/>
      <c r="BE31" s="1515"/>
      <c r="BI31" s="722" t="s">
        <v>326</v>
      </c>
      <c r="BJ31" s="722">
        <v>6</v>
      </c>
      <c r="BK31" s="722" t="s">
        <v>324</v>
      </c>
      <c r="BL31" s="723">
        <f t="shared" si="5"/>
        <v>63.639550000000007</v>
      </c>
      <c r="BM31" s="724">
        <v>51.53</v>
      </c>
      <c r="BN31" s="725">
        <v>1.2350000000000001</v>
      </c>
      <c r="BO31" s="136"/>
      <c r="BP31" s="725">
        <v>2</v>
      </c>
      <c r="BQ31" s="726">
        <f t="shared" si="6"/>
        <v>0</v>
      </c>
      <c r="BR31" s="727"/>
      <c r="BS31" s="727"/>
      <c r="BT31" s="136"/>
      <c r="BU31" s="725">
        <v>2</v>
      </c>
      <c r="BX31" s="666" t="str">
        <f t="shared" si="3"/>
        <v>Mar</v>
      </c>
      <c r="BY31" s="728">
        <f>IF(CB31=$CB38,SUMIF($BI26:$BI37,$BX31,$BR26:$BR37),SUMIF($BI26:$BI37,$BX31,$BM26:$BM37))</f>
        <v>51.53</v>
      </c>
      <c r="BZ31" s="725">
        <f>IF(IF(CB31=CB38,SUMIF(BI26:BI37,$BX31,BU26:BU37),SUMIF(BI26:BI37,$BX31,BP26:BP37))=0,NA(),IF(CB31=CB38,SUMIF(BI26:BI37,$BX31,BU26:BU37),SUMIF(BI26:BI37,$BX31,BP26:BP37)))</f>
        <v>2</v>
      </c>
      <c r="CA31" s="729">
        <f>IF(IF(CB31=CB38,SUMIF(BI26:BI37,$BX31,BS26:BS37),SUMIF(BI26:BI37,$BX31,BN26:BN37))=0,NA(),IF(CB31=CB38,SUMIF(BI26:BI37,$BX31,BS26:BS37),SUMIF(BI26:BI37,$BX31,BN26:BN37)))</f>
        <v>1.2350000000000001</v>
      </c>
      <c r="CB31" s="730">
        <v>20</v>
      </c>
      <c r="CC31" s="730">
        <f t="shared" si="4"/>
        <v>3</v>
      </c>
    </row>
    <row r="32" spans="2:81" ht="14.65" customHeight="1">
      <c r="B32" s="1516"/>
      <c r="C32" s="1517"/>
      <c r="D32" s="1517"/>
      <c r="E32" s="1517"/>
      <c r="F32" s="1517"/>
      <c r="G32" s="1517"/>
      <c r="H32" s="1517"/>
      <c r="I32" s="1517"/>
      <c r="J32" s="1517"/>
      <c r="K32" s="1517"/>
      <c r="L32" s="1517"/>
      <c r="M32" s="1517"/>
      <c r="N32" s="1517"/>
      <c r="O32" s="1517"/>
      <c r="P32" s="1517"/>
      <c r="Q32" s="1517"/>
      <c r="R32" s="1517"/>
      <c r="S32" s="1517"/>
      <c r="T32" s="1517"/>
      <c r="U32" s="1517"/>
      <c r="V32" s="1517"/>
      <c r="W32" s="1517"/>
      <c r="X32" s="1517"/>
      <c r="Y32" s="1517"/>
      <c r="Z32" s="1517"/>
      <c r="AA32" s="1517"/>
      <c r="AB32" s="1518"/>
      <c r="AE32" s="1516"/>
      <c r="AF32" s="1517"/>
      <c r="AG32" s="1517"/>
      <c r="AH32" s="1517"/>
      <c r="AI32" s="1517"/>
      <c r="AJ32" s="1517"/>
      <c r="AK32" s="1517"/>
      <c r="AL32" s="1517"/>
      <c r="AM32" s="1517"/>
      <c r="AN32" s="1517"/>
      <c r="AO32" s="1517"/>
      <c r="AP32" s="1517"/>
      <c r="AQ32" s="1517"/>
      <c r="AR32" s="1517"/>
      <c r="AS32" s="1517"/>
      <c r="AT32" s="1517"/>
      <c r="AU32" s="1517"/>
      <c r="AV32" s="1517"/>
      <c r="AW32" s="1517"/>
      <c r="AX32" s="1517"/>
      <c r="AY32" s="1517"/>
      <c r="AZ32" s="1517"/>
      <c r="BA32" s="1517"/>
      <c r="BB32" s="1517"/>
      <c r="BC32" s="1517"/>
      <c r="BD32" s="1517"/>
      <c r="BE32" s="1518"/>
      <c r="BI32" s="722" t="s">
        <v>327</v>
      </c>
      <c r="BJ32" s="722">
        <v>7</v>
      </c>
      <c r="BK32" s="722" t="s">
        <v>328</v>
      </c>
      <c r="BL32" s="723">
        <f t="shared" si="5"/>
        <v>69.288117</v>
      </c>
      <c r="BM32" s="724">
        <v>54.429000000000002</v>
      </c>
      <c r="BN32" s="725">
        <v>1.2729999999999999</v>
      </c>
      <c r="BO32" s="140">
        <f>IF(SUM(BM32:BM34=0),0,SUM(BL32:BL34)/SUM(BM32:BM34))</f>
        <v>1.4211933161302215</v>
      </c>
      <c r="BP32" s="725">
        <v>2</v>
      </c>
      <c r="BQ32" s="726">
        <f t="shared" si="6"/>
        <v>0</v>
      </c>
      <c r="BR32" s="727"/>
      <c r="BS32" s="727"/>
      <c r="BT32" s="140">
        <f>IF(SUM(BR32:BR34=0),0,SUM(BQ32:BQ34)/SUM(BR32:BR34))</f>
        <v>0</v>
      </c>
      <c r="BU32" s="725">
        <v>3</v>
      </c>
      <c r="BX32" s="666" t="str">
        <f t="shared" si="3"/>
        <v>Apr</v>
      </c>
      <c r="BY32" s="728">
        <f>IF(CB32=$CB38,SUMIF($BI26:$BI37,$BX32,$BR26:$BR37),SUMIF($BI26:$BI37,$BX32,$BM26:$BM37))</f>
        <v>54.429000000000002</v>
      </c>
      <c r="BZ32" s="725">
        <f>IF(IF(CB32=CB38,SUMIF(BI26:BI37,$BX32,BU26:BU37),SUMIF(BI26:BI37,$BX32,BP26:BP37))=0,NA(),IF(CB32=CB38,SUMIF(BI26:BI37,$BX32,BU26:BU37),SUMIF(BI26:BI37,$BX32,BP26:BP37)))</f>
        <v>2</v>
      </c>
      <c r="CA32" s="729">
        <f>IF(IF(CB32=CB38,SUMIF(BI26:BI37,$BX32,BS26:BS37),SUMIF(BI26:BI37,$BX32,BN26:BN37))=0,NA(),IF(CB32=CB38,SUMIF(BI26:BI37,$BX32,BS26:BS37),SUMIF(BI26:BI37,$BX32,BN26:BN37)))</f>
        <v>1.2729999999999999</v>
      </c>
      <c r="CB32" s="730">
        <v>20</v>
      </c>
      <c r="CC32" s="730">
        <f t="shared" si="4"/>
        <v>4</v>
      </c>
    </row>
    <row r="33" spans="1:81" ht="14.65" customHeight="1">
      <c r="BI33" s="722" t="s">
        <v>329</v>
      </c>
      <c r="BJ33" s="722">
        <v>8</v>
      </c>
      <c r="BK33" s="722" t="s">
        <v>328</v>
      </c>
      <c r="BL33" s="723">
        <f t="shared" si="5"/>
        <v>13.326599999999999</v>
      </c>
      <c r="BM33" s="724">
        <v>11.69</v>
      </c>
      <c r="BN33" s="725">
        <v>1.1399999999999999</v>
      </c>
      <c r="BO33" s="136"/>
      <c r="BP33" s="725">
        <v>2</v>
      </c>
      <c r="BQ33" s="726">
        <f t="shared" si="6"/>
        <v>0</v>
      </c>
      <c r="BR33" s="727"/>
      <c r="BS33" s="727"/>
      <c r="BT33" s="136"/>
      <c r="BU33" s="725">
        <v>3</v>
      </c>
      <c r="BX33" s="666" t="str">
        <f t="shared" si="3"/>
        <v>May</v>
      </c>
      <c r="BY33" s="728">
        <f>IF(CB33=$CB38,SUMIF($BI26:$BI37,$BX33,$BR26:$BR37),SUMIF($BI26:$BI37,$BX33,$BM26:$BM37))</f>
        <v>11.69</v>
      </c>
      <c r="BZ33" s="725">
        <f>IF(IF(CB33=CB38,SUMIF(BI26:BI37,$BX33,BU26:BU37),SUMIF(BI26:BI37,$BX33,BP26:BP37))=0,NA(),IF(CB33=CB38,SUMIF(BI26:BI37,$BX33,BU26:BU37),SUMIF(BI26:BI37,$BX33,BP26:BP37)))</f>
        <v>2</v>
      </c>
      <c r="CA33" s="729">
        <f>IF(IF(CB33=CB38,SUMIF(BI26:BI37,$BX33,BS26:BS37),SUMIF(BI26:BI37,$BX33,BN26:BN37))=0,NA(),IF(CB33=CB38,SUMIF(BI26:BI37,$BX33,BS26:BS37),SUMIF(BI26:BI37,$BX33,BN26:BN37)))</f>
        <v>1.1399999999999999</v>
      </c>
      <c r="CB33" s="730">
        <v>20</v>
      </c>
      <c r="CC33" s="730">
        <f t="shared" si="4"/>
        <v>5</v>
      </c>
    </row>
    <row r="34" spans="1:81" ht="14.65" customHeight="1">
      <c r="B34" s="12" t="s">
        <v>330</v>
      </c>
      <c r="C34" s="13"/>
      <c r="D34" s="13"/>
      <c r="E34" s="13"/>
      <c r="F34" s="13"/>
      <c r="G34" s="17"/>
      <c r="H34" s="17"/>
      <c r="I34" s="17"/>
      <c r="J34" s="17"/>
      <c r="K34" s="17"/>
      <c r="L34" s="18"/>
      <c r="M34" s="13"/>
      <c r="N34" s="13"/>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I34" s="722" t="s">
        <v>331</v>
      </c>
      <c r="BJ34" s="722">
        <v>9</v>
      </c>
      <c r="BK34" s="722" t="s">
        <v>328</v>
      </c>
      <c r="BL34" s="723">
        <f t="shared" si="5"/>
        <v>40.753390000000003</v>
      </c>
      <c r="BM34" s="724">
        <v>20.687000000000001</v>
      </c>
      <c r="BN34" s="724">
        <v>1.97</v>
      </c>
      <c r="BO34" s="136"/>
      <c r="BP34" s="725">
        <v>2</v>
      </c>
      <c r="BQ34" s="726">
        <f t="shared" si="6"/>
        <v>0</v>
      </c>
      <c r="BR34" s="727"/>
      <c r="BS34" s="727"/>
      <c r="BT34" s="136"/>
      <c r="BU34" s="725">
        <v>3</v>
      </c>
      <c r="BX34" s="666" t="str">
        <f t="shared" si="3"/>
        <v>Jun</v>
      </c>
      <c r="BY34" s="728">
        <f>IF(CB34=$CB38,SUMIF($BI26:$BI37,$BX34,$BR26:$BR37),SUMIF($BI26:$BI37,$BX34,$BM26:$BM37))</f>
        <v>20.687000000000001</v>
      </c>
      <c r="BZ34" s="725">
        <f>IF(IF(CB34=CB38,SUMIF(BI26:BI37,$BX34,BU26:BU37),SUMIF(BI26:BI37,$BX34,BP26:BP37))=0,NA(),IF(CB34=CB38,SUMIF(BI26:BI37,$BX34,BU26:BU37),SUMIF(BI26:BI37,$BX34,BP26:BP37)))</f>
        <v>2</v>
      </c>
      <c r="CA34" s="729">
        <f>IF(IF(CB34=CB38,SUMIF(BI26:BI37,$BX34,BS26:BS37),SUMIF(BI26:BI37,$BX34,BN26:BN37))=0,NA(),IF(CB34=CB38,SUMIF(BI26:BI37,$BX34,BS26:BS37),SUMIF(BI26:BI37,$BX34,BN26:BN37)))</f>
        <v>1.97</v>
      </c>
      <c r="CB34" s="730">
        <v>20</v>
      </c>
      <c r="CC34" s="730">
        <f t="shared" si="4"/>
        <v>6</v>
      </c>
    </row>
    <row r="35" spans="1:81" s="43" customFormat="1" ht="16.149999999999999" customHeight="1">
      <c r="B35" s="1499" t="s">
        <v>332</v>
      </c>
      <c r="C35" s="1499"/>
      <c r="D35" s="1499"/>
      <c r="E35" s="1499"/>
      <c r="F35" s="1499"/>
      <c r="G35" s="1499"/>
      <c r="H35" s="1499"/>
      <c r="I35" s="1499"/>
      <c r="J35" s="1499"/>
      <c r="K35" s="1499" t="s">
        <v>528</v>
      </c>
      <c r="L35" s="1499"/>
      <c r="M35" s="1499"/>
      <c r="N35" s="1499"/>
      <c r="O35" s="1499"/>
      <c r="P35" s="1499"/>
      <c r="Q35" s="1500" t="s">
        <v>529</v>
      </c>
      <c r="R35" s="1500"/>
      <c r="S35" s="1500"/>
      <c r="T35" s="1499" t="s">
        <v>530</v>
      </c>
      <c r="U35" s="1499"/>
      <c r="V35" s="1499"/>
      <c r="W35" s="1499"/>
      <c r="X35" s="1499"/>
      <c r="Y35" s="1499"/>
      <c r="Z35" s="1499"/>
      <c r="AA35" s="1499"/>
      <c r="AB35" s="1499"/>
      <c r="AC35" s="1501" t="s">
        <v>336</v>
      </c>
      <c r="AD35" s="1502"/>
      <c r="AE35" s="1502"/>
      <c r="AF35" s="1502"/>
      <c r="AG35" s="1502"/>
      <c r="AH35" s="1502"/>
      <c r="AI35" s="1502"/>
      <c r="AJ35" s="1502"/>
      <c r="AK35" s="1502"/>
      <c r="AL35" s="1502"/>
      <c r="AM35" s="1502"/>
      <c r="AN35" s="1502"/>
      <c r="AO35" s="1502"/>
      <c r="AP35" s="1502"/>
      <c r="AQ35" s="1502"/>
      <c r="AR35" s="1502"/>
      <c r="AS35" s="1502"/>
      <c r="AT35" s="1502"/>
      <c r="AU35" s="1502"/>
      <c r="AV35" s="1502"/>
      <c r="AW35" s="1502"/>
      <c r="AX35" s="1502"/>
      <c r="AY35" s="1502"/>
      <c r="AZ35" s="1502"/>
      <c r="BA35" s="1502"/>
      <c r="BB35" s="1502"/>
      <c r="BC35" s="1502"/>
      <c r="BD35" s="1502"/>
      <c r="BE35" s="1503"/>
      <c r="BH35" s="223"/>
      <c r="BI35" s="722" t="s">
        <v>337</v>
      </c>
      <c r="BJ35" s="722">
        <v>10</v>
      </c>
      <c r="BK35" s="722" t="s">
        <v>338</v>
      </c>
      <c r="BL35" s="723">
        <f t="shared" si="5"/>
        <v>57.150189999999988</v>
      </c>
      <c r="BM35" s="724">
        <v>22.768999999999998</v>
      </c>
      <c r="BN35" s="724">
        <v>2.5099999999999998</v>
      </c>
      <c r="BO35" s="140">
        <f>IF(SUM(BM35:BM37=0),0,SUM(BL35:BL37)/SUM(BM35:BM37))</f>
        <v>3.0314611988526399</v>
      </c>
      <c r="BP35" s="725">
        <v>2</v>
      </c>
      <c r="BQ35" s="726">
        <f t="shared" si="6"/>
        <v>0</v>
      </c>
      <c r="BR35" s="727"/>
      <c r="BS35" s="727"/>
      <c r="BT35" s="140">
        <f>IF(SUM(BR35:BR37=0),0,SUM(BQ35:BQ37)/SUM(BR35:BR37))</f>
        <v>0</v>
      </c>
      <c r="BU35" s="725">
        <v>3</v>
      </c>
      <c r="BV35"/>
      <c r="BW35" s="6"/>
      <c r="BX35" s="666" t="str">
        <f t="shared" si="3"/>
        <v>Jul</v>
      </c>
      <c r="BY35" s="728">
        <f>IF(CB35=$CB38,SUMIF($BI26:$BI37,$BX35,$BR26:$BR37),SUMIF($BI26:$BI37,$BX35,$BM26:$BM37))</f>
        <v>22.768999999999998</v>
      </c>
      <c r="BZ35" s="725">
        <f>IF(IF(CB35=CB38,SUMIF(BI26:BI37,$BX35,BU26:BU37),SUMIF(BI26:BI37,$BX35,BP26:BP37))=0,NA(),IF(CB35=CB38,SUMIF(BI26:BI37,$BX35,BU26:BU37),SUMIF(BI26:BI37,$BX35,BP26:BP37)))</f>
        <v>2</v>
      </c>
      <c r="CA35" s="729">
        <f>IF(IF(CB35=CB38,SUMIF(BI26:BI37,$BX35,BS26:BS37),SUMIF(BI26:BI37,$BX35,BN26:BN37))=0,NA(),IF(CB35=CB38,SUMIF(BI26:BI37,$BX35,BS26:BS37),SUMIF(BI26:BI37,$BX35,BN26:BN37)))</f>
        <v>2.5099999999999998</v>
      </c>
      <c r="CB35" s="730">
        <v>20</v>
      </c>
      <c r="CC35" s="730">
        <f t="shared" si="4"/>
        <v>7</v>
      </c>
    </row>
    <row r="36" spans="1:81" s="43" customFormat="1" ht="16.149999999999999" customHeight="1">
      <c r="B36" s="1499"/>
      <c r="C36" s="1499"/>
      <c r="D36" s="1499"/>
      <c r="E36" s="1499"/>
      <c r="F36" s="1499"/>
      <c r="G36" s="1499"/>
      <c r="H36" s="1499"/>
      <c r="I36" s="1499"/>
      <c r="J36" s="1499"/>
      <c r="K36" s="1499" t="s">
        <v>23</v>
      </c>
      <c r="L36" s="1499"/>
      <c r="M36" s="1499"/>
      <c r="N36" s="1499" t="s">
        <v>339</v>
      </c>
      <c r="O36" s="1499"/>
      <c r="P36" s="1499"/>
      <c r="Q36" s="1500"/>
      <c r="R36" s="1500"/>
      <c r="S36" s="1500"/>
      <c r="T36" s="1500" t="s">
        <v>340</v>
      </c>
      <c r="U36" s="1500"/>
      <c r="V36" s="1500"/>
      <c r="W36" s="1500" t="s">
        <v>341</v>
      </c>
      <c r="X36" s="1500"/>
      <c r="Y36" s="1500"/>
      <c r="Z36" s="1500" t="s">
        <v>342</v>
      </c>
      <c r="AA36" s="1500"/>
      <c r="AB36" s="1500"/>
      <c r="AC36" s="1504"/>
      <c r="AD36" s="1505"/>
      <c r="AE36" s="1505"/>
      <c r="AF36" s="1505"/>
      <c r="AG36" s="1505"/>
      <c r="AH36" s="1505"/>
      <c r="AI36" s="1505"/>
      <c r="AJ36" s="1505"/>
      <c r="AK36" s="1505"/>
      <c r="AL36" s="1505"/>
      <c r="AM36" s="1505"/>
      <c r="AN36" s="1505"/>
      <c r="AO36" s="1505"/>
      <c r="AP36" s="1505"/>
      <c r="AQ36" s="1505"/>
      <c r="AR36" s="1505"/>
      <c r="AS36" s="1505"/>
      <c r="AT36" s="1505"/>
      <c r="AU36" s="1505"/>
      <c r="AV36" s="1505"/>
      <c r="AW36" s="1505"/>
      <c r="AX36" s="1505"/>
      <c r="AY36" s="1505"/>
      <c r="AZ36" s="1505"/>
      <c r="BA36" s="1505"/>
      <c r="BB36" s="1505"/>
      <c r="BC36" s="1505"/>
      <c r="BD36" s="1505"/>
      <c r="BE36" s="1506"/>
      <c r="BH36" s="223"/>
      <c r="BI36" s="722" t="s">
        <v>343</v>
      </c>
      <c r="BJ36" s="722">
        <v>11</v>
      </c>
      <c r="BK36" s="722" t="s">
        <v>338</v>
      </c>
      <c r="BL36" s="723">
        <f t="shared" si="5"/>
        <v>81.125100000000003</v>
      </c>
      <c r="BM36" s="724">
        <v>34.229999999999997</v>
      </c>
      <c r="BN36" s="725">
        <v>2.37</v>
      </c>
      <c r="BO36"/>
      <c r="BP36" s="725">
        <v>2</v>
      </c>
      <c r="BQ36" s="726">
        <f t="shared" si="6"/>
        <v>0</v>
      </c>
      <c r="BR36" s="727"/>
      <c r="BS36" s="727"/>
      <c r="BT36"/>
      <c r="BU36" s="725">
        <v>3</v>
      </c>
      <c r="BV36"/>
      <c r="BW36" s="6"/>
      <c r="BX36" s="666" t="str">
        <f t="shared" si="3"/>
        <v>Aug</v>
      </c>
      <c r="BY36" s="728">
        <f>IF(CB36=$CB38,SUMIF($BI26:$BI37,$BX36,$BR26:$BR37),SUMIF($BI26:$BI37,$BX36,$BM26:$BM37))</f>
        <v>34.229999999999997</v>
      </c>
      <c r="BZ36" s="725">
        <f>IF(IF(CB36=CB38,SUMIF(BI26:BI37,$BX36,BU26:BU37),SUMIF(BI26:BI37,$BX36,BP26:BP37))=0,NA(),IF(CB36=CB38,SUMIF(BI26:BI37,$BX36,BU26:BU37),SUMIF(BI26:BI37,$BX36,BP26:BP37)))</f>
        <v>2</v>
      </c>
      <c r="CA36" s="729">
        <f>IF(IF(CB36=CB38,SUMIF(BI26:BI37,$BX36,BS26:BS37),SUMIF(BI26:BI37,$BX36,BN26:BN37))=0,NA(),IF(CB36=CB38,SUMIF(BI26:BI37,$BX36,BS26:BS37),SUMIF(BI26:BI37,$BX36,BN26:BN37)))</f>
        <v>2.37</v>
      </c>
      <c r="CB36" s="730">
        <v>20</v>
      </c>
      <c r="CC36" s="730">
        <f t="shared" si="4"/>
        <v>8</v>
      </c>
    </row>
    <row r="37" spans="1:81" s="43" customFormat="1" ht="16.149999999999999" customHeight="1">
      <c r="A37" s="6"/>
      <c r="B37" s="1499"/>
      <c r="C37" s="1499"/>
      <c r="D37" s="1499"/>
      <c r="E37" s="1499"/>
      <c r="F37" s="1499"/>
      <c r="G37" s="1499"/>
      <c r="H37" s="1499"/>
      <c r="I37" s="1499"/>
      <c r="J37" s="1499"/>
      <c r="K37" s="1499"/>
      <c r="L37" s="1499"/>
      <c r="M37" s="1499"/>
      <c r="N37" s="1499"/>
      <c r="O37" s="1499"/>
      <c r="P37" s="1499"/>
      <c r="Q37" s="1500"/>
      <c r="R37" s="1500"/>
      <c r="S37" s="1500"/>
      <c r="T37" s="1500"/>
      <c r="U37" s="1500"/>
      <c r="V37" s="1500"/>
      <c r="W37" s="1500"/>
      <c r="X37" s="1500"/>
      <c r="Y37" s="1500"/>
      <c r="Z37" s="1500"/>
      <c r="AA37" s="1500"/>
      <c r="AB37" s="1500"/>
      <c r="AC37" s="1507"/>
      <c r="AD37" s="1508"/>
      <c r="AE37" s="1508"/>
      <c r="AF37" s="1508"/>
      <c r="AG37" s="1508"/>
      <c r="AH37" s="1508"/>
      <c r="AI37" s="1508"/>
      <c r="AJ37" s="1508"/>
      <c r="AK37" s="1508"/>
      <c r="AL37" s="1508"/>
      <c r="AM37" s="1508"/>
      <c r="AN37" s="1508"/>
      <c r="AO37" s="1508"/>
      <c r="AP37" s="1508"/>
      <c r="AQ37" s="1508"/>
      <c r="AR37" s="1508"/>
      <c r="AS37" s="1508"/>
      <c r="AT37" s="1508"/>
      <c r="AU37" s="1508"/>
      <c r="AV37" s="1508"/>
      <c r="AW37" s="1508"/>
      <c r="AX37" s="1508"/>
      <c r="AY37" s="1508"/>
      <c r="AZ37" s="1508"/>
      <c r="BA37" s="1508"/>
      <c r="BB37" s="1508"/>
      <c r="BC37" s="1508"/>
      <c r="BD37" s="1508"/>
      <c r="BE37" s="1509"/>
      <c r="BI37" s="722" t="s">
        <v>344</v>
      </c>
      <c r="BJ37" s="722">
        <v>12</v>
      </c>
      <c r="BK37" s="722" t="s">
        <v>338</v>
      </c>
      <c r="BL37" s="726">
        <f t="shared" si="5"/>
        <v>212.59815499999999</v>
      </c>
      <c r="BM37" s="724">
        <v>58.744999999999997</v>
      </c>
      <c r="BN37" s="725">
        <v>3.6190000000000002</v>
      </c>
      <c r="BO37"/>
      <c r="BP37" s="725">
        <v>2</v>
      </c>
      <c r="BQ37" s="726">
        <f t="shared" si="6"/>
        <v>0</v>
      </c>
      <c r="BR37" s="727"/>
      <c r="BS37" s="727"/>
      <c r="BT37"/>
      <c r="BU37" s="725">
        <v>3</v>
      </c>
      <c r="BV37"/>
      <c r="BW37" s="6"/>
      <c r="BX37" s="666" t="str">
        <f t="shared" si="3"/>
        <v>Sep</v>
      </c>
      <c r="BY37" s="728">
        <f>IF(CB37=$CB38,SUMIF($BI26:$BI37,$BX37,$BR26:$BR37),SUMIF($BI26:$BI37,$BX37,$BM26:$BM37))</f>
        <v>58.744999999999997</v>
      </c>
      <c r="BZ37" s="725">
        <f>IF(IF(CB37=CB38,SUMIF(BI26:BI37,$BX37,BU26:BU37),SUMIF(BI26:BI37,$BX37,BP26:BP37))=0,NA(),IF(CB37=CB38,SUMIF(BI26:BI37,$BX37,BU26:BU37),SUMIF(BI26:BI37,$BX37,BP26:BP37)))</f>
        <v>2</v>
      </c>
      <c r="CA37" s="729">
        <f>IF(IF(CB37=CB38,SUMIF(BI26:BI37,$BX37,BS26:BS37),SUMIF(BI26:BI37,$BX37,BN26:BN37))=0,NA(),IF(CB37=CB38,SUMIF(BI26:BI37,$BX37,BS26:BS37),SUMIF(BI26:BI37,$BX37,BN26:BN37)))</f>
        <v>3.6190000000000002</v>
      </c>
      <c r="CB37" s="730">
        <v>20</v>
      </c>
      <c r="CC37" s="730">
        <f>IF(CC38-1&lt;1,CC38+11,CC38-1)</f>
        <v>9</v>
      </c>
    </row>
    <row r="38" spans="1:81" s="43" customFormat="1" ht="46.9" customHeight="1">
      <c r="A38" s="6"/>
      <c r="B38" s="1541" t="s">
        <v>531</v>
      </c>
      <c r="C38" s="1542"/>
      <c r="D38" s="1542"/>
      <c r="E38" s="1542"/>
      <c r="F38" s="1542"/>
      <c r="G38" s="1542"/>
      <c r="H38" s="1542"/>
      <c r="I38" s="1542"/>
      <c r="J38" s="1542"/>
      <c r="K38" s="1520">
        <f>SUMIF(HRSO!$BJ$26:$BJ$37,Cover!$M$36,HRSO!$BN$26:$BN$37)</f>
        <v>3.36</v>
      </c>
      <c r="L38" s="1520"/>
      <c r="M38" s="1520"/>
      <c r="N38" s="1520">
        <f>SUMIF(HRSO!$BK$26:$BK$37,Cover!$M$35,HRSO!$BO$26:$BO$37)</f>
        <v>2.8955833088451364</v>
      </c>
      <c r="O38" s="1520"/>
      <c r="P38" s="1520"/>
      <c r="Q38" s="1540">
        <f>SUMIF(HRSO!$BJ$26:$BJ$37,Cover!$M$36,HRSO!$BU$26:$BU$37)</f>
        <v>2</v>
      </c>
      <c r="R38" s="1540"/>
      <c r="S38" s="1540"/>
      <c r="T38" s="1520">
        <f>IF(Cover!$M$36=1,SUMIF($BJ$26:$BJ$37,12,$BN$26:$BN$37),SUMIF(HRSO!$BJ$26:$BJ$37,Cover!$M$36-1,HRSO!$BS$26:$BS$37))</f>
        <v>3.6190000000000002</v>
      </c>
      <c r="U38" s="1520"/>
      <c r="V38" s="1520"/>
      <c r="W38" s="1520">
        <f>SUMIF(HRSO!$BJ$26:$BJ$37,Cover!$M$36,HRSO!$BS$26:$BS$37)</f>
        <v>3.42</v>
      </c>
      <c r="X38" s="1520"/>
      <c r="Y38" s="1520"/>
      <c r="Z38" s="1520">
        <f>SUMIF(HRSO!$BK$26:$BK$37,Cover!$M$35,HRSO!$BT$26:$BT$37)</f>
        <v>3.42</v>
      </c>
      <c r="AA38" s="1520"/>
      <c r="AB38" s="1520"/>
      <c r="AC38" s="1543" t="s">
        <v>532</v>
      </c>
      <c r="AD38" s="1544"/>
      <c r="AE38" s="1544"/>
      <c r="AF38" s="1544"/>
      <c r="AG38" s="1544"/>
      <c r="AH38" s="1544"/>
      <c r="AI38" s="1544"/>
      <c r="AJ38" s="1544"/>
      <c r="AK38" s="1544"/>
      <c r="AL38" s="1544"/>
      <c r="AM38" s="1544"/>
      <c r="AN38" s="1544"/>
      <c r="AO38" s="1544"/>
      <c r="AP38" s="1544"/>
      <c r="AQ38" s="1544"/>
      <c r="AR38" s="1544"/>
      <c r="AS38" s="1544"/>
      <c r="AT38" s="1544"/>
      <c r="AU38" s="1544"/>
      <c r="AV38" s="1544"/>
      <c r="AW38" s="1544"/>
      <c r="AX38" s="1544"/>
      <c r="AY38" s="1544"/>
      <c r="AZ38" s="1544"/>
      <c r="BA38" s="1544"/>
      <c r="BB38" s="1544"/>
      <c r="BC38" s="1544"/>
      <c r="BD38" s="1544"/>
      <c r="BE38" s="1545"/>
      <c r="BH38" s="160">
        <f>IF(Q38=0,4,IF(W38=0,0,IF(Q38="","",IF(W38&lt;=Q38,1,IF(W38&gt;Q38/0.9,3,2)))))</f>
        <v>3</v>
      </c>
      <c r="BI38"/>
      <c r="BJ38" s="2"/>
      <c r="BK38" s="2"/>
      <c r="BL38" s="2"/>
      <c r="BM38" s="2"/>
      <c r="BN38" s="2"/>
      <c r="BO38" s="2"/>
      <c r="BP38" s="2"/>
      <c r="BQ38" s="2"/>
      <c r="BR38"/>
      <c r="BS38" s="2"/>
      <c r="BT38" s="6"/>
      <c r="BU38" s="6"/>
      <c r="BV38"/>
      <c r="BW38" s="667" t="str">
        <f>Cover!$M$34</f>
        <v>OCT FY-24</v>
      </c>
      <c r="BX38" s="666" t="str">
        <f>TEXT(CONCATENATE(CC38,"/01/20",CB38),"MMM")</f>
        <v>Oct</v>
      </c>
      <c r="BY38" s="728">
        <f>SUMIF($BI26:$BI37,$BX38,$BR26:$BR37)</f>
        <v>25.925000000000001</v>
      </c>
      <c r="BZ38" s="725">
        <f>IF(IF(CB38=CB38,SUMIF(BI26:BI37,$BX38,BU26:BU37),SUMIF(BI26:BI37,$BX38,BP26:BP37))=0,NA(),IF(CB38=CB38,SUMIF(BI26:BI37,$BX38,BU26:BU37),SUMIF(BI26:BI37,$BX38,BP26:BP37)))</f>
        <v>2</v>
      </c>
      <c r="CA38" s="729">
        <f>IF(SUMIF($BI26:$BI37,$BX38,$BS26:$BS37)=0,NA(),SUMIF($BI26:$BI37,$BX38,$BS26:$BS37))</f>
        <v>3.42</v>
      </c>
      <c r="CB38" s="730">
        <v>21</v>
      </c>
      <c r="CC38" s="730">
        <f>MONTH(DATEVALUE(LEFT(BW38,3)&amp;" 1"))</f>
        <v>10</v>
      </c>
    </row>
    <row r="39" spans="1:81" ht="14.65" customHeight="1">
      <c r="B39" s="14"/>
      <c r="C39" s="16"/>
      <c r="V39" s="16"/>
      <c r="W39" s="16"/>
      <c r="X39" s="16"/>
      <c r="Y39" s="15"/>
      <c r="Z39" s="15"/>
      <c r="AA39" s="15"/>
      <c r="AB39" s="15"/>
      <c r="AC39" s="15"/>
      <c r="AD39" s="42"/>
      <c r="AE39" s="16"/>
      <c r="AF39" s="16"/>
      <c r="BF39" s="43"/>
      <c r="BH39" s="43"/>
    </row>
    <row r="40" spans="1:81" customFormat="1" ht="14.65" customHeight="1">
      <c r="A40" s="6"/>
      <c r="B40" s="14"/>
      <c r="C40" s="16"/>
      <c r="D40" s="6"/>
      <c r="E40" s="6"/>
      <c r="F40" s="6"/>
      <c r="G40" s="6"/>
      <c r="H40" s="6"/>
      <c r="I40" s="6"/>
      <c r="J40" s="6"/>
      <c r="K40" s="6"/>
      <c r="L40" s="6"/>
      <c r="M40" s="6"/>
      <c r="N40" s="6"/>
      <c r="O40" s="6"/>
      <c r="P40" s="6"/>
      <c r="Q40" s="6"/>
      <c r="R40" s="6"/>
      <c r="S40" s="6"/>
      <c r="T40" s="6"/>
      <c r="U40" s="6"/>
      <c r="V40" s="16"/>
      <c r="W40" s="16"/>
      <c r="X40" s="16"/>
      <c r="Y40" s="15"/>
      <c r="Z40" s="15"/>
      <c r="AA40" s="15"/>
      <c r="AB40" s="15"/>
      <c r="AC40" s="15"/>
      <c r="AD40" s="42"/>
      <c r="AE40" s="16"/>
      <c r="AF40" s="1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43"/>
      <c r="BH40" s="43"/>
      <c r="BJ40" s="2"/>
      <c r="BK40" s="2"/>
      <c r="BL40" s="2"/>
      <c r="BM40" s="2"/>
      <c r="BN40" s="2"/>
      <c r="BO40" s="2"/>
      <c r="BP40" s="2"/>
      <c r="BQ40" s="2"/>
      <c r="BR40" s="2"/>
      <c r="BW40" s="6"/>
      <c r="BX40" s="6"/>
    </row>
    <row r="41" spans="1:81" ht="14.65" customHeight="1">
      <c r="B41" s="14"/>
      <c r="C41" s="16"/>
      <c r="V41" s="16"/>
      <c r="W41" s="16"/>
      <c r="X41" s="16"/>
      <c r="Y41" s="15"/>
      <c r="Z41" s="15"/>
      <c r="AA41" s="15"/>
      <c r="AB41" s="15"/>
      <c r="AC41" s="15"/>
      <c r="AD41" s="42"/>
      <c r="AE41" s="16"/>
      <c r="AF41" s="16"/>
      <c r="BH41" s="43"/>
      <c r="BJ41" s="6"/>
      <c r="BK41" s="6"/>
      <c r="BL41" s="6"/>
      <c r="BM41" s="6"/>
      <c r="BN41" s="6"/>
      <c r="BO41" s="6"/>
      <c r="BP41" s="6"/>
      <c r="BQ41" s="6"/>
      <c r="BR41" s="6"/>
      <c r="BS41" s="6"/>
      <c r="BT41" s="6"/>
      <c r="BU41" s="6"/>
      <c r="BW41"/>
      <c r="BX41"/>
    </row>
    <row r="42" spans="1:81" ht="14.65" customHeight="1">
      <c r="A42"/>
      <c r="B42" s="14"/>
      <c r="C42" s="16"/>
      <c r="V42" s="16"/>
      <c r="W42" s="16"/>
      <c r="X42" s="16"/>
      <c r="Y42" s="15"/>
      <c r="Z42" s="15"/>
      <c r="AA42" s="15"/>
      <c r="AB42" s="15"/>
      <c r="AC42" s="15"/>
      <c r="AD42" s="42"/>
      <c r="AE42" s="16"/>
      <c r="AF42" s="16"/>
      <c r="BF42"/>
      <c r="BJ42" s="6"/>
      <c r="BK42" s="6"/>
      <c r="BL42" s="6"/>
      <c r="BM42" s="6"/>
      <c r="BN42" s="6"/>
      <c r="BO42" s="6"/>
      <c r="BP42" s="6"/>
      <c r="BQ42" s="6"/>
      <c r="BR42" s="6"/>
      <c r="BS42" s="6"/>
      <c r="BT42" s="6"/>
      <c r="BU42" s="6"/>
      <c r="BY42"/>
      <c r="BZ42"/>
      <c r="CA42"/>
      <c r="CB42"/>
      <c r="CC42"/>
    </row>
    <row r="43" spans="1:81" ht="14.65" customHeight="1">
      <c r="B43" s="14"/>
      <c r="C43" s="16"/>
      <c r="V43" s="16"/>
      <c r="W43" s="16"/>
      <c r="X43" s="16"/>
      <c r="Y43" s="15"/>
      <c r="Z43" s="15"/>
      <c r="AA43" s="15"/>
      <c r="AB43" s="15"/>
      <c r="AC43" s="15"/>
      <c r="AD43" s="42"/>
      <c r="AE43" s="16"/>
      <c r="AF43" s="16"/>
      <c r="BJ43" s="6"/>
      <c r="BK43" s="6"/>
      <c r="BL43" s="6"/>
      <c r="BM43" s="6"/>
      <c r="BN43" s="6"/>
      <c r="BO43" s="6"/>
      <c r="BP43" s="6"/>
      <c r="BQ43" s="6"/>
      <c r="BR43" s="6"/>
      <c r="BS43" s="6"/>
      <c r="BT43" s="6"/>
      <c r="BU43" s="6"/>
      <c r="BW43" s="1493"/>
      <c r="BX43" s="1493"/>
      <c r="BY43" s="1493"/>
      <c r="BZ43" s="1493"/>
      <c r="CA43" s="1493"/>
      <c r="CB43" s="1493"/>
      <c r="CC43" s="1493"/>
    </row>
    <row r="44" spans="1:81" ht="14.65" customHeight="1">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J44" s="6"/>
      <c r="BK44" s="6"/>
      <c r="BL44" s="6"/>
      <c r="BM44" s="6"/>
      <c r="BN44" s="6"/>
      <c r="BO44" s="6"/>
      <c r="BP44" s="6"/>
      <c r="BQ44" s="6"/>
      <c r="BR44" s="6"/>
      <c r="BS44" s="6"/>
      <c r="BT44" s="6"/>
      <c r="BU44" s="6"/>
      <c r="BW44" s="215"/>
      <c r="BX44" s="215"/>
      <c r="BY44" s="216"/>
      <c r="BZ44" s="215"/>
      <c r="CA44" s="215"/>
      <c r="CB44" s="215"/>
      <c r="CC44" s="215"/>
    </row>
    <row r="45" spans="1:81" ht="14.65" customHeight="1">
      <c r="B45" s="45" t="s">
        <v>350</v>
      </c>
      <c r="C45" s="46"/>
      <c r="D45" s="46"/>
      <c r="E45" s="46"/>
      <c r="F45" s="46"/>
      <c r="G45" s="11"/>
      <c r="H45" s="11"/>
      <c r="I45" s="11"/>
      <c r="J45" s="11"/>
      <c r="K45" s="11"/>
      <c r="L45" s="48"/>
      <c r="M45" s="46"/>
      <c r="N45" s="46"/>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J45" s="6"/>
      <c r="BK45" s="6"/>
      <c r="BL45" s="6"/>
      <c r="BM45" s="6"/>
      <c r="BN45" s="6"/>
      <c r="BO45" s="6"/>
      <c r="BP45" s="6"/>
      <c r="BQ45" s="6"/>
      <c r="BR45" s="6"/>
      <c r="BS45" s="6"/>
      <c r="BT45" s="6"/>
      <c r="BU45" s="6"/>
      <c r="BY45" s="180"/>
      <c r="BZ45" s="176"/>
      <c r="CA45" s="217"/>
      <c r="CB45" s="192"/>
      <c r="CC45" s="192"/>
    </row>
    <row r="46" spans="1:81" ht="14.65" customHeight="1">
      <c r="F46" s="21"/>
      <c r="G46" s="22"/>
      <c r="BJ46" s="6"/>
      <c r="BK46" s="6"/>
      <c r="BL46" s="6"/>
      <c r="BM46" s="6"/>
      <c r="BN46" s="6"/>
      <c r="BO46" s="6"/>
      <c r="BP46" s="6"/>
      <c r="BQ46" s="6"/>
      <c r="BR46" s="6"/>
      <c r="BS46" s="6"/>
      <c r="BT46" s="6"/>
      <c r="BU46" s="6"/>
      <c r="BY46" s="180"/>
      <c r="BZ46" s="176"/>
      <c r="CA46" s="217"/>
      <c r="CB46" s="192"/>
      <c r="CC46" s="192"/>
    </row>
    <row r="47" spans="1:81" ht="14.65" customHeight="1">
      <c r="B47" s="52"/>
      <c r="F47" s="21"/>
      <c r="G47" s="22"/>
      <c r="AD47"/>
      <c r="BJ47" s="6"/>
      <c r="BK47" s="6"/>
      <c r="BL47" s="6"/>
      <c r="BM47" s="6"/>
      <c r="BN47" s="6"/>
      <c r="BO47" s="6"/>
      <c r="BP47" s="6"/>
      <c r="BQ47" s="6"/>
      <c r="BR47" s="6"/>
      <c r="BS47" s="6"/>
      <c r="BT47" s="6"/>
      <c r="BU47" s="6"/>
      <c r="BY47" s="180"/>
      <c r="BZ47" s="176"/>
      <c r="CA47" s="217"/>
      <c r="CB47" s="192"/>
      <c r="CC47" s="192"/>
    </row>
    <row r="48" spans="1:81" ht="14.65" customHeight="1">
      <c r="BJ48" s="6"/>
      <c r="BK48" s="6"/>
      <c r="BL48" s="6"/>
      <c r="BM48" s="6"/>
      <c r="BN48" s="6"/>
      <c r="BO48" s="6"/>
      <c r="BP48" s="6"/>
      <c r="BQ48" s="6"/>
      <c r="BR48" s="6"/>
      <c r="BS48" s="6"/>
      <c r="BT48" s="6"/>
      <c r="BU48" s="6"/>
      <c r="BY48" s="180"/>
      <c r="BZ48" s="176"/>
      <c r="CA48" s="217"/>
      <c r="CB48" s="192"/>
      <c r="CC48" s="192"/>
    </row>
    <row r="49" spans="2:81" ht="14.65" customHeight="1">
      <c r="BY49" s="180"/>
      <c r="BZ49" s="176"/>
      <c r="CA49" s="217"/>
      <c r="CB49" s="192"/>
      <c r="CC49" s="192"/>
    </row>
    <row r="50" spans="2:81" ht="14.65" customHeight="1">
      <c r="BJ50" s="6"/>
      <c r="BK50" s="6"/>
      <c r="BL50" s="6"/>
      <c r="BM50" s="6"/>
      <c r="BN50" s="6"/>
      <c r="BO50" s="6"/>
      <c r="BP50" s="6"/>
      <c r="BQ50" s="6"/>
      <c r="BR50" s="6"/>
      <c r="BS50" s="6"/>
      <c r="BT50" s="6"/>
      <c r="BU50" s="6"/>
      <c r="BY50" s="180"/>
      <c r="BZ50" s="176"/>
      <c r="CA50" s="217"/>
      <c r="CB50" s="192"/>
      <c r="CC50" s="192"/>
    </row>
    <row r="51" spans="2:81" ht="14.65" customHeight="1">
      <c r="BJ51" s="6"/>
      <c r="BK51" s="6"/>
      <c r="BL51" s="6"/>
      <c r="BM51" s="6"/>
      <c r="BN51" s="6"/>
      <c r="BO51" s="6"/>
      <c r="BP51" s="6"/>
      <c r="BQ51" s="6"/>
      <c r="BR51" s="6"/>
      <c r="BS51" s="6"/>
      <c r="BT51" s="6"/>
      <c r="BU51" s="6"/>
      <c r="BY51" s="180"/>
      <c r="BZ51" s="176"/>
      <c r="CA51" s="217"/>
      <c r="CB51" s="192"/>
      <c r="CC51" s="192"/>
    </row>
    <row r="52" spans="2:81" ht="14.65" customHeight="1">
      <c r="BJ52" s="6"/>
      <c r="BK52" s="6"/>
      <c r="BL52" s="6"/>
      <c r="BM52" s="6"/>
      <c r="BN52" s="6"/>
      <c r="BO52" s="6"/>
      <c r="BP52" s="6"/>
      <c r="BQ52" s="6"/>
      <c r="BR52" s="6"/>
      <c r="BS52" s="6"/>
      <c r="BT52" s="6"/>
      <c r="BU52" s="6"/>
      <c r="BY52" s="180"/>
      <c r="BZ52" s="176"/>
      <c r="CA52" s="217"/>
      <c r="CB52" s="192"/>
      <c r="CC52" s="192"/>
    </row>
    <row r="53" spans="2:81" ht="14.65" customHeight="1">
      <c r="BJ53" s="6"/>
      <c r="BK53" s="6"/>
      <c r="BL53" s="6"/>
      <c r="BM53" s="6"/>
      <c r="BN53" s="6"/>
      <c r="BO53" s="6"/>
      <c r="BP53" s="6"/>
      <c r="BQ53" s="6"/>
      <c r="BR53" s="6"/>
      <c r="BS53" s="6"/>
      <c r="BT53" s="6"/>
      <c r="BU53" s="6"/>
      <c r="BY53" s="180"/>
      <c r="BZ53" s="176"/>
      <c r="CA53" s="217"/>
      <c r="CB53" s="192"/>
      <c r="CC53" s="192"/>
    </row>
    <row r="54" spans="2:81" ht="14.65" customHeight="1">
      <c r="BJ54" s="6"/>
      <c r="BK54" s="6"/>
      <c r="BL54" s="6"/>
      <c r="BM54" s="6"/>
      <c r="BN54" s="6"/>
      <c r="BO54" s="6"/>
      <c r="BP54" s="6"/>
      <c r="BQ54" s="6"/>
      <c r="BR54" s="6"/>
      <c r="BS54" s="6"/>
      <c r="BT54" s="6"/>
      <c r="BU54" s="6"/>
      <c r="BY54" s="180"/>
      <c r="BZ54" s="176"/>
      <c r="CA54" s="217"/>
      <c r="CB54" s="192"/>
      <c r="CC54" s="192"/>
    </row>
    <row r="55" spans="2:81" ht="14.65" customHeight="1">
      <c r="BJ55" s="6"/>
      <c r="BK55" s="6"/>
      <c r="BL55" s="6"/>
      <c r="BM55" s="6"/>
      <c r="BN55" s="6"/>
      <c r="BO55" s="6"/>
      <c r="BP55" s="6"/>
      <c r="BQ55" s="6"/>
      <c r="BR55" s="6"/>
      <c r="BS55" s="6"/>
      <c r="BT55" s="6"/>
      <c r="BU55" s="6"/>
      <c r="BY55" s="180"/>
      <c r="BZ55" s="176"/>
      <c r="CA55" s="217"/>
      <c r="CB55" s="192"/>
      <c r="CC55" s="192"/>
    </row>
    <row r="56" spans="2:81" ht="14.65" customHeight="1">
      <c r="BJ56" s="6"/>
      <c r="BK56" s="6"/>
      <c r="BL56" s="6"/>
      <c r="BM56" s="6"/>
      <c r="BN56" s="6"/>
      <c r="BO56" s="6"/>
      <c r="BP56" s="6"/>
      <c r="BQ56" s="6"/>
      <c r="BR56" s="6"/>
      <c r="BS56" s="6"/>
      <c r="BT56" s="6"/>
      <c r="BU56" s="6"/>
      <c r="BY56" s="180"/>
      <c r="BZ56" s="176"/>
      <c r="CA56" s="217"/>
      <c r="CB56" s="192"/>
      <c r="CC56" s="192"/>
    </row>
    <row r="57" spans="2:81" ht="14.65" customHeight="1">
      <c r="BJ57" s="6"/>
      <c r="BK57" s="6"/>
      <c r="BL57" s="6"/>
      <c r="BM57" s="6"/>
      <c r="BN57" s="6"/>
      <c r="BO57" s="6"/>
      <c r="BP57" s="6"/>
      <c r="BQ57" s="6"/>
      <c r="BR57" s="6"/>
      <c r="BS57" s="6"/>
      <c r="BT57" s="6"/>
      <c r="BU57" s="6"/>
      <c r="BV57" s="6"/>
      <c r="BY57" s="180"/>
      <c r="BZ57" s="176"/>
      <c r="CA57" s="217"/>
      <c r="CB57" s="192"/>
      <c r="CC57" s="192"/>
    </row>
    <row r="58" spans="2:81" ht="14.65" customHeight="1">
      <c r="BJ58" s="6"/>
      <c r="BK58" s="6"/>
      <c r="BL58" s="6"/>
      <c r="BM58" s="6"/>
      <c r="BN58" s="6"/>
      <c r="BO58" s="6"/>
      <c r="BP58" s="6"/>
      <c r="BQ58" s="6"/>
      <c r="BR58" s="6"/>
      <c r="BS58" s="6"/>
      <c r="BT58" s="6"/>
      <c r="BU58" s="6"/>
      <c r="BV58" s="6"/>
    </row>
    <row r="59" spans="2:81" ht="14.65" customHeight="1">
      <c r="BJ59" s="6"/>
      <c r="BK59" s="6"/>
      <c r="BL59" s="6"/>
      <c r="BM59" s="6"/>
      <c r="BN59" s="6"/>
      <c r="BO59" s="6"/>
      <c r="BP59" s="6"/>
      <c r="BQ59" s="6"/>
      <c r="BR59" s="6"/>
      <c r="BS59" s="6"/>
      <c r="BT59" s="6"/>
      <c r="BU59" s="6"/>
      <c r="BV59" s="6"/>
    </row>
    <row r="60" spans="2:81" ht="14.65" customHeight="1">
      <c r="BJ60" s="6"/>
      <c r="BK60" s="6"/>
      <c r="BL60" s="6"/>
      <c r="BM60" s="6"/>
      <c r="BN60" s="6"/>
      <c r="BO60" s="6"/>
      <c r="BP60" s="6"/>
      <c r="BQ60" s="6"/>
      <c r="BR60" s="6"/>
      <c r="BS60" s="6"/>
      <c r="BT60" s="6"/>
      <c r="BU60" s="6"/>
      <c r="BV60" s="6"/>
    </row>
    <row r="61" spans="2:81" ht="14.65" customHeight="1">
      <c r="BJ61" s="6"/>
      <c r="BK61" s="6"/>
      <c r="BL61" s="6"/>
      <c r="BM61" s="6"/>
      <c r="BN61" s="6"/>
      <c r="BO61" s="6"/>
      <c r="BP61" s="6"/>
      <c r="BQ61" s="6"/>
      <c r="BR61" s="6"/>
      <c r="BS61" s="6"/>
      <c r="BT61" s="6"/>
      <c r="BU61" s="6"/>
      <c r="BV61" s="6"/>
    </row>
    <row r="62" spans="2:81" ht="14.65" customHeight="1">
      <c r="BJ62" s="6"/>
      <c r="BK62" s="6"/>
      <c r="BL62" s="6"/>
      <c r="BM62" s="6"/>
      <c r="BN62" s="6"/>
      <c r="BO62" s="6"/>
      <c r="BP62" s="6"/>
      <c r="BQ62" s="6"/>
      <c r="BR62" s="6"/>
      <c r="BS62" s="6"/>
      <c r="BT62" s="6"/>
      <c r="BU62" s="6"/>
      <c r="BV62" s="6"/>
    </row>
    <row r="63" spans="2:81" ht="14.65" customHeight="1">
      <c r="BJ63" s="6"/>
      <c r="BK63" s="6"/>
      <c r="BL63" s="6"/>
      <c r="BM63" s="6"/>
      <c r="BN63" s="6"/>
      <c r="BO63" s="6"/>
      <c r="BP63" s="6"/>
      <c r="BQ63" s="6"/>
      <c r="BR63" s="6"/>
      <c r="BS63" s="6"/>
      <c r="BT63" s="6"/>
      <c r="BU63" s="6"/>
      <c r="BV63" s="6"/>
    </row>
    <row r="64" spans="2:81" ht="14.65" customHeight="1">
      <c r="B64" s="44" t="s">
        <v>242</v>
      </c>
      <c r="C64" s="44"/>
      <c r="D64" s="44"/>
      <c r="E64" s="87"/>
      <c r="F64" s="94"/>
      <c r="G64" s="94"/>
      <c r="H64" s="94"/>
      <c r="I64" s="94"/>
      <c r="J64" s="94"/>
      <c r="K64" s="94"/>
      <c r="L64" s="94"/>
      <c r="M64" s="94"/>
      <c r="N64" s="94"/>
      <c r="O64" s="94"/>
      <c r="P64" s="94"/>
      <c r="Q64" s="94"/>
      <c r="R64" s="94"/>
      <c r="S64" s="94"/>
      <c r="T64" s="94"/>
      <c r="U64" s="94"/>
      <c r="V64" s="94"/>
      <c r="W64" s="94"/>
      <c r="X64" s="94"/>
      <c r="Y64" s="94"/>
      <c r="Z64" s="94"/>
      <c r="AA64" s="94"/>
      <c r="AB64" s="94"/>
      <c r="AE64" s="44"/>
      <c r="AF64" s="44"/>
      <c r="AG64" s="44"/>
      <c r="AH64" s="87"/>
      <c r="AI64" s="94"/>
      <c r="AJ64" s="94"/>
      <c r="AK64" s="94"/>
      <c r="AL64" s="94"/>
      <c r="AM64" s="94"/>
      <c r="AN64" s="94"/>
      <c r="AO64" s="94"/>
      <c r="AP64" s="94"/>
      <c r="AQ64" s="94"/>
      <c r="AR64" s="94"/>
      <c r="AS64" s="94"/>
      <c r="AT64" s="94"/>
      <c r="AU64" s="94"/>
      <c r="AV64" s="94"/>
      <c r="AW64" s="94"/>
      <c r="AX64" s="94"/>
      <c r="AY64" s="94"/>
      <c r="AZ64" s="94"/>
      <c r="BA64" s="94"/>
      <c r="BB64" s="94"/>
      <c r="BC64" s="94"/>
      <c r="BD64" s="94"/>
      <c r="BE64" s="94"/>
      <c r="BJ64" s="6"/>
      <c r="BK64" s="6"/>
      <c r="BL64" s="6"/>
      <c r="BM64" s="6"/>
      <c r="BN64" s="6"/>
      <c r="BO64" s="6"/>
      <c r="BP64" s="6"/>
      <c r="BQ64" s="6"/>
      <c r="BR64" s="6"/>
      <c r="BS64" s="6"/>
      <c r="BT64" s="6"/>
      <c r="BU64" s="6"/>
      <c r="BV64" s="6"/>
    </row>
    <row r="65" spans="1:74" ht="14.65" customHeight="1">
      <c r="B65" s="1510" t="s">
        <v>533</v>
      </c>
      <c r="C65" s="1511"/>
      <c r="D65" s="1511"/>
      <c r="E65" s="1511"/>
      <c r="F65" s="1511"/>
      <c r="G65" s="1511"/>
      <c r="H65" s="1511"/>
      <c r="I65" s="1511"/>
      <c r="J65" s="1511"/>
      <c r="K65" s="1511"/>
      <c r="L65" s="1511"/>
      <c r="M65" s="1511"/>
      <c r="N65" s="1511"/>
      <c r="O65" s="1511"/>
      <c r="P65" s="1511"/>
      <c r="Q65" s="1511"/>
      <c r="R65" s="1511"/>
      <c r="S65" s="1511"/>
      <c r="T65" s="1511"/>
      <c r="U65" s="1511"/>
      <c r="V65" s="1511"/>
      <c r="W65" s="1511"/>
      <c r="X65" s="1511"/>
      <c r="Y65" s="1511"/>
      <c r="Z65" s="1511"/>
      <c r="AA65" s="1511"/>
      <c r="AB65" s="1512"/>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206"/>
      <c r="BJ65" s="6"/>
      <c r="BK65" s="6"/>
      <c r="BL65" s="6"/>
      <c r="BM65" s="6"/>
      <c r="BN65" s="6"/>
      <c r="BO65" s="6"/>
      <c r="BP65" s="6"/>
      <c r="BQ65" s="6"/>
      <c r="BR65" s="6"/>
      <c r="BS65" s="6"/>
      <c r="BT65" s="6"/>
      <c r="BU65" s="6"/>
      <c r="BV65" s="6"/>
    </row>
    <row r="66" spans="1:74" customFormat="1" ht="14.65" customHeight="1">
      <c r="A66" s="6"/>
      <c r="B66" s="1513"/>
      <c r="C66" s="1514"/>
      <c r="D66" s="1514"/>
      <c r="E66" s="1514"/>
      <c r="F66" s="1514"/>
      <c r="G66" s="1514"/>
      <c r="H66" s="1514"/>
      <c r="I66" s="1514"/>
      <c r="J66" s="1514"/>
      <c r="K66" s="1514"/>
      <c r="L66" s="1514"/>
      <c r="M66" s="1514"/>
      <c r="N66" s="1514"/>
      <c r="O66" s="1514"/>
      <c r="P66" s="1514"/>
      <c r="Q66" s="1514"/>
      <c r="R66" s="1514"/>
      <c r="S66" s="1514"/>
      <c r="T66" s="1514"/>
      <c r="U66" s="1514"/>
      <c r="V66" s="1514"/>
      <c r="W66" s="1514"/>
      <c r="X66" s="1514"/>
      <c r="Y66" s="1514"/>
      <c r="Z66" s="1514"/>
      <c r="AA66" s="1514"/>
      <c r="AB66" s="1515"/>
      <c r="AC66" s="6"/>
      <c r="AD66" s="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206"/>
      <c r="BF66" s="6"/>
      <c r="BJ66" s="6"/>
      <c r="BK66" s="6"/>
      <c r="BL66" s="6"/>
      <c r="BM66" s="6"/>
      <c r="BN66" s="6"/>
      <c r="BO66" s="6"/>
      <c r="BP66" s="6"/>
      <c r="BQ66" s="6"/>
      <c r="BR66" s="6"/>
      <c r="BS66" s="6"/>
      <c r="BT66" s="6"/>
      <c r="BU66" s="6"/>
    </row>
    <row r="67" spans="1:74" ht="14.65" customHeight="1">
      <c r="B67" s="1513"/>
      <c r="C67" s="1514"/>
      <c r="D67" s="1514"/>
      <c r="E67" s="1514"/>
      <c r="F67" s="1514"/>
      <c r="G67" s="1514"/>
      <c r="H67" s="1514"/>
      <c r="I67" s="1514"/>
      <c r="J67" s="1514"/>
      <c r="K67" s="1514"/>
      <c r="L67" s="1514"/>
      <c r="M67" s="1514"/>
      <c r="N67" s="1514"/>
      <c r="O67" s="1514"/>
      <c r="P67" s="1514"/>
      <c r="Q67" s="1514"/>
      <c r="R67" s="1514"/>
      <c r="S67" s="1514"/>
      <c r="T67" s="1514"/>
      <c r="U67" s="1514"/>
      <c r="V67" s="1514"/>
      <c r="W67" s="1514"/>
      <c r="X67" s="1514"/>
      <c r="Y67" s="1514"/>
      <c r="Z67" s="1514"/>
      <c r="AA67" s="1514"/>
      <c r="AB67" s="1515"/>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206"/>
      <c r="BJ67" s="6"/>
      <c r="BK67" s="6"/>
      <c r="BL67" s="6"/>
      <c r="BM67" s="6"/>
      <c r="BN67" s="6"/>
      <c r="BO67" s="6"/>
      <c r="BP67" s="6"/>
      <c r="BQ67" s="6"/>
      <c r="BR67" s="6"/>
      <c r="BS67" s="6"/>
      <c r="BT67" s="6"/>
      <c r="BU67" s="6"/>
      <c r="BV67" s="6"/>
    </row>
    <row r="68" spans="1:74" ht="15">
      <c r="B68" s="1516"/>
      <c r="C68" s="1517"/>
      <c r="D68" s="1517"/>
      <c r="E68" s="1517"/>
      <c r="F68" s="1517"/>
      <c r="G68" s="1517"/>
      <c r="H68" s="1517"/>
      <c r="I68" s="1517"/>
      <c r="J68" s="1517"/>
      <c r="K68" s="1517"/>
      <c r="L68" s="1517"/>
      <c r="M68" s="1517"/>
      <c r="N68" s="1517"/>
      <c r="O68" s="1517"/>
      <c r="P68" s="1517"/>
      <c r="Q68" s="1517"/>
      <c r="R68" s="1517"/>
      <c r="S68" s="1517"/>
      <c r="T68" s="1517"/>
      <c r="U68" s="1517"/>
      <c r="V68" s="1517"/>
      <c r="W68" s="1517"/>
      <c r="X68" s="1517"/>
      <c r="Y68" s="1517"/>
      <c r="Z68" s="1517"/>
      <c r="AA68" s="1517"/>
      <c r="AB68" s="1518"/>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206"/>
      <c r="BJ68" s="6"/>
      <c r="BK68" s="6"/>
      <c r="BL68" s="6"/>
      <c r="BM68" s="6"/>
      <c r="BN68" s="6"/>
      <c r="BO68" s="6"/>
      <c r="BP68" s="6"/>
      <c r="BQ68" s="6"/>
      <c r="BR68" s="6"/>
      <c r="BS68" s="6"/>
      <c r="BT68" s="6"/>
      <c r="BU68" s="6"/>
      <c r="BV68" s="6"/>
    </row>
    <row r="69" spans="1:74" ht="15">
      <c r="BJ69" s="6"/>
      <c r="BK69" s="6"/>
      <c r="BL69" s="6"/>
      <c r="BM69" s="6"/>
      <c r="BN69" s="6"/>
      <c r="BO69" s="6"/>
      <c r="BP69" s="6"/>
      <c r="BQ69" s="6"/>
      <c r="BR69" s="6"/>
      <c r="BS69" s="6"/>
      <c r="BT69" s="6"/>
      <c r="BU69" s="6"/>
      <c r="BV69" s="6"/>
    </row>
    <row r="70" spans="1:74" ht="15">
      <c r="B70" s="72"/>
      <c r="C70" s="72"/>
      <c r="D70" s="72"/>
      <c r="E70" s="72"/>
      <c r="F70" s="72"/>
      <c r="G70" s="72"/>
      <c r="H70" s="72"/>
      <c r="I70" s="72"/>
      <c r="J70" s="72"/>
      <c r="K70" s="72"/>
      <c r="L70" s="72"/>
      <c r="M70" s="72"/>
      <c r="N70" s="72"/>
      <c r="O70" s="72"/>
      <c r="P70" s="72"/>
      <c r="Q70" s="72"/>
      <c r="R70" s="72"/>
      <c r="S70" s="72"/>
      <c r="T70" s="72"/>
      <c r="U70" s="72"/>
      <c r="V70" s="72"/>
      <c r="W70" s="72"/>
      <c r="X70" s="72"/>
      <c r="Y70" s="72"/>
      <c r="Z70" s="72"/>
      <c r="AA70" s="72"/>
      <c r="AB70" s="72"/>
      <c r="AE70" s="72"/>
      <c r="AF70" s="72"/>
      <c r="AG70" s="72"/>
      <c r="AH70" s="72"/>
      <c r="AI70" s="72"/>
      <c r="AJ70" s="72"/>
      <c r="AK70" s="72"/>
      <c r="AL70" s="72"/>
      <c r="AM70" s="72"/>
      <c r="AN70" s="72"/>
      <c r="AO70" s="72"/>
      <c r="AP70" s="72"/>
      <c r="AQ70" s="72"/>
      <c r="AR70" s="72"/>
      <c r="AS70" s="72"/>
      <c r="AT70" s="72"/>
      <c r="AU70" s="72"/>
      <c r="AV70" s="72"/>
      <c r="AW70" s="72"/>
      <c r="AX70" s="72"/>
      <c r="AY70" s="72"/>
      <c r="AZ70" s="72"/>
      <c r="BA70" s="72"/>
      <c r="BB70" s="72"/>
      <c r="BC70" s="72"/>
      <c r="BD70" s="72"/>
      <c r="BE70" s="72"/>
      <c r="BJ70" s="6"/>
      <c r="BK70" s="6"/>
      <c r="BL70" s="6"/>
      <c r="BM70" s="6"/>
      <c r="BN70" s="6"/>
      <c r="BO70" s="6"/>
      <c r="BP70" s="6"/>
      <c r="BQ70" s="6"/>
      <c r="BR70" s="6"/>
      <c r="BS70" s="6"/>
      <c r="BT70" s="6"/>
      <c r="BU70" s="6"/>
      <c r="BV70" s="6"/>
    </row>
    <row r="71" spans="1:74" ht="15">
      <c r="B71" s="72"/>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E71" s="72"/>
      <c r="AF71" s="72"/>
      <c r="AG71" s="72"/>
      <c r="AH71" s="72"/>
      <c r="AI71" s="72"/>
      <c r="AJ71" s="72"/>
      <c r="AK71" s="72"/>
      <c r="AL71" s="72"/>
      <c r="AM71" s="72"/>
      <c r="AN71" s="72"/>
      <c r="AO71" s="72"/>
      <c r="AP71" s="72"/>
      <c r="AQ71" s="72"/>
      <c r="AR71" s="72"/>
      <c r="AS71" s="72"/>
      <c r="AT71" s="72"/>
      <c r="AU71" s="72"/>
      <c r="AV71" s="72"/>
      <c r="AW71" s="72"/>
      <c r="AX71" s="72"/>
      <c r="AY71" s="72"/>
      <c r="AZ71" s="72"/>
      <c r="BA71" s="72"/>
      <c r="BB71" s="72"/>
      <c r="BC71" s="72"/>
      <c r="BD71" s="72"/>
      <c r="BE71" s="72"/>
      <c r="BJ71" s="6"/>
      <c r="BK71" s="6"/>
      <c r="BL71" s="6"/>
      <c r="BM71" s="6"/>
      <c r="BN71" s="6"/>
      <c r="BO71" s="6"/>
      <c r="BP71" s="6"/>
      <c r="BQ71" s="6"/>
      <c r="BR71" s="6"/>
      <c r="BS71" s="6"/>
      <c r="BT71" s="6"/>
      <c r="BU71" s="6"/>
      <c r="BV71" s="6"/>
    </row>
    <row r="72" spans="1:74" ht="15">
      <c r="B72" s="72"/>
      <c r="C72" s="72"/>
      <c r="D72" s="72"/>
      <c r="E72" s="72"/>
      <c r="F72" s="72"/>
      <c r="G72" s="72"/>
      <c r="H72" s="72"/>
      <c r="I72" s="72"/>
      <c r="J72" s="72"/>
      <c r="K72" s="72"/>
      <c r="L72" s="72"/>
      <c r="M72" s="72"/>
      <c r="N72" s="72"/>
      <c r="O72" s="72"/>
      <c r="P72" s="72"/>
      <c r="Q72" s="72"/>
      <c r="R72" s="72"/>
      <c r="S72" s="72"/>
      <c r="T72" s="72"/>
      <c r="U72" s="72"/>
      <c r="V72" s="72"/>
      <c r="W72" s="72"/>
      <c r="X72" s="72"/>
      <c r="Y72" s="72"/>
      <c r="Z72" s="72"/>
      <c r="AA72" s="72"/>
      <c r="AB72" s="72"/>
      <c r="AE72" s="72"/>
      <c r="AF72" s="72"/>
      <c r="AG72" s="72"/>
      <c r="AH72" s="72"/>
      <c r="AI72" s="72"/>
      <c r="AJ72" s="72"/>
      <c r="AK72" s="72"/>
      <c r="AL72" s="72"/>
      <c r="AM72" s="72"/>
      <c r="AN72" s="72"/>
      <c r="AO72" s="72"/>
      <c r="AP72" s="72"/>
      <c r="AQ72" s="72"/>
      <c r="AR72" s="72"/>
      <c r="AS72" s="72"/>
      <c r="AT72" s="72"/>
      <c r="AU72" s="72"/>
      <c r="AV72" s="72"/>
      <c r="AW72" s="72"/>
      <c r="AX72" s="72"/>
      <c r="AY72" s="72"/>
      <c r="AZ72" s="72"/>
      <c r="BA72" s="72"/>
      <c r="BB72" s="72"/>
      <c r="BC72" s="72"/>
      <c r="BD72" s="72"/>
      <c r="BE72" s="72"/>
      <c r="BJ72" s="6"/>
      <c r="BK72" s="6"/>
      <c r="BL72" s="6"/>
      <c r="BM72" s="6"/>
      <c r="BN72" s="6"/>
      <c r="BO72" s="6"/>
      <c r="BP72" s="6"/>
      <c r="BQ72" s="6"/>
      <c r="BR72" s="6"/>
      <c r="BS72" s="6"/>
      <c r="BT72" s="6"/>
      <c r="BU72" s="6"/>
      <c r="BV72" s="6"/>
    </row>
    <row r="73" spans="1:74" ht="15">
      <c r="B73" s="72"/>
      <c r="C73" s="72"/>
      <c r="D73" s="72"/>
      <c r="E73" s="72"/>
      <c r="F73" s="72"/>
      <c r="G73" s="72"/>
      <c r="H73" s="72"/>
      <c r="I73" s="72"/>
      <c r="J73" s="72"/>
      <c r="K73" s="72"/>
      <c r="L73" s="72"/>
      <c r="M73" s="72"/>
      <c r="N73" s="72"/>
      <c r="O73" s="72"/>
      <c r="P73" s="72"/>
      <c r="Q73" s="72"/>
      <c r="R73" s="72"/>
      <c r="S73" s="72"/>
      <c r="T73" s="72"/>
      <c r="U73" s="72"/>
      <c r="V73" s="72"/>
      <c r="W73" s="72"/>
      <c r="X73" s="72"/>
      <c r="Y73" s="72"/>
      <c r="Z73" s="72"/>
      <c r="AA73" s="72"/>
      <c r="AB73" s="72"/>
      <c r="AE73" s="72"/>
      <c r="AF73" s="72"/>
      <c r="AG73" s="72"/>
      <c r="AH73" s="72"/>
      <c r="AI73" s="72"/>
      <c r="AJ73" s="72"/>
      <c r="AK73" s="72"/>
      <c r="AL73" s="72"/>
      <c r="AM73" s="72"/>
      <c r="AN73" s="72"/>
      <c r="AO73" s="72"/>
      <c r="AP73" s="72"/>
      <c r="AQ73" s="72"/>
      <c r="AR73" s="72"/>
      <c r="AS73" s="72"/>
      <c r="AT73" s="72"/>
      <c r="AU73" s="72"/>
      <c r="AV73" s="72"/>
      <c r="AW73" s="72"/>
      <c r="AX73" s="72"/>
      <c r="AY73" s="72"/>
      <c r="AZ73" s="72"/>
      <c r="BA73" s="72"/>
      <c r="BB73" s="72"/>
      <c r="BC73" s="72"/>
      <c r="BD73" s="72"/>
      <c r="BE73" s="72"/>
      <c r="BJ73" s="6"/>
      <c r="BK73" s="6"/>
      <c r="BL73" s="6"/>
      <c r="BM73" s="6"/>
      <c r="BN73" s="6"/>
      <c r="BO73" s="6"/>
      <c r="BP73" s="6"/>
      <c r="BQ73" s="6"/>
      <c r="BR73" s="6"/>
      <c r="BS73" s="6"/>
      <c r="BT73" s="6"/>
      <c r="BU73" s="6"/>
      <c r="BV73" s="6"/>
    </row>
    <row r="74" spans="1:74" ht="15">
      <c r="B74" s="72"/>
      <c r="C74" s="72"/>
      <c r="D74" s="72"/>
      <c r="E74" s="72"/>
      <c r="F74" s="72"/>
      <c r="G74" s="72"/>
      <c r="H74" s="72"/>
      <c r="I74" s="72"/>
      <c r="J74" s="72"/>
      <c r="K74" s="72"/>
      <c r="L74" s="72"/>
      <c r="M74" s="72"/>
      <c r="N74" s="72"/>
      <c r="O74" s="72"/>
      <c r="P74" s="72"/>
      <c r="Q74" s="72"/>
      <c r="R74" s="72"/>
      <c r="S74" s="72"/>
      <c r="T74" s="72"/>
      <c r="U74" s="72"/>
      <c r="V74" s="72"/>
      <c r="W74" s="72"/>
      <c r="X74" s="72"/>
      <c r="Y74" s="72"/>
      <c r="Z74" s="72"/>
      <c r="AA74" s="72"/>
      <c r="AB74" s="72"/>
      <c r="AE74" s="72"/>
      <c r="AF74" s="72"/>
      <c r="AG74" s="72"/>
      <c r="AH74" s="72"/>
      <c r="AI74" s="72"/>
      <c r="AJ74" s="72"/>
      <c r="AK74" s="72"/>
      <c r="AL74" s="72"/>
      <c r="AM74" s="72"/>
      <c r="AN74" s="72"/>
      <c r="AO74" s="72"/>
      <c r="AP74" s="72"/>
      <c r="AQ74" s="72"/>
      <c r="AR74" s="72"/>
      <c r="AS74" s="72"/>
      <c r="AT74" s="72"/>
      <c r="AU74" s="72"/>
      <c r="AV74" s="72"/>
      <c r="AW74" s="72"/>
      <c r="AX74" s="72"/>
      <c r="AY74" s="72"/>
      <c r="AZ74" s="72"/>
      <c r="BA74" s="72"/>
      <c r="BB74" s="72"/>
      <c r="BC74" s="72"/>
      <c r="BD74" s="72"/>
      <c r="BE74" s="72"/>
      <c r="BJ74" s="6"/>
      <c r="BK74" s="6"/>
      <c r="BL74" s="6"/>
      <c r="BM74" s="6"/>
      <c r="BN74" s="6"/>
      <c r="BO74" s="6"/>
      <c r="BP74" s="6"/>
      <c r="BQ74" s="6"/>
      <c r="BR74" s="6"/>
      <c r="BS74" s="6"/>
      <c r="BT74" s="6"/>
      <c r="BU74" s="6"/>
      <c r="BV74" s="6"/>
    </row>
    <row r="75" spans="1:74" ht="15">
      <c r="B75" s="72"/>
      <c r="C75" s="72"/>
      <c r="D75" s="72"/>
      <c r="E75" s="72"/>
      <c r="F75" s="72"/>
      <c r="G75" s="72"/>
      <c r="H75" s="72"/>
      <c r="I75" s="72"/>
      <c r="J75" s="72"/>
      <c r="K75" s="72"/>
      <c r="L75" s="72"/>
      <c r="M75" s="72"/>
      <c r="N75" s="72"/>
      <c r="O75" s="72"/>
      <c r="P75" s="72"/>
      <c r="Q75" s="72"/>
      <c r="R75" s="72"/>
      <c r="S75" s="72"/>
      <c r="T75" s="72"/>
      <c r="U75" s="72"/>
      <c r="V75" s="72"/>
      <c r="W75" s="72"/>
      <c r="X75" s="72"/>
      <c r="Y75" s="72"/>
      <c r="Z75" s="72"/>
      <c r="AA75" s="72"/>
      <c r="AB75" s="72"/>
      <c r="AE75" s="72"/>
      <c r="AF75" s="72"/>
      <c r="AG75" s="72"/>
      <c r="AH75" s="72"/>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J75" s="6"/>
      <c r="BK75" s="6"/>
      <c r="BL75" s="6"/>
      <c r="BM75" s="6"/>
      <c r="BN75" s="6"/>
      <c r="BO75" s="6"/>
      <c r="BP75" s="6"/>
      <c r="BQ75" s="6"/>
      <c r="BR75" s="6"/>
      <c r="BS75" s="6"/>
      <c r="BT75" s="6"/>
      <c r="BU75" s="6"/>
      <c r="BV75" s="6"/>
    </row>
    <row r="76" spans="1:74" ht="14.65" customHeight="1">
      <c r="BJ76" s="6"/>
      <c r="BK76" s="6"/>
      <c r="BL76" s="6"/>
      <c r="BM76" s="6"/>
      <c r="BN76" s="6"/>
      <c r="BO76" s="6"/>
      <c r="BP76" s="6"/>
      <c r="BQ76" s="6"/>
      <c r="BR76" s="6"/>
      <c r="BS76" s="6"/>
      <c r="BT76" s="6"/>
      <c r="BU76" s="6"/>
      <c r="BV76" s="6"/>
    </row>
    <row r="77" spans="1:74" ht="14.65" customHeight="1">
      <c r="BJ77" s="6"/>
      <c r="BK77" s="6"/>
      <c r="BL77" s="6"/>
      <c r="BM77" s="6"/>
      <c r="BN77" s="6"/>
      <c r="BO77" s="6"/>
      <c r="BP77" s="6"/>
      <c r="BQ77" s="6"/>
      <c r="BR77" s="6"/>
      <c r="BS77" s="6"/>
      <c r="BT77" s="6"/>
      <c r="BU77" s="6"/>
      <c r="BV77" s="6"/>
    </row>
    <row r="78" spans="1:74" ht="14.65" customHeight="1">
      <c r="BV78" s="6"/>
    </row>
    <row r="79" spans="1:74" ht="46.9" customHeight="1">
      <c r="B79" s="1534" t="s">
        <v>431</v>
      </c>
      <c r="C79" s="1535"/>
      <c r="D79" s="1535"/>
      <c r="E79" s="1535"/>
      <c r="F79" s="1535"/>
      <c r="G79" s="1535"/>
      <c r="H79" s="1535"/>
      <c r="I79" s="1535"/>
      <c r="J79" s="1535"/>
      <c r="K79" s="1535"/>
      <c r="L79" s="1536"/>
      <c r="M79" s="1537" t="s">
        <v>432</v>
      </c>
      <c r="N79" s="1538"/>
      <c r="O79" s="1538"/>
      <c r="P79" s="1538"/>
      <c r="Q79" s="1538"/>
      <c r="R79" s="1538"/>
      <c r="S79" s="1538"/>
      <c r="T79" s="1538"/>
      <c r="U79" s="1538"/>
      <c r="V79" s="1539"/>
      <c r="W79" s="1537" t="s">
        <v>433</v>
      </c>
      <c r="X79" s="1538"/>
      <c r="Y79" s="1538"/>
      <c r="Z79" s="1538"/>
      <c r="AA79" s="1538"/>
      <c r="AB79" s="1538"/>
      <c r="AC79" s="1538"/>
      <c r="AD79" s="1538"/>
      <c r="AE79" s="1538"/>
      <c r="AF79" s="1539"/>
      <c r="AG79" s="1553" t="s">
        <v>434</v>
      </c>
      <c r="AH79" s="1554"/>
      <c r="AI79" s="1554"/>
      <c r="AJ79" s="1554"/>
      <c r="AK79" s="1554"/>
      <c r="AL79" s="1554"/>
      <c r="AM79" s="1554"/>
      <c r="AN79" s="1554"/>
      <c r="AO79" s="1554"/>
      <c r="AP79" s="1555"/>
      <c r="AQ79" s="1534" t="s">
        <v>435</v>
      </c>
      <c r="AR79" s="1535"/>
      <c r="AS79" s="1535"/>
      <c r="AT79" s="1535"/>
      <c r="AU79" s="1536"/>
      <c r="AV79" s="1549" t="s">
        <v>436</v>
      </c>
      <c r="AW79" s="1550"/>
      <c r="AX79" s="1550"/>
      <c r="AY79" s="1550"/>
      <c r="AZ79" s="1551"/>
      <c r="BA79" s="1549" t="s">
        <v>437</v>
      </c>
      <c r="BB79" s="1550"/>
      <c r="BC79" s="1550"/>
      <c r="BD79" s="1550"/>
      <c r="BE79" s="1551"/>
      <c r="BV79" s="6"/>
    </row>
    <row r="80" spans="1:74" ht="46.9" customHeight="1">
      <c r="B80" s="1557" t="s">
        <v>396</v>
      </c>
      <c r="C80" s="1558"/>
      <c r="D80" s="1558"/>
      <c r="E80" s="1558"/>
      <c r="F80" s="1558"/>
      <c r="G80" s="1558"/>
      <c r="H80" s="1558"/>
      <c r="I80" s="1558"/>
      <c r="J80" s="1558"/>
      <c r="K80" s="1558"/>
      <c r="L80" s="1559"/>
      <c r="M80" s="1543"/>
      <c r="N80" s="1544"/>
      <c r="O80" s="1544"/>
      <c r="P80" s="1544"/>
      <c r="Q80" s="1544"/>
      <c r="R80" s="1544"/>
      <c r="S80" s="1544"/>
      <c r="T80" s="1544"/>
      <c r="U80" s="1544"/>
      <c r="V80" s="1545"/>
      <c r="W80" s="1543"/>
      <c r="X80" s="1544"/>
      <c r="Y80" s="1544"/>
      <c r="Z80" s="1544"/>
      <c r="AA80" s="1544"/>
      <c r="AB80" s="1544"/>
      <c r="AC80" s="1544"/>
      <c r="AD80" s="1544"/>
      <c r="AE80" s="1544"/>
      <c r="AF80" s="1545"/>
      <c r="AG80" s="1563"/>
      <c r="AH80" s="1564"/>
      <c r="AI80" s="1564"/>
      <c r="AJ80" s="1564"/>
      <c r="AK80" s="1564"/>
      <c r="AL80" s="1564"/>
      <c r="AM80" s="1564"/>
      <c r="AN80" s="1564"/>
      <c r="AO80" s="1564"/>
      <c r="AP80" s="1565"/>
      <c r="AQ80" s="1566"/>
      <c r="AR80" s="1567"/>
      <c r="AS80" s="1567"/>
      <c r="AT80" s="1567"/>
      <c r="AU80" s="1568"/>
      <c r="AV80" s="1560"/>
      <c r="AW80" s="1561"/>
      <c r="AX80" s="1561"/>
      <c r="AY80" s="1561"/>
      <c r="AZ80" s="1562"/>
      <c r="BA80" s="1547"/>
      <c r="BB80" s="1548"/>
      <c r="BC80" s="1548"/>
      <c r="BD80" s="1548"/>
      <c r="BE80" s="1548"/>
      <c r="BV80" s="6"/>
    </row>
    <row r="81" spans="2:74" ht="14.65" customHeight="1">
      <c r="B81" s="1552"/>
      <c r="C81" s="1552"/>
      <c r="D81" s="1552"/>
      <c r="E81" s="1552"/>
      <c r="F81" s="1552"/>
      <c r="G81" s="1552"/>
      <c r="H81" s="1552"/>
      <c r="I81" s="1552"/>
      <c r="J81" s="1546"/>
      <c r="K81" s="1546"/>
      <c r="L81" s="1546"/>
      <c r="M81" s="1546"/>
      <c r="N81" s="1546"/>
      <c r="O81" s="1546"/>
      <c r="P81" s="1546"/>
      <c r="Q81" s="1546"/>
      <c r="R81" s="1546"/>
      <c r="S81" s="1546"/>
      <c r="T81" s="1546"/>
      <c r="U81" s="1546"/>
      <c r="V81" s="1546"/>
      <c r="W81" s="1546"/>
      <c r="X81" s="1556"/>
      <c r="Y81" s="1556"/>
      <c r="Z81" s="1556"/>
      <c r="AA81" s="1556"/>
      <c r="AB81" s="1556"/>
      <c r="AC81" s="1556"/>
      <c r="AD81" s="1556"/>
      <c r="AE81" s="1556"/>
      <c r="AF81" s="1556"/>
      <c r="AG81" s="1556"/>
      <c r="AH81" s="1556"/>
      <c r="AI81" s="1556"/>
      <c r="AJ81" s="1546"/>
      <c r="AK81" s="1546"/>
      <c r="AL81" s="1546"/>
      <c r="AM81" s="1546"/>
      <c r="AN81" s="1546"/>
      <c r="AO81" s="1546"/>
      <c r="AP81" s="1546"/>
      <c r="AQ81" s="1546"/>
      <c r="AR81" s="1546"/>
      <c r="AS81" s="1546"/>
      <c r="AT81" s="1546"/>
      <c r="AU81" s="1546"/>
      <c r="AV81" s="1546"/>
      <c r="AW81" s="1546"/>
      <c r="AX81" s="1546"/>
      <c r="AY81" s="1546"/>
      <c r="AZ81" s="1546"/>
      <c r="BA81" s="1546"/>
      <c r="BB81" s="1546"/>
      <c r="BC81" s="1546"/>
      <c r="BD81" s="1546"/>
      <c r="BE81" s="1546"/>
      <c r="BV81" s="6"/>
    </row>
    <row r="82" spans="2:74" ht="46.9" customHeight="1">
      <c r="B82" s="1534" t="s">
        <v>534</v>
      </c>
      <c r="C82" s="1535"/>
      <c r="D82" s="1535"/>
      <c r="E82" s="1535"/>
      <c r="F82" s="1535"/>
      <c r="G82" s="1535"/>
      <c r="H82" s="1535"/>
      <c r="I82" s="1535"/>
      <c r="J82" s="1535"/>
      <c r="K82" s="1535"/>
      <c r="L82" s="1536"/>
      <c r="M82" s="1537" t="s">
        <v>432</v>
      </c>
      <c r="N82" s="1538"/>
      <c r="O82" s="1538"/>
      <c r="P82" s="1538"/>
      <c r="Q82" s="1538"/>
      <c r="R82" s="1538"/>
      <c r="S82" s="1538"/>
      <c r="T82" s="1538"/>
      <c r="U82" s="1538"/>
      <c r="V82" s="1539"/>
      <c r="W82" s="1537" t="s">
        <v>433</v>
      </c>
      <c r="X82" s="1538"/>
      <c r="Y82" s="1538"/>
      <c r="Z82" s="1538"/>
      <c r="AA82" s="1538"/>
      <c r="AB82" s="1538"/>
      <c r="AC82" s="1538"/>
      <c r="AD82" s="1538"/>
      <c r="AE82" s="1538"/>
      <c r="AF82" s="1539"/>
      <c r="AG82" s="1553" t="s">
        <v>434</v>
      </c>
      <c r="AH82" s="1554"/>
      <c r="AI82" s="1554"/>
      <c r="AJ82" s="1554"/>
      <c r="AK82" s="1554"/>
      <c r="AL82" s="1554"/>
      <c r="AM82" s="1554"/>
      <c r="AN82" s="1554"/>
      <c r="AO82" s="1554"/>
      <c r="AP82" s="1555"/>
      <c r="AQ82" s="1534" t="s">
        <v>435</v>
      </c>
      <c r="AR82" s="1535"/>
      <c r="AS82" s="1535"/>
      <c r="AT82" s="1535"/>
      <c r="AU82" s="1536"/>
      <c r="AV82" s="1549" t="s">
        <v>436</v>
      </c>
      <c r="AW82" s="1550"/>
      <c r="AX82" s="1550"/>
      <c r="AY82" s="1550"/>
      <c r="AZ82" s="1551"/>
      <c r="BA82" s="1549" t="s">
        <v>437</v>
      </c>
      <c r="BB82" s="1550"/>
      <c r="BC82" s="1550"/>
      <c r="BD82" s="1550"/>
      <c r="BE82" s="1551"/>
      <c r="BV82" s="6"/>
    </row>
    <row r="83" spans="2:74" ht="46.9" customHeight="1">
      <c r="B83" s="1557" t="s">
        <v>396</v>
      </c>
      <c r="C83" s="1558"/>
      <c r="D83" s="1558"/>
      <c r="E83" s="1558"/>
      <c r="F83" s="1558"/>
      <c r="G83" s="1558"/>
      <c r="H83" s="1558"/>
      <c r="I83" s="1558"/>
      <c r="J83" s="1558"/>
      <c r="K83" s="1558"/>
      <c r="L83" s="1559"/>
      <c r="M83" s="1543"/>
      <c r="N83" s="1544"/>
      <c r="O83" s="1544"/>
      <c r="P83" s="1544"/>
      <c r="Q83" s="1544"/>
      <c r="R83" s="1544"/>
      <c r="S83" s="1544"/>
      <c r="T83" s="1544"/>
      <c r="U83" s="1544"/>
      <c r="V83" s="1545"/>
      <c r="W83" s="1572"/>
      <c r="X83" s="1573"/>
      <c r="Y83" s="1573"/>
      <c r="Z83" s="1573"/>
      <c r="AA83" s="1573"/>
      <c r="AB83" s="1573"/>
      <c r="AC83" s="1573"/>
      <c r="AD83" s="1573"/>
      <c r="AE83" s="1573"/>
      <c r="AF83" s="1574"/>
      <c r="AG83" s="1563"/>
      <c r="AH83" s="1564"/>
      <c r="AI83" s="1564"/>
      <c r="AJ83" s="1564"/>
      <c r="AK83" s="1564"/>
      <c r="AL83" s="1564"/>
      <c r="AM83" s="1564"/>
      <c r="AN83" s="1564"/>
      <c r="AO83" s="1564"/>
      <c r="AP83" s="1565"/>
      <c r="AQ83" s="1575"/>
      <c r="AR83" s="1576"/>
      <c r="AS83" s="1576"/>
      <c r="AT83" s="1576"/>
      <c r="AU83" s="1577"/>
      <c r="AV83" s="1560"/>
      <c r="AW83" s="1561"/>
      <c r="AX83" s="1561"/>
      <c r="AY83" s="1561"/>
      <c r="AZ83" s="1562"/>
      <c r="BA83" s="1547"/>
      <c r="BB83" s="1548"/>
      <c r="BC83" s="1548"/>
      <c r="BD83" s="1548"/>
      <c r="BE83" s="1548"/>
      <c r="BV83" s="6"/>
    </row>
    <row r="84" spans="2:74" ht="14.65" customHeight="1">
      <c r="B84" s="14"/>
      <c r="C84" s="16"/>
      <c r="V84" s="16"/>
      <c r="W84" s="16"/>
      <c r="X84" s="16"/>
      <c r="Y84" s="15"/>
      <c r="Z84" s="15"/>
      <c r="AA84" s="15"/>
      <c r="AB84" s="15"/>
      <c r="AC84" s="15"/>
      <c r="AD84" s="42"/>
      <c r="AE84" s="16"/>
      <c r="AF84" s="16"/>
      <c r="BV84" s="6"/>
    </row>
    <row r="85" spans="2:74" ht="46.9" hidden="1" customHeight="1">
      <c r="B85" s="45" t="s">
        <v>438</v>
      </c>
      <c r="C85" s="46"/>
      <c r="D85" s="11"/>
      <c r="E85" s="11"/>
      <c r="F85" s="11"/>
      <c r="G85" s="11"/>
      <c r="H85" s="11"/>
      <c r="I85" s="11"/>
      <c r="J85" s="11"/>
      <c r="K85" s="11"/>
      <c r="L85" s="11"/>
      <c r="M85" s="11"/>
      <c r="N85" s="11"/>
      <c r="O85" s="11"/>
      <c r="P85" s="11"/>
      <c r="Q85" s="11"/>
      <c r="R85" s="11"/>
      <c r="S85" s="11"/>
      <c r="T85" s="11"/>
      <c r="U85" s="11"/>
      <c r="V85" s="46"/>
      <c r="W85" s="46"/>
      <c r="X85" s="46"/>
      <c r="Y85" s="11"/>
      <c r="Z85" s="11"/>
      <c r="AA85" s="11"/>
      <c r="AB85" s="11"/>
      <c r="AC85" s="11"/>
      <c r="AD85" s="66"/>
      <c r="AE85" s="46"/>
      <c r="AF85" s="46"/>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c r="BV85" s="6"/>
    </row>
    <row r="86" spans="2:74" ht="14.65" hidden="1" customHeight="1">
      <c r="B86" s="1569" t="s">
        <v>439</v>
      </c>
      <c r="C86" s="1570"/>
      <c r="D86" s="1570"/>
      <c r="E86" s="1570"/>
      <c r="F86" s="1570"/>
      <c r="G86" s="1570"/>
      <c r="H86" s="1570"/>
      <c r="I86" s="1570"/>
      <c r="J86" s="1570"/>
      <c r="K86" s="1570"/>
      <c r="L86" s="1571"/>
      <c r="M86" s="1569" t="s">
        <v>440</v>
      </c>
      <c r="N86" s="1570"/>
      <c r="O86" s="1570"/>
      <c r="P86" s="1570"/>
      <c r="Q86" s="1570"/>
      <c r="R86" s="1570"/>
      <c r="S86" s="1570"/>
      <c r="T86" s="1570"/>
      <c r="U86" s="1570"/>
      <c r="V86" s="1570"/>
      <c r="W86" s="1569" t="s">
        <v>441</v>
      </c>
      <c r="X86" s="1570"/>
      <c r="Y86" s="1570"/>
      <c r="Z86" s="1570"/>
      <c r="AA86" s="1571"/>
      <c r="AB86" s="1569" t="s">
        <v>442</v>
      </c>
      <c r="AC86" s="1570"/>
      <c r="AD86" s="1570"/>
      <c r="AE86" s="1570"/>
      <c r="AF86" s="1571"/>
      <c r="AG86" s="1569" t="s">
        <v>201</v>
      </c>
      <c r="AH86" s="1570"/>
      <c r="AI86" s="1570"/>
      <c r="AJ86" s="1570"/>
      <c r="AK86" s="1570"/>
      <c r="AL86" s="1570"/>
      <c r="AM86" s="1570"/>
      <c r="AN86" s="1570"/>
      <c r="AO86" s="1570"/>
      <c r="AP86" s="1570"/>
      <c r="AQ86" s="1570"/>
      <c r="AR86" s="1570"/>
      <c r="AS86" s="1570"/>
      <c r="AT86" s="1570"/>
      <c r="AU86" s="1570"/>
      <c r="AV86" s="1570"/>
      <c r="AW86" s="1570"/>
      <c r="AX86" s="1570"/>
      <c r="AY86" s="1570"/>
      <c r="AZ86" s="1570"/>
      <c r="BA86" s="1570"/>
      <c r="BB86" s="1570"/>
      <c r="BC86" s="1570"/>
      <c r="BD86" s="1570"/>
      <c r="BE86" s="1571"/>
      <c r="BV86" s="6"/>
    </row>
    <row r="87" spans="2:74" ht="46.9" hidden="1" customHeight="1">
      <c r="B87" s="1581" t="s">
        <v>535</v>
      </c>
      <c r="C87" s="1582"/>
      <c r="D87" s="1582"/>
      <c r="E87" s="1582"/>
      <c r="F87" s="1582"/>
      <c r="G87" s="1582"/>
      <c r="H87" s="1582"/>
      <c r="I87" s="1582"/>
      <c r="J87" s="1582"/>
      <c r="K87" s="1582"/>
      <c r="L87" s="1583"/>
      <c r="M87" s="1543" t="s">
        <v>536</v>
      </c>
      <c r="N87" s="1544"/>
      <c r="O87" s="1544"/>
      <c r="P87" s="1544"/>
      <c r="Q87" s="1544"/>
      <c r="R87" s="1544"/>
      <c r="S87" s="1544"/>
      <c r="T87" s="1544"/>
      <c r="U87" s="1544"/>
      <c r="V87" s="1545"/>
      <c r="W87" s="1587">
        <v>44136</v>
      </c>
      <c r="X87" s="1588"/>
      <c r="Y87" s="1588"/>
      <c r="Z87" s="1588"/>
      <c r="AA87" s="1589"/>
      <c r="AB87" s="1590" t="s">
        <v>537</v>
      </c>
      <c r="AC87" s="1591"/>
      <c r="AD87" s="1591"/>
      <c r="AE87" s="1591"/>
      <c r="AF87" s="1592"/>
      <c r="AG87" s="1543"/>
      <c r="AH87" s="1544"/>
      <c r="AI87" s="1544"/>
      <c r="AJ87" s="1544"/>
      <c r="AK87" s="1544"/>
      <c r="AL87" s="1544"/>
      <c r="AM87" s="1544"/>
      <c r="AN87" s="1544"/>
      <c r="AO87" s="1544"/>
      <c r="AP87" s="1544"/>
      <c r="AQ87" s="1544"/>
      <c r="AR87" s="1544"/>
      <c r="AS87" s="1544"/>
      <c r="AT87" s="1544"/>
      <c r="AU87" s="1544"/>
      <c r="AV87" s="1544"/>
      <c r="AW87" s="1544"/>
      <c r="AX87" s="1544"/>
      <c r="AY87" s="1544"/>
      <c r="AZ87" s="1544"/>
      <c r="BA87" s="1544"/>
      <c r="BB87" s="1544"/>
      <c r="BC87" s="1544"/>
      <c r="BD87" s="1544"/>
      <c r="BE87" s="1545"/>
      <c r="BV87" s="6"/>
    </row>
    <row r="88" spans="2:74" ht="46.9" hidden="1" customHeight="1">
      <c r="B88" s="1578" t="s">
        <v>538</v>
      </c>
      <c r="C88" s="1579"/>
      <c r="D88" s="1579"/>
      <c r="E88" s="1579"/>
      <c r="F88" s="1579"/>
      <c r="G88" s="1579"/>
      <c r="H88" s="1579"/>
      <c r="I88" s="1579"/>
      <c r="J88" s="1579"/>
      <c r="K88" s="1579"/>
      <c r="L88" s="1580"/>
      <c r="M88" s="1584" t="s">
        <v>539</v>
      </c>
      <c r="N88" s="1585"/>
      <c r="O88" s="1585"/>
      <c r="P88" s="1585"/>
      <c r="Q88" s="1585"/>
      <c r="R88" s="1585"/>
      <c r="S88" s="1585"/>
      <c r="T88" s="1585"/>
      <c r="U88" s="1585"/>
      <c r="V88" s="1586"/>
      <c r="W88" s="1593">
        <v>44136</v>
      </c>
      <c r="X88" s="1594"/>
      <c r="Y88" s="1594"/>
      <c r="Z88" s="1594"/>
      <c r="AA88" s="1595"/>
      <c r="AB88" s="1596" t="s">
        <v>537</v>
      </c>
      <c r="AC88" s="1597"/>
      <c r="AD88" s="1597"/>
      <c r="AE88" s="1597"/>
      <c r="AF88" s="1598"/>
      <c r="AG88" s="1584"/>
      <c r="AH88" s="1585"/>
      <c r="AI88" s="1585"/>
      <c r="AJ88" s="1585"/>
      <c r="AK88" s="1585"/>
      <c r="AL88" s="1585"/>
      <c r="AM88" s="1585"/>
      <c r="AN88" s="1585"/>
      <c r="AO88" s="1585"/>
      <c r="AP88" s="1585"/>
      <c r="AQ88" s="1585"/>
      <c r="AR88" s="1585"/>
      <c r="AS88" s="1585"/>
      <c r="AT88" s="1585"/>
      <c r="AU88" s="1585"/>
      <c r="AV88" s="1585"/>
      <c r="AW88" s="1585"/>
      <c r="AX88" s="1585"/>
      <c r="AY88" s="1585"/>
      <c r="AZ88" s="1585"/>
      <c r="BA88" s="1585"/>
      <c r="BB88" s="1585"/>
      <c r="BC88" s="1585"/>
      <c r="BD88" s="1585"/>
      <c r="BE88" s="1586"/>
      <c r="BV88" s="6"/>
    </row>
    <row r="89" spans="2:74" ht="46.9" hidden="1" customHeight="1">
      <c r="B89" s="1581" t="s">
        <v>540</v>
      </c>
      <c r="C89" s="1582"/>
      <c r="D89" s="1582"/>
      <c r="E89" s="1582"/>
      <c r="F89" s="1582"/>
      <c r="G89" s="1582"/>
      <c r="H89" s="1582"/>
      <c r="I89" s="1582"/>
      <c r="J89" s="1582"/>
      <c r="K89" s="1582"/>
      <c r="L89" s="1583"/>
      <c r="M89" s="1543"/>
      <c r="N89" s="1544"/>
      <c r="O89" s="1544"/>
      <c r="P89" s="1544"/>
      <c r="Q89" s="1544"/>
      <c r="R89" s="1544"/>
      <c r="S89" s="1544"/>
      <c r="T89" s="1544"/>
      <c r="U89" s="1544"/>
      <c r="V89" s="1545"/>
      <c r="W89" s="1587"/>
      <c r="X89" s="1588"/>
      <c r="Y89" s="1588"/>
      <c r="Z89" s="1588"/>
      <c r="AA89" s="1589"/>
      <c r="AB89" s="1590"/>
      <c r="AC89" s="1591"/>
      <c r="AD89" s="1591"/>
      <c r="AE89" s="1591"/>
      <c r="AF89" s="1592"/>
      <c r="AG89" s="1543"/>
      <c r="AH89" s="1544"/>
      <c r="AI89" s="1544"/>
      <c r="AJ89" s="1544"/>
      <c r="AK89" s="1544"/>
      <c r="AL89" s="1544"/>
      <c r="AM89" s="1544"/>
      <c r="AN89" s="1544"/>
      <c r="AO89" s="1544"/>
      <c r="AP89" s="1544"/>
      <c r="AQ89" s="1544"/>
      <c r="AR89" s="1544"/>
      <c r="AS89" s="1544"/>
      <c r="AT89" s="1544"/>
      <c r="AU89" s="1544"/>
      <c r="AV89" s="1544"/>
      <c r="AW89" s="1544"/>
      <c r="AX89" s="1544"/>
      <c r="AY89" s="1544"/>
      <c r="AZ89" s="1544"/>
      <c r="BA89" s="1544"/>
      <c r="BB89" s="1544"/>
      <c r="BC89" s="1544"/>
      <c r="BD89" s="1544"/>
      <c r="BE89" s="1545"/>
      <c r="BV89" s="6"/>
    </row>
    <row r="90" spans="2:74" ht="14.65" customHeight="1">
      <c r="BV90" s="6"/>
    </row>
  </sheetData>
  <mergeCells count="120">
    <mergeCell ref="B88:L88"/>
    <mergeCell ref="B89:L89"/>
    <mergeCell ref="AG89:BE89"/>
    <mergeCell ref="AG88:BE88"/>
    <mergeCell ref="AG87:BE87"/>
    <mergeCell ref="M89:V89"/>
    <mergeCell ref="W89:AA89"/>
    <mergeCell ref="AB89:AF89"/>
    <mergeCell ref="M88:V88"/>
    <mergeCell ref="W88:AA88"/>
    <mergeCell ref="AB88:AF88"/>
    <mergeCell ref="M87:V87"/>
    <mergeCell ref="W87:AA87"/>
    <mergeCell ref="AB87:AF87"/>
    <mergeCell ref="B87:L87"/>
    <mergeCell ref="BA83:BE83"/>
    <mergeCell ref="M83:V83"/>
    <mergeCell ref="B83:L83"/>
    <mergeCell ref="AQ82:AU82"/>
    <mergeCell ref="AV83:AZ83"/>
    <mergeCell ref="AG86:BE86"/>
    <mergeCell ref="B86:L86"/>
    <mergeCell ref="M86:V86"/>
    <mergeCell ref="AB86:AF86"/>
    <mergeCell ref="W83:AF83"/>
    <mergeCell ref="AG83:AP83"/>
    <mergeCell ref="W86:AA86"/>
    <mergeCell ref="AQ83:AU83"/>
    <mergeCell ref="AV82:AZ82"/>
    <mergeCell ref="BA82:BE82"/>
    <mergeCell ref="AX81:BA81"/>
    <mergeCell ref="BB81:BE81"/>
    <mergeCell ref="BA80:BE80"/>
    <mergeCell ref="J81:W81"/>
    <mergeCell ref="AQ79:AU79"/>
    <mergeCell ref="AV79:AZ79"/>
    <mergeCell ref="B81:I81"/>
    <mergeCell ref="AT81:AW81"/>
    <mergeCell ref="W82:AF82"/>
    <mergeCell ref="AG82:AP82"/>
    <mergeCell ref="X81:AI81"/>
    <mergeCell ref="AJ81:AS81"/>
    <mergeCell ref="B80:L80"/>
    <mergeCell ref="M80:V80"/>
    <mergeCell ref="AV80:AZ80"/>
    <mergeCell ref="B82:L82"/>
    <mergeCell ref="M82:V82"/>
    <mergeCell ref="W80:AF80"/>
    <mergeCell ref="AG80:AP80"/>
    <mergeCell ref="AQ80:AU80"/>
    <mergeCell ref="BA79:BE79"/>
    <mergeCell ref="W79:AF79"/>
    <mergeCell ref="AG79:AP79"/>
    <mergeCell ref="AN17:AQ17"/>
    <mergeCell ref="AU17:AX17"/>
    <mergeCell ref="BB17:BE17"/>
    <mergeCell ref="B65:AB68"/>
    <mergeCell ref="B79:L79"/>
    <mergeCell ref="M79:V79"/>
    <mergeCell ref="B29:AB32"/>
    <mergeCell ref="Q38:S38"/>
    <mergeCell ref="B38:J38"/>
    <mergeCell ref="AE29:BE32"/>
    <mergeCell ref="B35:J37"/>
    <mergeCell ref="BB19:BE19"/>
    <mergeCell ref="AN22:AQ22"/>
    <mergeCell ref="AU22:AX22"/>
    <mergeCell ref="BB22:BE22"/>
    <mergeCell ref="AU23:AX23"/>
    <mergeCell ref="AN23:AQ23"/>
    <mergeCell ref="AC38:BE38"/>
    <mergeCell ref="AU19:AX19"/>
    <mergeCell ref="BI1:BU1"/>
    <mergeCell ref="BQ24:BU24"/>
    <mergeCell ref="BJ21:BU21"/>
    <mergeCell ref="BJ22:BU22"/>
    <mergeCell ref="BJ23:BU23"/>
    <mergeCell ref="V14:W14"/>
    <mergeCell ref="AN18:AQ18"/>
    <mergeCell ref="AU18:AX18"/>
    <mergeCell ref="BB18:BE18"/>
    <mergeCell ref="AS15:AX15"/>
    <mergeCell ref="AE15:AJ15"/>
    <mergeCell ref="AL15:AO15"/>
    <mergeCell ref="AP15:AQ15"/>
    <mergeCell ref="I15:V15"/>
    <mergeCell ref="X15:AB15"/>
    <mergeCell ref="I16:L16"/>
    <mergeCell ref="N16:Q16"/>
    <mergeCell ref="BB24:BE24"/>
    <mergeCell ref="AN24:AQ24"/>
    <mergeCell ref="AU24:AX24"/>
    <mergeCell ref="B8:AB11"/>
    <mergeCell ref="BB23:BE23"/>
    <mergeCell ref="AN19:AQ19"/>
    <mergeCell ref="AZ15:BE15"/>
    <mergeCell ref="BW24:CC24"/>
    <mergeCell ref="BW43:CC43"/>
    <mergeCell ref="B2:BE2"/>
    <mergeCell ref="B3:BE3"/>
    <mergeCell ref="H4:J4"/>
    <mergeCell ref="B5:AR5"/>
    <mergeCell ref="K35:P35"/>
    <mergeCell ref="Q35:S37"/>
    <mergeCell ref="T35:AB35"/>
    <mergeCell ref="AC35:BE37"/>
    <mergeCell ref="Z36:AB37"/>
    <mergeCell ref="K36:M37"/>
    <mergeCell ref="N36:P37"/>
    <mergeCell ref="T36:V37"/>
    <mergeCell ref="W36:Y37"/>
    <mergeCell ref="AE8:BE11"/>
    <mergeCell ref="B15:G15"/>
    <mergeCell ref="K38:M38"/>
    <mergeCell ref="N38:P38"/>
    <mergeCell ref="T38:V38"/>
    <mergeCell ref="W38:Y38"/>
    <mergeCell ref="Z38:AB38"/>
    <mergeCell ref="BL24:BP24"/>
    <mergeCell ref="S16:V16"/>
  </mergeCells>
  <conditionalFormatting sqref="K38">
    <cfRule type="cellIs" dxfId="1471" priority="823" stopIfTrue="1" operator="greaterThan">
      <formula>$Q38*1.1</formula>
    </cfRule>
    <cfRule type="cellIs" dxfId="1470" priority="824" operator="greaterThan">
      <formula>$Q38</formula>
    </cfRule>
    <cfRule type="cellIs" dxfId="1469" priority="825" operator="lessThanOrEqual">
      <formula>$Q38</formula>
    </cfRule>
  </conditionalFormatting>
  <conditionalFormatting sqref="T38 W38 Z38">
    <cfRule type="cellIs" dxfId="1468" priority="820" stopIfTrue="1" operator="greaterThan">
      <formula>$Q38*1.1</formula>
    </cfRule>
    <cfRule type="cellIs" dxfId="1467" priority="821" operator="greaterThan">
      <formula>$Q38</formula>
    </cfRule>
    <cfRule type="cellIs" dxfId="1466" priority="822" operator="lessThanOrEqual">
      <formula>$Q38</formula>
    </cfRule>
  </conditionalFormatting>
  <conditionalFormatting sqref="A1:BH6 B78:BE78 BF35:BG38 BG39:BG41 AD70:AD75 B90:BE1048576 BW91:XFD1048576 BV15 BV57 B69:BE69 BJ41:BU77 K38:AB38 B33:BE34 B35:J37 BF30:BH34 AC35:BE37 A20:D24 A25 A30:A61 B39:BE63 B25:D28 U26:AB27 AY25:BA27 AR25:AT27 AK25:AM27 F25:F27 B81:BE81 BG42:BH1048576 A67:A1048576 BF39:BF1048576 BV58:XFD90 K27:L27 B82:AU82 U25:W25">
    <cfRule type="cellIs" dxfId="1465" priority="795" operator="equal">
      <formula>"XXX"</formula>
    </cfRule>
  </conditionalFormatting>
  <conditionalFormatting sqref="A7:BH7 A15:A19 AC15:AD15 A26:A29 F28:AD28 BF17:BH29 AC17:AD19 BF15:BH15 U24:W24 A8:A11 BF8:BH11 A12:BH14 AC16:AG16 AI16:BH16 AJ17 AI22 F24 H20:H24 J24:L24 AC20:AH20">
    <cfRule type="cellIs" dxfId="1464" priority="793" operator="equal">
      <formula>"XXX"</formula>
    </cfRule>
  </conditionalFormatting>
  <conditionalFormatting sqref="AE28:AG28 AI28:BE28 AY22:BA24 AR22:AT24 AK22:AM24">
    <cfRule type="cellIs" dxfId="1463" priority="792" operator="equal">
      <formula>"XXX"</formula>
    </cfRule>
  </conditionalFormatting>
  <conditionalFormatting sqref="AJ22">
    <cfRule type="cellIs" dxfId="1462" priority="784" operator="equal">
      <formula>"XXX"</formula>
    </cfRule>
  </conditionalFormatting>
  <conditionalFormatting sqref="BB17:BE18 BB22:BE22 BB23">
    <cfRule type="cellIs" dxfId="1461" priority="783" operator="lessThan">
      <formula>0</formula>
    </cfRule>
  </conditionalFormatting>
  <conditionalFormatting sqref="A62:A66 AD64">
    <cfRule type="cellIs" dxfId="1460" priority="782" operator="equal">
      <formula>"XXX"</formula>
    </cfRule>
  </conditionalFormatting>
  <conditionalFormatting sqref="F64:AB64 B64:D64">
    <cfRule type="cellIs" dxfId="1459" priority="781" operator="equal">
      <formula>"XXX"</formula>
    </cfRule>
  </conditionalFormatting>
  <conditionalFormatting sqref="AI64:BE64 AE64:AG64">
    <cfRule type="cellIs" dxfId="1458" priority="779" operator="equal">
      <formula>"XXX"</formula>
    </cfRule>
  </conditionalFormatting>
  <conditionalFormatting sqref="N38">
    <cfRule type="cellIs" dxfId="1457" priority="770" stopIfTrue="1" operator="greaterThan">
      <formula>$Q38*1.1</formula>
    </cfRule>
    <cfRule type="cellIs" dxfId="1456" priority="771" operator="greaterThan">
      <formula>$Q38</formula>
    </cfRule>
    <cfRule type="cellIs" dxfId="1455" priority="772" operator="lessThanOrEqual">
      <formula>$Q38</formula>
    </cfRule>
  </conditionalFormatting>
  <conditionalFormatting sqref="N38">
    <cfRule type="cellIs" dxfId="1454" priority="740" stopIfTrue="1" operator="greaterThan">
      <formula>$Q38*1.1</formula>
    </cfRule>
    <cfRule type="cellIs" dxfId="1453" priority="741" operator="greaterThan">
      <formula>$Q38</formula>
    </cfRule>
    <cfRule type="cellIs" dxfId="1452" priority="742" operator="lessThanOrEqual">
      <formula>$Q38</formula>
    </cfRule>
  </conditionalFormatting>
  <conditionalFormatting sqref="AU17:AX18 AU22:AX23">
    <cfRule type="cellIs" dxfId="1451" priority="702" operator="lessThan">
      <formula>0</formula>
    </cfRule>
  </conditionalFormatting>
  <conditionalFormatting sqref="B76:BE77">
    <cfRule type="cellIs" dxfId="1450" priority="700" operator="equal">
      <formula>"XXX"</formula>
    </cfRule>
  </conditionalFormatting>
  <conditionalFormatting sqref="BH37 BH39:BH41">
    <cfRule type="cellIs" dxfId="1449" priority="478" operator="equal">
      <formula>"XXX"</formula>
    </cfRule>
  </conditionalFormatting>
  <conditionalFormatting sqref="BH35">
    <cfRule type="cellIs" dxfId="1448" priority="477" operator="equal">
      <formula>"XXX"</formula>
    </cfRule>
  </conditionalFormatting>
  <conditionalFormatting sqref="BH36">
    <cfRule type="cellIs" dxfId="1447" priority="476" operator="equal">
      <formula>"XXX"</formula>
    </cfRule>
  </conditionalFormatting>
  <conditionalFormatting sqref="BW1:BX3 BY1:CC23 BW17:BX23 BX15:BX16">
    <cfRule type="cellIs" dxfId="1446" priority="445" operator="equal">
      <formula>"XXX"</formula>
    </cfRule>
  </conditionalFormatting>
  <conditionalFormatting sqref="BW40:BX42 BY39:CC42">
    <cfRule type="cellIs" dxfId="1445" priority="444" operator="equal">
      <formula>"XXX"</formula>
    </cfRule>
  </conditionalFormatting>
  <conditionalFormatting sqref="BW26:BX38">
    <cfRule type="cellIs" dxfId="1444" priority="443" operator="equal">
      <formula>"XXX"</formula>
    </cfRule>
  </conditionalFormatting>
  <conditionalFormatting sqref="BW45:BX57">
    <cfRule type="cellIs" dxfId="1443" priority="439" operator="equal">
      <formula>"XXX"</formula>
    </cfRule>
  </conditionalFormatting>
  <conditionalFormatting sqref="I24">
    <cfRule type="cellIs" dxfId="1442" priority="417" operator="equal">
      <formula>"XXX"</formula>
    </cfRule>
  </conditionalFormatting>
  <conditionalFormatting sqref="I24">
    <cfRule type="cellIs" dxfId="1441" priority="416" operator="equal">
      <formula>$A$1</formula>
    </cfRule>
  </conditionalFormatting>
  <conditionalFormatting sqref="AD65:AD68">
    <cfRule type="cellIs" dxfId="1440" priority="342" operator="equal">
      <formula>"XXX"</formula>
    </cfRule>
  </conditionalFormatting>
  <conditionalFormatting sqref="B79:AU79">
    <cfRule type="cellIs" dxfId="1439" priority="242" operator="equal">
      <formula>"XXX"</formula>
    </cfRule>
  </conditionalFormatting>
  <conditionalFormatting sqref="B84:BE86">
    <cfRule type="cellIs" dxfId="1438" priority="202" operator="equal">
      <formula>"XXX"</formula>
    </cfRule>
  </conditionalFormatting>
  <conditionalFormatting sqref="M83:AU83">
    <cfRule type="cellIs" dxfId="1437" priority="190" operator="equal">
      <formula>"XXX"</formula>
    </cfRule>
  </conditionalFormatting>
  <conditionalFormatting sqref="B83:L83">
    <cfRule type="cellIs" dxfId="1436" priority="189" operator="equal">
      <formula>"XXX"</formula>
    </cfRule>
  </conditionalFormatting>
  <conditionalFormatting sqref="B83:L83">
    <cfRule type="cellIs" dxfId="1435" priority="188" operator="equal">
      <formula>"XXX"</formula>
    </cfRule>
  </conditionalFormatting>
  <conditionalFormatting sqref="AE65">
    <cfRule type="cellIs" dxfId="1434" priority="169" operator="equal">
      <formula>"XXX"</formula>
    </cfRule>
  </conditionalFormatting>
  <conditionalFormatting sqref="M80:AU80">
    <cfRule type="cellIs" dxfId="1433" priority="168" operator="equal">
      <formula>"XXX"</formula>
    </cfRule>
  </conditionalFormatting>
  <conditionalFormatting sqref="B38:J38">
    <cfRule type="cellIs" dxfId="1432" priority="163" operator="equal">
      <formula>"XXX"</formula>
    </cfRule>
  </conditionalFormatting>
  <conditionalFormatting sqref="BJ21">
    <cfRule type="cellIs" dxfId="1431" priority="162" operator="equal">
      <formula>#REF!</formula>
    </cfRule>
  </conditionalFormatting>
  <conditionalFormatting sqref="BJ16:BV16">
    <cfRule type="expression" dxfId="1430" priority="158">
      <formula>(AND(BJ$5=$BX$5,LEN(BJ$16)=0))</formula>
    </cfRule>
  </conditionalFormatting>
  <conditionalFormatting sqref="BJ16">
    <cfRule type="expression" dxfId="1429" priority="159">
      <formula>(AND(BJ$5=$BX$5,LEN(BJ$16)=0))</formula>
    </cfRule>
  </conditionalFormatting>
  <conditionalFormatting sqref="B80:L80">
    <cfRule type="cellIs" dxfId="1428" priority="146" operator="equal">
      <formula>"XXX"</formula>
    </cfRule>
  </conditionalFormatting>
  <conditionalFormatting sqref="B80:L80">
    <cfRule type="cellIs" dxfId="1427" priority="145" operator="equal">
      <formula>"XXX"</formula>
    </cfRule>
  </conditionalFormatting>
  <conditionalFormatting sqref="G24">
    <cfRule type="cellIs" dxfId="1426" priority="139" operator="equal">
      <formula>"XXX"</formula>
    </cfRule>
  </conditionalFormatting>
  <conditionalFormatting sqref="F22">
    <cfRule type="cellIs" dxfId="1425" priority="137" operator="equal">
      <formula>"XXX"</formula>
    </cfRule>
  </conditionalFormatting>
  <conditionalFormatting sqref="G22:G23">
    <cfRule type="cellIs" dxfId="1424" priority="136" operator="equal">
      <formula>"XXX"</formula>
    </cfRule>
  </conditionalFormatting>
  <conditionalFormatting sqref="G22:G23">
    <cfRule type="cellIs" dxfId="1423" priority="135" operator="notEqual">
      <formula>0</formula>
    </cfRule>
  </conditionalFormatting>
  <conditionalFormatting sqref="BH38">
    <cfRule type="cellIs" dxfId="1422" priority="118" operator="equal">
      <formula>"XXX"</formula>
    </cfRule>
  </conditionalFormatting>
  <conditionalFormatting sqref="B87:L89">
    <cfRule type="cellIs" dxfId="1421" priority="67" operator="equal">
      <formula>"XXX"</formula>
    </cfRule>
  </conditionalFormatting>
  <conditionalFormatting sqref="BA79:BE79">
    <cfRule type="cellIs" dxfId="1420" priority="62" operator="equal">
      <formula>"XXX"</formula>
    </cfRule>
  </conditionalFormatting>
  <conditionalFormatting sqref="AV80">
    <cfRule type="cellIs" dxfId="1419" priority="61" operator="equal">
      <formula>"XXX"</formula>
    </cfRule>
  </conditionalFormatting>
  <conditionalFormatting sqref="AV80">
    <cfRule type="cellIs" dxfId="1418" priority="60" operator="equal">
      <formula>"XXX"</formula>
    </cfRule>
  </conditionalFormatting>
  <conditionalFormatting sqref="BA80">
    <cfRule type="cellIs" dxfId="1417" priority="57" operator="equal">
      <formula>"Paused"</formula>
    </cfRule>
    <cfRule type="cellIs" dxfId="1416" priority="58" operator="equal">
      <formula>"Caution"</formula>
    </cfRule>
    <cfRule type="cellIs" dxfId="1415" priority="59" operator="equal">
      <formula>"On Track"</formula>
    </cfRule>
  </conditionalFormatting>
  <conditionalFormatting sqref="BA80:BE80">
    <cfRule type="cellIs" dxfId="1414" priority="56" operator="equal">
      <formula>"""Cancelled"""</formula>
    </cfRule>
  </conditionalFormatting>
  <conditionalFormatting sqref="AV79">
    <cfRule type="cellIs" dxfId="1413" priority="54" operator="equal">
      <formula>"XXX"</formula>
    </cfRule>
  </conditionalFormatting>
  <conditionalFormatting sqref="AV79">
    <cfRule type="cellIs" dxfId="1412" priority="55" operator="equal">
      <formula>"XXX"</formula>
    </cfRule>
  </conditionalFormatting>
  <conditionalFormatting sqref="BA82:BE82">
    <cfRule type="cellIs" dxfId="1411" priority="53" operator="equal">
      <formula>"XXX"</formula>
    </cfRule>
  </conditionalFormatting>
  <conditionalFormatting sqref="AV83">
    <cfRule type="cellIs" dxfId="1410" priority="52" operator="equal">
      <formula>"XXX"</formula>
    </cfRule>
  </conditionalFormatting>
  <conditionalFormatting sqref="AV83">
    <cfRule type="cellIs" dxfId="1409" priority="51" operator="equal">
      <formula>"XXX"</formula>
    </cfRule>
  </conditionalFormatting>
  <conditionalFormatting sqref="BA83">
    <cfRule type="cellIs" dxfId="1408" priority="48" operator="equal">
      <formula>"Paused"</formula>
    </cfRule>
    <cfRule type="cellIs" dxfId="1407" priority="49" operator="equal">
      <formula>"Caution"</formula>
    </cfRule>
    <cfRule type="cellIs" dxfId="1406" priority="50" operator="equal">
      <formula>"On Track"</formula>
    </cfRule>
  </conditionalFormatting>
  <conditionalFormatting sqref="BA83:BE83">
    <cfRule type="cellIs" dxfId="1405" priority="47" operator="equal">
      <formula>"""Cancelled"""</formula>
    </cfRule>
  </conditionalFormatting>
  <conditionalFormatting sqref="AV82">
    <cfRule type="cellIs" dxfId="1404" priority="45" operator="equal">
      <formula>"XXX"</formula>
    </cfRule>
  </conditionalFormatting>
  <conditionalFormatting sqref="AV82">
    <cfRule type="cellIs" dxfId="1403" priority="46" operator="equal">
      <formula>"XXX"</formula>
    </cfRule>
  </conditionalFormatting>
  <conditionalFormatting sqref="X24:AB24">
    <cfRule type="cellIs" dxfId="1402" priority="44" operator="equal">
      <formula>"XXX"</formula>
    </cfRule>
  </conditionalFormatting>
  <conditionalFormatting sqref="Z16:Z21">
    <cfRule type="cellIs" dxfId="1401" priority="43" operator="equal">
      <formula>"XXX"</formula>
    </cfRule>
  </conditionalFormatting>
  <conditionalFormatting sqref="Y16:Y18 Y21">
    <cfRule type="cellIs" dxfId="1400" priority="42" operator="equal">
      <formula>"XXX"</formula>
    </cfRule>
  </conditionalFormatting>
  <conditionalFormatting sqref="Y19:Y20">
    <cfRule type="cellIs" dxfId="1399" priority="41" operator="equal">
      <formula>"XXX"</formula>
    </cfRule>
  </conditionalFormatting>
  <conditionalFormatting sqref="Y22:Y23">
    <cfRule type="cellIs" dxfId="1398" priority="40" operator="equal">
      <formula>"XXX"</formula>
    </cfRule>
  </conditionalFormatting>
  <conditionalFormatting sqref="W87:AF87 W89:AF89 AB88:AF88">
    <cfRule type="cellIs" dxfId="1397" priority="36" operator="equal">
      <formula>"XXX"</formula>
    </cfRule>
  </conditionalFormatting>
  <conditionalFormatting sqref="W88:AA88">
    <cfRule type="cellIs" dxfId="1396" priority="33" operator="equal">
      <formula>"XXX"</formula>
    </cfRule>
  </conditionalFormatting>
  <conditionalFormatting sqref="M87:V88">
    <cfRule type="cellIs" dxfId="1395" priority="35" operator="equal">
      <formula>"XXX"</formula>
    </cfRule>
  </conditionalFormatting>
  <conditionalFormatting sqref="M89:V89">
    <cfRule type="cellIs" dxfId="1394" priority="34" operator="equal">
      <formula>"XXX"</formula>
    </cfRule>
  </conditionalFormatting>
  <conditionalFormatting sqref="K35:AB35 Q36:AB37">
    <cfRule type="cellIs" dxfId="1393" priority="32" operator="equal">
      <formula>"XXX"</formula>
    </cfRule>
  </conditionalFormatting>
  <conditionalFormatting sqref="K36:P37">
    <cfRule type="cellIs" dxfId="1392" priority="31" operator="equal">
      <formula>"XXX"</formula>
    </cfRule>
  </conditionalFormatting>
  <conditionalFormatting sqref="AC8:AD11">
    <cfRule type="cellIs" dxfId="1391" priority="30" operator="equal">
      <formula>"XXX"</formula>
    </cfRule>
  </conditionalFormatting>
  <conditionalFormatting sqref="AE8">
    <cfRule type="cellIs" dxfId="1390" priority="29" operator="equal">
      <formula>"XXX"</formula>
    </cfRule>
  </conditionalFormatting>
  <conditionalFormatting sqref="B8">
    <cfRule type="cellIs" dxfId="1389" priority="28" operator="equal">
      <formula>"XXX"</formula>
    </cfRule>
  </conditionalFormatting>
  <conditionalFormatting sqref="AC29:AD32">
    <cfRule type="cellIs" dxfId="1388" priority="27" operator="equal">
      <formula>"XXX"</formula>
    </cfRule>
  </conditionalFormatting>
  <conditionalFormatting sqref="AE29">
    <cfRule type="cellIs" dxfId="1387" priority="26" operator="equal">
      <formula>"XXX"</formula>
    </cfRule>
  </conditionalFormatting>
  <conditionalFormatting sqref="B29">
    <cfRule type="cellIs" dxfId="1386" priority="25" operator="equal">
      <formula>"XXX"</formula>
    </cfRule>
  </conditionalFormatting>
  <conditionalFormatting sqref="H25:H26 J25:L26">
    <cfRule type="cellIs" dxfId="1385" priority="14" operator="equal">
      <formula>"XXX"</formula>
    </cfRule>
  </conditionalFormatting>
  <conditionalFormatting sqref="I25">
    <cfRule type="cellIs" dxfId="1384" priority="10" operator="equal">
      <formula>$A$1</formula>
    </cfRule>
  </conditionalFormatting>
  <conditionalFormatting sqref="G25">
    <cfRule type="cellIs" dxfId="1383" priority="9" operator="equal">
      <formula>"XXX"</formula>
    </cfRule>
  </conditionalFormatting>
  <conditionalFormatting sqref="G25">
    <cfRule type="cellIs" dxfId="1382" priority="8" operator="notEqual">
      <formula>0</formula>
    </cfRule>
  </conditionalFormatting>
  <conditionalFormatting sqref="G26">
    <cfRule type="cellIs" dxfId="1381" priority="7" operator="equal">
      <formula>"XXX"</formula>
    </cfRule>
  </conditionalFormatting>
  <conditionalFormatting sqref="G26">
    <cfRule type="expression" dxfId="1380" priority="5">
      <formula>$G$25=0</formula>
    </cfRule>
    <cfRule type="cellIs" dxfId="1379" priority="6" operator="notEqual">
      <formula>0</formula>
    </cfRule>
  </conditionalFormatting>
  <conditionalFormatting sqref="AC38:BE38">
    <cfRule type="cellIs" dxfId="1378" priority="4" operator="equal">
      <formula>"XXX"</formula>
    </cfRule>
  </conditionalFormatting>
  <conditionalFormatting sqref="B65">
    <cfRule type="cellIs" dxfId="1377" priority="3" operator="equal">
      <formula>"XXX"</formula>
    </cfRule>
  </conditionalFormatting>
  <conditionalFormatting sqref="I26">
    <cfRule type="cellIs" dxfId="1376" priority="2" operator="equal">
      <formula>"XXX"</formula>
    </cfRule>
  </conditionalFormatting>
  <conditionalFormatting sqref="I26">
    <cfRule type="cellIs" dxfId="1375" priority="1" operator="equal">
      <formula>$A$1</formula>
    </cfRule>
  </conditionalFormatting>
  <dataValidations count="4">
    <dataValidation type="whole" operator="greaterThanOrEqual" allowBlank="1" showInputMessage="1" showErrorMessage="1" errorTitle="Positive Value" error="This value must be entered as a positive number." sqref="BJ8:BV8 BJ12:BV14 BJ10:BV10 BJ6:BV6" xr:uid="{00000000-0002-0000-1D00-000003000000}">
      <formula1>0</formula1>
    </dataValidation>
    <dataValidation type="whole" operator="lessThan" allowBlank="1" showInputMessage="1" showErrorMessage="1" errorTitle="Negative Value" error="This value must be entered as a negative number." sqref="BJ7:BV7 BJ9:BV9 BJ11:BV11" xr:uid="{00000000-0002-0000-1D00-000004000000}">
      <formula1>0</formula1>
    </dataValidation>
    <dataValidation type="list" allowBlank="1" showInputMessage="1" showErrorMessage="1" sqref="AV80:AZ80 AV83:AZ83" xr:uid="{B14D32FB-99DD-468C-B201-5DB4F8CEF799}">
      <formula1>"Project, Process Improvement, RPA, Dashboarding"</formula1>
    </dataValidation>
    <dataValidation type="list" allowBlank="1" showInputMessage="1" showErrorMessage="1" sqref="BA80:BE80 BA83:BE83" xr:uid="{995C8BE3-0839-4C4F-B5E7-94AABF292EF8}">
      <formula1>"Not Started, On Track, Caution, Paused, Cancelled"</formula1>
    </dataValidation>
  </dataValidations>
  <printOptions horizontalCentered="1"/>
  <pageMargins left="0.25" right="0.25" top="0.25" bottom="0.5" header="0.3" footer="0.3"/>
  <pageSetup scale="66" orientation="landscape" r:id="rId1"/>
  <headerFooter>
    <oddFooter>&amp;R&amp;F | &amp;A
Printed &amp;D @ &amp;T
&amp;P</oddFooter>
  </headerFooter>
  <rowBreaks count="2" manualBreakCount="2">
    <brk id="43" max="57" man="1"/>
    <brk id="77"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785" operator="equal" id="{A479C43D-9A19-420E-A0C4-E0B5C6176BDA}">
            <xm:f>AR!$A$1</xm:f>
            <x14:dxf>
              <font>
                <color theme="0"/>
              </font>
            </x14:dxf>
          </x14:cfRule>
          <xm:sqref>J24</xm:sqref>
        </x14:conditionalFormatting>
        <x14:conditionalFormatting xmlns:xm="http://schemas.microsoft.com/office/excel/2006/main">
          <x14:cfRule type="cellIs" priority="13" operator="equal" id="{6B209E84-D855-4371-99E4-79EA7463E162}">
            <xm:f>AR!$A$1</xm:f>
            <x14:dxf>
              <font>
                <color theme="0"/>
              </font>
            </x14:dxf>
          </x14:cfRule>
          <xm:sqref>J25:J26</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3">
    <tabColor rgb="FF00B050"/>
  </sheetPr>
  <dimension ref="A1:CC115"/>
  <sheetViews>
    <sheetView showGridLines="0" topLeftCell="A22" zoomScaleNormal="100" workbookViewId="0">
      <selection activeCell="BH40" sqref="BH38:BH41"/>
    </sheetView>
  </sheetViews>
  <sheetFormatPr defaultColWidth="3.28515625" defaultRowHeight="14.65" customHeight="1"/>
  <cols>
    <col min="1" max="59" width="3.28515625" style="37"/>
    <col min="60" max="60" width="4.7109375" style="37" bestFit="1" customWidth="1"/>
    <col min="61" max="61" width="18.42578125" customWidth="1"/>
    <col min="62" max="73" width="12.7109375" customWidth="1"/>
    <col min="74" max="74" width="10.140625" customWidth="1"/>
    <col min="75" max="75" width="15.7109375" style="6" bestFit="1" customWidth="1"/>
    <col min="76" max="76" width="8.5703125" style="6" bestFit="1" customWidth="1"/>
    <col min="77" max="77" width="11.28515625" style="6" bestFit="1" customWidth="1"/>
    <col min="78" max="78" width="8.28515625" style="6" bestFit="1" customWidth="1"/>
    <col min="79" max="79" width="9.7109375" style="6" bestFit="1" customWidth="1"/>
    <col min="80" max="80" width="4.7109375" style="6" bestFit="1" customWidth="1"/>
    <col min="81" max="81" width="5.28515625" style="6" bestFit="1" customWidth="1"/>
    <col min="82" max="16384" width="3.28515625" style="37"/>
  </cols>
  <sheetData>
    <row r="1" spans="2:76" ht="14.65" customHeight="1">
      <c r="BI1" s="1525" t="s">
        <v>541</v>
      </c>
      <c r="BJ1" s="1525"/>
      <c r="BK1" s="1525"/>
      <c r="BL1" s="1525"/>
      <c r="BM1" s="1525"/>
      <c r="BN1" s="1525"/>
      <c r="BO1" s="1525"/>
      <c r="BP1" s="1525"/>
      <c r="BQ1" s="1525"/>
      <c r="BR1" s="1525"/>
      <c r="BS1" s="1525"/>
      <c r="BT1" s="1525"/>
      <c r="BU1" s="1525"/>
    </row>
    <row r="2" spans="2:76" s="6" customFormat="1" ht="14.65" customHeight="1">
      <c r="B2" s="1494" t="s">
        <v>109</v>
      </c>
      <c r="C2" s="1494"/>
      <c r="D2" s="1494"/>
      <c r="E2" s="1494"/>
      <c r="F2" s="1494"/>
      <c r="G2" s="1494"/>
      <c r="H2" s="1494"/>
      <c r="I2" s="1494"/>
      <c r="J2" s="1494"/>
      <c r="K2" s="1494"/>
      <c r="L2" s="1494"/>
      <c r="M2" s="1494"/>
      <c r="N2" s="1494"/>
      <c r="O2" s="1494"/>
      <c r="P2" s="1494"/>
      <c r="Q2" s="1494"/>
      <c r="R2" s="1494"/>
      <c r="S2" s="1494"/>
      <c r="T2" s="1494"/>
      <c r="U2" s="1494"/>
      <c r="V2" s="1494"/>
      <c r="W2" s="1494"/>
      <c r="X2" s="1494"/>
      <c r="Y2" s="1494"/>
      <c r="Z2" s="1494"/>
      <c r="AA2" s="1494"/>
      <c r="AB2" s="1494"/>
      <c r="AC2" s="1494"/>
      <c r="AD2" s="1494"/>
      <c r="AE2" s="1494"/>
      <c r="AF2" s="1494"/>
      <c r="AG2" s="1494"/>
      <c r="AH2" s="1494"/>
      <c r="AI2" s="1494"/>
      <c r="AJ2" s="1494"/>
      <c r="AK2" s="1494"/>
      <c r="AL2" s="1494"/>
      <c r="AM2" s="1494"/>
      <c r="AN2" s="1494"/>
      <c r="AO2" s="1494"/>
      <c r="AP2" s="1494"/>
      <c r="AQ2" s="1494"/>
      <c r="AR2" s="1494"/>
      <c r="AS2" s="1494"/>
      <c r="AT2" s="1494"/>
      <c r="AU2" s="1494"/>
      <c r="AV2" s="1494"/>
      <c r="AW2" s="1494"/>
      <c r="AX2" s="1494"/>
      <c r="AY2" s="1494"/>
      <c r="AZ2" s="1494"/>
      <c r="BA2" s="1494"/>
      <c r="BB2" s="1494"/>
      <c r="BC2" s="1494"/>
      <c r="BD2" s="1494"/>
      <c r="BE2" s="1494"/>
      <c r="BI2" s="68" t="s">
        <v>170</v>
      </c>
      <c r="BJ2"/>
      <c r="BK2"/>
      <c r="BL2"/>
      <c r="BM2"/>
      <c r="BN2"/>
      <c r="BO2"/>
      <c r="BP2"/>
      <c r="BQ2"/>
      <c r="BR2"/>
      <c r="BS2"/>
      <c r="BT2"/>
      <c r="BU2"/>
      <c r="BV2"/>
    </row>
    <row r="3" spans="2:76" s="6" customFormat="1" ht="14.65" customHeight="1">
      <c r="B3" s="1495" t="s">
        <v>110</v>
      </c>
      <c r="C3" s="1495"/>
      <c r="D3" s="1495"/>
      <c r="E3" s="1495"/>
      <c r="F3" s="1495"/>
      <c r="G3" s="1495"/>
      <c r="H3" s="1495"/>
      <c r="I3" s="1495"/>
      <c r="J3" s="1495"/>
      <c r="K3" s="1495"/>
      <c r="L3" s="1495"/>
      <c r="M3" s="1495"/>
      <c r="N3" s="1495"/>
      <c r="O3" s="1495"/>
      <c r="P3" s="1495"/>
      <c r="Q3" s="1495"/>
      <c r="R3" s="1495"/>
      <c r="S3" s="1495"/>
      <c r="T3" s="1495"/>
      <c r="U3" s="1495"/>
      <c r="V3" s="1495"/>
      <c r="W3" s="1495"/>
      <c r="X3" s="1495"/>
      <c r="Y3" s="1495"/>
      <c r="Z3" s="1495"/>
      <c r="AA3" s="1495"/>
      <c r="AB3" s="1495"/>
      <c r="AC3" s="1495"/>
      <c r="AD3" s="1495"/>
      <c r="AE3" s="1495"/>
      <c r="AF3" s="1495"/>
      <c r="AG3" s="1495"/>
      <c r="AH3" s="1495"/>
      <c r="AI3" s="1495"/>
      <c r="AJ3" s="1495"/>
      <c r="AK3" s="1495"/>
      <c r="AL3" s="1495"/>
      <c r="AM3" s="1495"/>
      <c r="AN3" s="1495"/>
      <c r="AO3" s="1495"/>
      <c r="AP3" s="1495"/>
      <c r="AQ3" s="1495"/>
      <c r="AR3" s="1495"/>
      <c r="AS3" s="1495"/>
      <c r="AT3" s="1495"/>
      <c r="AU3" s="1495"/>
      <c r="AV3" s="1495"/>
      <c r="AW3" s="1495"/>
      <c r="AX3" s="1495"/>
      <c r="AY3" s="1495"/>
      <c r="AZ3" s="1495"/>
      <c r="BA3" s="1495"/>
      <c r="BB3" s="1495"/>
      <c r="BC3" s="1495"/>
      <c r="BD3" s="1495"/>
      <c r="BE3" s="1495"/>
      <c r="BI3" s="4" t="s">
        <v>261</v>
      </c>
      <c r="BJ3"/>
      <c r="BK3"/>
      <c r="BL3"/>
      <c r="BM3"/>
      <c r="BN3"/>
      <c r="BO3"/>
      <c r="BP3"/>
      <c r="BQ3"/>
      <c r="BR3"/>
      <c r="BS3"/>
      <c r="BT3"/>
      <c r="BU3"/>
      <c r="BV3"/>
    </row>
    <row r="4" spans="2:76" ht="14.65" customHeight="1">
      <c r="B4" s="36"/>
      <c r="C4" s="35"/>
      <c r="D4" s="34"/>
      <c r="E4" s="33"/>
      <c r="F4" s="33"/>
      <c r="G4" s="33"/>
      <c r="H4" s="1611"/>
      <c r="I4" s="1611"/>
      <c r="J4" s="1611"/>
      <c r="K4" s="32"/>
      <c r="L4" s="32"/>
      <c r="M4" s="32"/>
      <c r="N4" s="32"/>
      <c r="O4" s="32"/>
      <c r="P4" s="58"/>
      <c r="Q4" s="31"/>
      <c r="BI4" s="74" t="s">
        <v>23</v>
      </c>
      <c r="BJ4" s="74" t="s">
        <v>504</v>
      </c>
      <c r="BK4" s="74" t="s">
        <v>505</v>
      </c>
      <c r="BL4" s="74" t="s">
        <v>506</v>
      </c>
      <c r="BM4" s="74" t="s">
        <v>507</v>
      </c>
      <c r="BN4" s="74" t="s">
        <v>508</v>
      </c>
      <c r="BO4" s="74" t="s">
        <v>509</v>
      </c>
      <c r="BP4" s="74" t="s">
        <v>510</v>
      </c>
      <c r="BQ4" s="74" t="s">
        <v>511</v>
      </c>
      <c r="BR4" s="74" t="s">
        <v>512</v>
      </c>
      <c r="BS4" s="74" t="s">
        <v>513</v>
      </c>
      <c r="BT4" s="74" t="s">
        <v>514</v>
      </c>
      <c r="BU4" s="74" t="s">
        <v>515</v>
      </c>
      <c r="BV4" s="74" t="s">
        <v>516</v>
      </c>
      <c r="BX4" s="151" t="s">
        <v>262</v>
      </c>
    </row>
    <row r="5" spans="2:76" ht="14.65" customHeight="1">
      <c r="B5" s="1612" t="str">
        <f>ADJ!BI1</f>
        <v xml:space="preserve">Adjudication - Protect the Brand </v>
      </c>
      <c r="C5" s="1613"/>
      <c r="D5" s="1613"/>
      <c r="E5" s="1613"/>
      <c r="F5" s="1613"/>
      <c r="G5" s="1613"/>
      <c r="H5" s="1613"/>
      <c r="I5" s="1613"/>
      <c r="J5" s="1613"/>
      <c r="K5" s="1613"/>
      <c r="L5" s="1613"/>
      <c r="M5" s="1613"/>
      <c r="N5" s="1613"/>
      <c r="O5" s="1613"/>
      <c r="P5" s="1613"/>
      <c r="Q5" s="1613"/>
      <c r="R5" s="1613"/>
      <c r="S5" s="1613"/>
      <c r="T5" s="1613"/>
      <c r="U5" s="1613"/>
      <c r="V5" s="1613"/>
      <c r="W5" s="1613"/>
      <c r="X5" s="1613"/>
      <c r="Y5" s="1613"/>
      <c r="Z5" s="1613"/>
      <c r="AA5" s="1613"/>
      <c r="AB5" s="1613"/>
      <c r="AC5" s="1613"/>
      <c r="AD5" s="1613"/>
      <c r="AE5" s="1613"/>
      <c r="AF5" s="1613"/>
      <c r="AG5" s="1613"/>
      <c r="AH5" s="1613"/>
      <c r="AI5" s="1613"/>
      <c r="AJ5" s="1613"/>
      <c r="AK5" s="1613"/>
      <c r="AL5" s="1613"/>
      <c r="AM5" s="1613"/>
      <c r="AN5" s="1613"/>
      <c r="AO5" s="1613"/>
      <c r="AP5" s="1613"/>
      <c r="AQ5" s="1613"/>
      <c r="AR5" s="1613"/>
      <c r="AS5" s="731"/>
      <c r="AT5" s="731"/>
      <c r="AU5" s="731"/>
      <c r="AV5" s="731"/>
      <c r="AW5" s="731"/>
      <c r="AX5" s="731"/>
      <c r="AY5" s="731"/>
      <c r="AZ5" s="731"/>
      <c r="BA5" s="731"/>
      <c r="BB5" s="731"/>
      <c r="BC5" s="731"/>
      <c r="BD5" s="731"/>
      <c r="BE5" s="732" t="str">
        <f>Cover!M34</f>
        <v>OCT FY-24</v>
      </c>
      <c r="BI5" s="74" t="s">
        <v>37</v>
      </c>
      <c r="BJ5" s="74">
        <v>-1</v>
      </c>
      <c r="BK5" s="74">
        <v>1</v>
      </c>
      <c r="BL5" s="74">
        <v>2</v>
      </c>
      <c r="BM5" s="74">
        <v>3</v>
      </c>
      <c r="BN5" s="74">
        <v>4</v>
      </c>
      <c r="BO5" s="74">
        <v>5</v>
      </c>
      <c r="BP5" s="74">
        <v>6</v>
      </c>
      <c r="BQ5" s="74">
        <v>7</v>
      </c>
      <c r="BR5" s="74">
        <v>8</v>
      </c>
      <c r="BS5" s="74">
        <v>9</v>
      </c>
      <c r="BT5" s="74">
        <v>10</v>
      </c>
      <c r="BU5" s="74">
        <v>11</v>
      </c>
      <c r="BV5" s="74">
        <v>12</v>
      </c>
      <c r="BX5" s="68">
        <f>Cover!M36</f>
        <v>1</v>
      </c>
    </row>
    <row r="6" spans="2:76" ht="14.65" customHeight="1">
      <c r="BI6" s="68" t="s">
        <v>263</v>
      </c>
      <c r="BJ6" s="717">
        <v>15</v>
      </c>
      <c r="BK6" s="718">
        <f>BJ14-BJ13</f>
        <v>15</v>
      </c>
      <c r="BL6" s="718">
        <f>BK14-BK13</f>
        <v>15</v>
      </c>
      <c r="BM6" s="718">
        <f>BL14-BL13</f>
        <v>15</v>
      </c>
      <c r="BN6" s="718">
        <f>BM14-BM13</f>
        <v>15</v>
      </c>
      <c r="BO6" s="718">
        <f>BN14-BN13</f>
        <v>15</v>
      </c>
      <c r="BP6" s="718">
        <f t="shared" ref="BP6:BV6" si="0">BO14-BO13</f>
        <v>15</v>
      </c>
      <c r="BQ6" s="718">
        <f t="shared" si="0"/>
        <v>15</v>
      </c>
      <c r="BR6" s="718">
        <f t="shared" si="0"/>
        <v>15</v>
      </c>
      <c r="BS6" s="718">
        <f t="shared" si="0"/>
        <v>15</v>
      </c>
      <c r="BT6" s="718">
        <f t="shared" si="0"/>
        <v>15</v>
      </c>
      <c r="BU6" s="718">
        <f t="shared" si="0"/>
        <v>15</v>
      </c>
      <c r="BV6" s="718">
        <f t="shared" si="0"/>
        <v>15</v>
      </c>
      <c r="BX6" s="68"/>
    </row>
    <row r="7" spans="2:76" s="6" customFormat="1" ht="14.65" customHeight="1">
      <c r="B7" s="45" t="s">
        <v>542</v>
      </c>
      <c r="C7" s="11"/>
      <c r="D7" s="11"/>
      <c r="E7" s="11"/>
      <c r="F7" s="11"/>
      <c r="G7" s="11"/>
      <c r="H7" s="11"/>
      <c r="I7" s="11"/>
      <c r="J7" s="11"/>
      <c r="K7" s="11"/>
      <c r="L7" s="11"/>
      <c r="M7" s="11"/>
      <c r="N7" s="11"/>
      <c r="O7" s="11"/>
      <c r="P7" s="11"/>
      <c r="Q7" s="11"/>
      <c r="R7" s="11"/>
      <c r="S7" s="11"/>
      <c r="T7" s="11"/>
      <c r="U7" s="11"/>
      <c r="V7" s="11"/>
      <c r="W7" s="11"/>
      <c r="X7" s="11"/>
      <c r="Y7" s="11"/>
      <c r="Z7" s="11"/>
      <c r="AA7" s="11"/>
      <c r="AB7" s="11"/>
      <c r="AE7" s="45" t="s">
        <v>265</v>
      </c>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I7" s="68" t="s">
        <v>266</v>
      </c>
      <c r="BJ7" s="717"/>
      <c r="BK7" s="717"/>
      <c r="BL7" s="717"/>
      <c r="BM7" s="717"/>
      <c r="BN7" s="717"/>
      <c r="BO7" s="717"/>
      <c r="BP7" s="717"/>
      <c r="BQ7" s="717"/>
      <c r="BR7" s="717"/>
      <c r="BS7" s="717"/>
      <c r="BT7" s="717"/>
      <c r="BU7" s="717"/>
      <c r="BV7" s="717"/>
      <c r="BX7" s="68"/>
    </row>
    <row r="8" spans="2:76" s="6" customFormat="1" ht="14.65" customHeight="1">
      <c r="B8" s="1510" t="s">
        <v>543</v>
      </c>
      <c r="C8" s="1511"/>
      <c r="D8" s="1511"/>
      <c r="E8" s="1511"/>
      <c r="F8" s="1511"/>
      <c r="G8" s="1511"/>
      <c r="H8" s="1511"/>
      <c r="I8" s="1511"/>
      <c r="J8" s="1511"/>
      <c r="K8" s="1511"/>
      <c r="L8" s="1511"/>
      <c r="M8" s="1511"/>
      <c r="N8" s="1511"/>
      <c r="O8" s="1511"/>
      <c r="P8" s="1511"/>
      <c r="Q8" s="1511"/>
      <c r="R8" s="1511"/>
      <c r="S8" s="1511"/>
      <c r="T8" s="1511"/>
      <c r="U8" s="1511"/>
      <c r="V8" s="1511"/>
      <c r="W8" s="1511"/>
      <c r="X8" s="1511"/>
      <c r="Y8" s="1511"/>
      <c r="Z8" s="1511"/>
      <c r="AA8" s="1511"/>
      <c r="AB8" s="1512"/>
      <c r="AE8" s="1510" t="s">
        <v>544</v>
      </c>
      <c r="AF8" s="1511"/>
      <c r="AG8" s="1511"/>
      <c r="AH8" s="1511"/>
      <c r="AI8" s="1511"/>
      <c r="AJ8" s="1511"/>
      <c r="AK8" s="1511"/>
      <c r="AL8" s="1511"/>
      <c r="AM8" s="1511"/>
      <c r="AN8" s="1511"/>
      <c r="AO8" s="1511"/>
      <c r="AP8" s="1511"/>
      <c r="AQ8" s="1511"/>
      <c r="AR8" s="1511"/>
      <c r="AS8" s="1511"/>
      <c r="AT8" s="1511"/>
      <c r="AU8" s="1511"/>
      <c r="AV8" s="1511"/>
      <c r="AW8" s="1511"/>
      <c r="AX8" s="1511"/>
      <c r="AY8" s="1511"/>
      <c r="AZ8" s="1511"/>
      <c r="BA8" s="1511"/>
      <c r="BB8" s="1511"/>
      <c r="BC8" s="1511"/>
      <c r="BD8" s="1511"/>
      <c r="BE8" s="1512"/>
      <c r="BI8" s="68" t="s">
        <v>269</v>
      </c>
      <c r="BJ8" s="717"/>
      <c r="BK8" s="717"/>
      <c r="BL8" s="717"/>
      <c r="BM8" s="717"/>
      <c r="BN8" s="717"/>
      <c r="BO8" s="717"/>
      <c r="BP8" s="717"/>
      <c r="BQ8" s="717"/>
      <c r="BR8" s="717"/>
      <c r="BS8" s="717"/>
      <c r="BT8" s="717"/>
      <c r="BU8" s="717"/>
      <c r="BV8" s="717"/>
      <c r="BX8" s="68"/>
    </row>
    <row r="9" spans="2:76" s="6" customFormat="1" ht="14.65" customHeight="1">
      <c r="B9" s="1513"/>
      <c r="C9" s="1514"/>
      <c r="D9" s="1514"/>
      <c r="E9" s="1514"/>
      <c r="F9" s="1514"/>
      <c r="G9" s="1514"/>
      <c r="H9" s="1514"/>
      <c r="I9" s="1514"/>
      <c r="J9" s="1514"/>
      <c r="K9" s="1514"/>
      <c r="L9" s="1514"/>
      <c r="M9" s="1514"/>
      <c r="N9" s="1514"/>
      <c r="O9" s="1514"/>
      <c r="P9" s="1514"/>
      <c r="Q9" s="1514"/>
      <c r="R9" s="1514"/>
      <c r="S9" s="1514"/>
      <c r="T9" s="1514"/>
      <c r="U9" s="1514"/>
      <c r="V9" s="1514"/>
      <c r="W9" s="1514"/>
      <c r="X9" s="1514"/>
      <c r="Y9" s="1514"/>
      <c r="Z9" s="1514"/>
      <c r="AA9" s="1514"/>
      <c r="AB9" s="1515"/>
      <c r="AE9" s="1513"/>
      <c r="AF9" s="1514"/>
      <c r="AG9" s="1514"/>
      <c r="AH9" s="1514"/>
      <c r="AI9" s="1514"/>
      <c r="AJ9" s="1514"/>
      <c r="AK9" s="1514"/>
      <c r="AL9" s="1514"/>
      <c r="AM9" s="1514"/>
      <c r="AN9" s="1514"/>
      <c r="AO9" s="1514"/>
      <c r="AP9" s="1514"/>
      <c r="AQ9" s="1514"/>
      <c r="AR9" s="1514"/>
      <c r="AS9" s="1514"/>
      <c r="AT9" s="1514"/>
      <c r="AU9" s="1514"/>
      <c r="AV9" s="1514"/>
      <c r="AW9" s="1514"/>
      <c r="AX9" s="1514"/>
      <c r="AY9" s="1514"/>
      <c r="AZ9" s="1514"/>
      <c r="BA9" s="1514"/>
      <c r="BB9" s="1514"/>
      <c r="BC9" s="1514"/>
      <c r="BD9" s="1514"/>
      <c r="BE9" s="1515"/>
      <c r="BI9" s="68" t="s">
        <v>270</v>
      </c>
      <c r="BJ9" s="717"/>
      <c r="BK9" s="717"/>
      <c r="BL9" s="717"/>
      <c r="BM9" s="717"/>
      <c r="BN9" s="717"/>
      <c r="BO9" s="717"/>
      <c r="BP9" s="717"/>
      <c r="BQ9" s="717"/>
      <c r="BR9" s="717"/>
      <c r="BS9" s="717"/>
      <c r="BT9" s="717"/>
      <c r="BU9" s="717"/>
      <c r="BV9" s="717"/>
      <c r="BX9" s="68"/>
    </row>
    <row r="10" spans="2:76" s="6" customFormat="1" ht="14.65" customHeight="1">
      <c r="B10" s="1513"/>
      <c r="C10" s="1514"/>
      <c r="D10" s="1514"/>
      <c r="E10" s="1514"/>
      <c r="F10" s="1514"/>
      <c r="G10" s="1514"/>
      <c r="H10" s="1514"/>
      <c r="I10" s="1514"/>
      <c r="J10" s="1514"/>
      <c r="K10" s="1514"/>
      <c r="L10" s="1514"/>
      <c r="M10" s="1514"/>
      <c r="N10" s="1514"/>
      <c r="O10" s="1514"/>
      <c r="P10" s="1514"/>
      <c r="Q10" s="1514"/>
      <c r="R10" s="1514"/>
      <c r="S10" s="1514"/>
      <c r="T10" s="1514"/>
      <c r="U10" s="1514"/>
      <c r="V10" s="1514"/>
      <c r="W10" s="1514"/>
      <c r="X10" s="1514"/>
      <c r="Y10" s="1514"/>
      <c r="Z10" s="1514"/>
      <c r="AA10" s="1514"/>
      <c r="AB10" s="1515"/>
      <c r="AE10" s="1513"/>
      <c r="AF10" s="1514"/>
      <c r="AG10" s="1514"/>
      <c r="AH10" s="1514"/>
      <c r="AI10" s="1514"/>
      <c r="AJ10" s="1514"/>
      <c r="AK10" s="1514"/>
      <c r="AL10" s="1514"/>
      <c r="AM10" s="1514"/>
      <c r="AN10" s="1514"/>
      <c r="AO10" s="1514"/>
      <c r="AP10" s="1514"/>
      <c r="AQ10" s="1514"/>
      <c r="AR10" s="1514"/>
      <c r="AS10" s="1514"/>
      <c r="AT10" s="1514"/>
      <c r="AU10" s="1514"/>
      <c r="AV10" s="1514"/>
      <c r="AW10" s="1514"/>
      <c r="AX10" s="1514"/>
      <c r="AY10" s="1514"/>
      <c r="AZ10" s="1514"/>
      <c r="BA10" s="1514"/>
      <c r="BB10" s="1514"/>
      <c r="BC10" s="1514"/>
      <c r="BD10" s="1514"/>
      <c r="BE10" s="1515"/>
      <c r="BI10" s="68" t="s">
        <v>271</v>
      </c>
      <c r="BJ10" s="717"/>
      <c r="BK10" s="717"/>
      <c r="BL10" s="717"/>
      <c r="BM10" s="717"/>
      <c r="BN10" s="717"/>
      <c r="BO10" s="717"/>
      <c r="BP10" s="717"/>
      <c r="BQ10" s="717"/>
      <c r="BR10" s="717"/>
      <c r="BS10" s="717"/>
      <c r="BT10" s="717"/>
      <c r="BU10" s="717"/>
      <c r="BV10" s="717"/>
      <c r="BX10" s="68"/>
    </row>
    <row r="11" spans="2:76" s="6" customFormat="1" ht="14.65" customHeight="1">
      <c r="B11" s="1516"/>
      <c r="C11" s="1517"/>
      <c r="D11" s="1517"/>
      <c r="E11" s="1517"/>
      <c r="F11" s="1517"/>
      <c r="G11" s="1517"/>
      <c r="H11" s="1517"/>
      <c r="I11" s="1517"/>
      <c r="J11" s="1517"/>
      <c r="K11" s="1517"/>
      <c r="L11" s="1517"/>
      <c r="M11" s="1517"/>
      <c r="N11" s="1517"/>
      <c r="O11" s="1517"/>
      <c r="P11" s="1517"/>
      <c r="Q11" s="1517"/>
      <c r="R11" s="1517"/>
      <c r="S11" s="1517"/>
      <c r="T11" s="1517"/>
      <c r="U11" s="1517"/>
      <c r="V11" s="1517"/>
      <c r="W11" s="1517"/>
      <c r="X11" s="1517"/>
      <c r="Y11" s="1517"/>
      <c r="Z11" s="1517"/>
      <c r="AA11" s="1517"/>
      <c r="AB11" s="1518"/>
      <c r="AE11" s="1516"/>
      <c r="AF11" s="1517"/>
      <c r="AG11" s="1517"/>
      <c r="AH11" s="1517"/>
      <c r="AI11" s="1517"/>
      <c r="AJ11" s="1517"/>
      <c r="AK11" s="1517"/>
      <c r="AL11" s="1517"/>
      <c r="AM11" s="1517"/>
      <c r="AN11" s="1517"/>
      <c r="AO11" s="1517"/>
      <c r="AP11" s="1517"/>
      <c r="AQ11" s="1517"/>
      <c r="AR11" s="1517"/>
      <c r="AS11" s="1517"/>
      <c r="AT11" s="1517"/>
      <c r="AU11" s="1517"/>
      <c r="AV11" s="1517"/>
      <c r="AW11" s="1517"/>
      <c r="AX11" s="1517"/>
      <c r="AY11" s="1517"/>
      <c r="AZ11" s="1517"/>
      <c r="BA11" s="1517"/>
      <c r="BB11" s="1517"/>
      <c r="BC11" s="1517"/>
      <c r="BD11" s="1517"/>
      <c r="BE11" s="1518"/>
      <c r="BI11" s="68" t="s">
        <v>272</v>
      </c>
      <c r="BJ11" s="717"/>
      <c r="BK11" s="717"/>
      <c r="BL11" s="717"/>
      <c r="BM11" s="717"/>
      <c r="BN11" s="717"/>
      <c r="BO11" s="717"/>
      <c r="BP11" s="717"/>
      <c r="BQ11" s="717"/>
      <c r="BR11" s="717"/>
      <c r="BS11" s="717"/>
      <c r="BT11" s="717"/>
      <c r="BU11" s="717"/>
      <c r="BV11" s="717"/>
      <c r="BX11" s="68"/>
    </row>
    <row r="12" spans="2:76" s="6" customFormat="1" ht="14.65" customHeight="1">
      <c r="BI12" s="68" t="s">
        <v>273</v>
      </c>
      <c r="BJ12" s="717"/>
      <c r="BK12" s="717"/>
      <c r="BL12" s="717"/>
      <c r="BM12" s="717"/>
      <c r="BN12" s="717"/>
      <c r="BO12" s="717"/>
      <c r="BP12" s="717"/>
      <c r="BQ12" s="717"/>
      <c r="BR12" s="717"/>
      <c r="BS12" s="717"/>
      <c r="BT12" s="717"/>
      <c r="BU12" s="717"/>
      <c r="BV12" s="717"/>
      <c r="BX12" s="68"/>
    </row>
    <row r="13" spans="2:76" s="6" customFormat="1" ht="14.65" customHeight="1">
      <c r="B13" s="45" t="s">
        <v>14</v>
      </c>
      <c r="C13" s="46"/>
      <c r="D13" s="46"/>
      <c r="E13" s="46"/>
      <c r="F13" s="11"/>
      <c r="G13" s="11"/>
      <c r="H13" s="11"/>
      <c r="I13" s="11"/>
      <c r="J13" s="11"/>
      <c r="K13" s="11"/>
      <c r="L13" s="11"/>
      <c r="M13" s="11"/>
      <c r="N13" s="11"/>
      <c r="O13" s="11"/>
      <c r="P13" s="11"/>
      <c r="Q13" s="11"/>
      <c r="R13" s="11"/>
      <c r="S13" s="11"/>
      <c r="T13" s="11"/>
      <c r="U13" s="11"/>
      <c r="V13" s="11"/>
      <c r="W13" s="11"/>
      <c r="X13" s="11"/>
      <c r="Y13" s="11"/>
      <c r="Z13" s="11"/>
      <c r="AA13" s="11"/>
      <c r="AB13" s="11"/>
      <c r="AE13" s="60" t="s">
        <v>59</v>
      </c>
      <c r="AF13" s="61"/>
      <c r="AG13" s="62"/>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I13" s="68" t="s">
        <v>274</v>
      </c>
      <c r="BJ13" s="717"/>
      <c r="BK13" s="717"/>
      <c r="BL13" s="717"/>
      <c r="BM13" s="717"/>
      <c r="BN13" s="717"/>
      <c r="BO13" s="717"/>
      <c r="BP13" s="717"/>
      <c r="BQ13" s="717"/>
      <c r="BR13" s="717"/>
      <c r="BS13" s="717"/>
      <c r="BT13" s="717"/>
      <c r="BU13" s="717"/>
      <c r="BV13" s="717"/>
      <c r="BX13" s="68"/>
    </row>
    <row r="14" spans="2:76" s="6" customFormat="1" ht="14.65" customHeight="1">
      <c r="B14" s="64"/>
      <c r="C14" s="64"/>
      <c r="D14" s="64"/>
      <c r="E14" s="64"/>
      <c r="F14" s="64"/>
      <c r="G14" s="64"/>
      <c r="H14" s="64"/>
      <c r="I14" s="67"/>
      <c r="J14" s="67"/>
      <c r="K14" s="88"/>
      <c r="L14" s="64"/>
      <c r="M14" s="64"/>
      <c r="N14" s="65"/>
      <c r="O14" s="64"/>
      <c r="P14" s="64"/>
      <c r="Q14" s="64"/>
      <c r="R14" s="64"/>
      <c r="S14" s="64"/>
      <c r="T14" s="64"/>
      <c r="U14" s="64"/>
      <c r="V14" s="1529"/>
      <c r="W14" s="1529"/>
      <c r="X14" s="64"/>
      <c r="Y14" s="64"/>
      <c r="Z14" s="64"/>
      <c r="AA14" s="64"/>
      <c r="AB14" s="64"/>
      <c r="AE14" s="89"/>
      <c r="AF14" s="64"/>
      <c r="AG14" s="64"/>
      <c r="AH14" s="64"/>
      <c r="AI14" s="64"/>
      <c r="AJ14" s="64"/>
      <c r="AK14" s="90"/>
      <c r="AL14" s="90"/>
      <c r="AM14" s="90"/>
      <c r="AN14" s="90"/>
      <c r="AO14" s="91"/>
      <c r="AP14" s="92"/>
      <c r="AQ14" s="92"/>
      <c r="AR14" s="92"/>
      <c r="AS14" s="90"/>
      <c r="AT14" s="91"/>
      <c r="AU14" s="90"/>
      <c r="AV14" s="90"/>
      <c r="AW14" s="90"/>
      <c r="AX14" s="64"/>
      <c r="AY14" s="64"/>
      <c r="AZ14" s="64"/>
      <c r="BA14" s="64"/>
      <c r="BB14" s="64"/>
      <c r="BC14" s="64"/>
      <c r="BD14" s="64"/>
      <c r="BE14" s="64"/>
      <c r="BI14" s="68" t="s">
        <v>41</v>
      </c>
      <c r="BJ14" s="143">
        <f t="shared" ref="BJ14:BO14" si="1">SUM(BJ6:BJ13)</f>
        <v>15</v>
      </c>
      <c r="BK14" s="143">
        <f t="shared" si="1"/>
        <v>15</v>
      </c>
      <c r="BL14" s="143">
        <f t="shared" si="1"/>
        <v>15</v>
      </c>
      <c r="BM14" s="143">
        <f t="shared" si="1"/>
        <v>15</v>
      </c>
      <c r="BN14" s="143">
        <f t="shared" si="1"/>
        <v>15</v>
      </c>
      <c r="BO14" s="143">
        <f t="shared" si="1"/>
        <v>15</v>
      </c>
      <c r="BP14" s="143">
        <f t="shared" ref="BP14:BV14" si="2">SUM(BP6:BP13)</f>
        <v>15</v>
      </c>
      <c r="BQ14" s="143">
        <f t="shared" si="2"/>
        <v>15</v>
      </c>
      <c r="BR14" s="143">
        <f t="shared" si="2"/>
        <v>15</v>
      </c>
      <c r="BS14" s="143">
        <f t="shared" si="2"/>
        <v>15</v>
      </c>
      <c r="BT14" s="143">
        <f t="shared" si="2"/>
        <v>15</v>
      </c>
      <c r="BU14" s="143">
        <f t="shared" si="2"/>
        <v>15</v>
      </c>
      <c r="BV14" s="143">
        <f t="shared" si="2"/>
        <v>15</v>
      </c>
      <c r="BX14" s="68"/>
    </row>
    <row r="15" spans="2:76" s="6" customFormat="1" ht="14.65" customHeight="1">
      <c r="B15" s="1519" t="s">
        <v>185</v>
      </c>
      <c r="C15" s="1519"/>
      <c r="D15" s="1519"/>
      <c r="E15" s="1519"/>
      <c r="F15" s="1519"/>
      <c r="G15" s="1519"/>
      <c r="I15" s="1519" t="s">
        <v>275</v>
      </c>
      <c r="J15" s="1531"/>
      <c r="K15" s="1531"/>
      <c r="L15" s="1531"/>
      <c r="M15" s="1531"/>
      <c r="N15" s="1531"/>
      <c r="O15" s="1531"/>
      <c r="P15" s="1531"/>
      <c r="Q15" s="1531"/>
      <c r="R15" s="1531"/>
      <c r="S15" s="1531"/>
      <c r="T15" s="1531"/>
      <c r="U15" s="1531"/>
      <c r="V15" s="1531"/>
      <c r="W15" s="172"/>
      <c r="X15" s="1532" t="s">
        <v>360</v>
      </c>
      <c r="Y15" s="1136"/>
      <c r="Z15" s="1136"/>
      <c r="AA15" s="1136"/>
      <c r="AB15" s="1136"/>
      <c r="AE15" s="1519" t="s">
        <v>277</v>
      </c>
      <c r="AF15" s="1519"/>
      <c r="AG15" s="1519"/>
      <c r="AH15" s="1519"/>
      <c r="AI15" s="1519"/>
      <c r="AJ15" s="1519"/>
      <c r="AK15" s="68"/>
      <c r="AL15" s="1129" t="s">
        <v>62</v>
      </c>
      <c r="AM15" s="1129"/>
      <c r="AN15" s="1129"/>
      <c r="AO15" s="1129"/>
      <c r="AP15" s="1519" t="str">
        <f>CONCATENATE(Cover!M36,"+",12-Cover!M36)</f>
        <v>1+11</v>
      </c>
      <c r="AQ15" s="1519"/>
      <c r="AR15" s="68"/>
      <c r="AS15" s="1519" t="s">
        <v>278</v>
      </c>
      <c r="AT15" s="1519"/>
      <c r="AU15" s="1519"/>
      <c r="AV15" s="1519"/>
      <c r="AW15" s="1519"/>
      <c r="AX15" s="1519"/>
      <c r="AY15" s="68"/>
      <c r="AZ15" s="1519" t="s">
        <v>279</v>
      </c>
      <c r="BA15" s="1519"/>
      <c r="BB15" s="1519"/>
      <c r="BC15" s="1519"/>
      <c r="BD15" s="1519"/>
      <c r="BE15" s="1519"/>
      <c r="BI15"/>
      <c r="BJ15"/>
      <c r="BK15"/>
      <c r="BL15"/>
      <c r="BM15"/>
      <c r="BN15"/>
      <c r="BO15"/>
      <c r="BP15"/>
      <c r="BQ15"/>
      <c r="BR15"/>
      <c r="BS15"/>
      <c r="BT15"/>
      <c r="BU15"/>
    </row>
    <row r="16" spans="2:76" s="6" customFormat="1" ht="14.65" customHeight="1">
      <c r="E16" s="78" t="s">
        <v>263</v>
      </c>
      <c r="G16" s="77">
        <f>SUMIF(BJ4:BV4,BE5,BJ6:BV6)</f>
        <v>0</v>
      </c>
      <c r="I16" s="1522" t="s">
        <v>280</v>
      </c>
      <c r="J16" s="1523"/>
      <c r="K16" s="1523"/>
      <c r="L16" s="1524"/>
      <c r="N16" s="1522" t="s">
        <v>281</v>
      </c>
      <c r="O16" s="1523"/>
      <c r="P16" s="1523"/>
      <c r="Q16" s="1524"/>
      <c r="S16" s="1522" t="s">
        <v>282</v>
      </c>
      <c r="T16" s="1523"/>
      <c r="U16" s="1523"/>
      <c r="V16" s="1524"/>
      <c r="X16" s="183" t="s">
        <v>361</v>
      </c>
      <c r="Y16" s="235"/>
      <c r="Z16" s="236"/>
      <c r="AA16" s="183"/>
      <c r="AB16" s="183"/>
      <c r="AE16" s="68"/>
      <c r="AF16" s="68"/>
      <c r="AG16" s="68"/>
      <c r="AI16" s="68"/>
      <c r="AJ16" s="103" t="s">
        <v>61</v>
      </c>
      <c r="AK16" s="68"/>
      <c r="AL16" s="68"/>
      <c r="AM16" s="68"/>
      <c r="AN16" s="68"/>
      <c r="AO16" s="68"/>
      <c r="AP16" s="68"/>
      <c r="AQ16" s="68"/>
      <c r="AR16" s="68"/>
      <c r="AS16" s="68"/>
      <c r="AT16" s="68"/>
      <c r="AU16" s="68"/>
      <c r="AV16" s="68"/>
      <c r="AW16" s="68"/>
      <c r="AX16" s="68"/>
      <c r="AY16" s="68"/>
      <c r="AZ16" s="68"/>
      <c r="BA16" s="68"/>
      <c r="BB16" s="68"/>
      <c r="BC16" s="68"/>
      <c r="BD16" s="68"/>
      <c r="BE16" s="68"/>
      <c r="BI16" s="68" t="s">
        <v>284</v>
      </c>
      <c r="BJ16" s="719"/>
      <c r="BK16" s="719">
        <v>4</v>
      </c>
      <c r="BL16" s="719"/>
      <c r="BM16" s="719"/>
      <c r="BN16" s="719"/>
      <c r="BO16" s="719"/>
      <c r="BP16" s="719"/>
      <c r="BQ16" s="719"/>
      <c r="BR16" s="719"/>
      <c r="BS16" s="719"/>
      <c r="BT16" s="719"/>
      <c r="BU16" s="719"/>
      <c r="BV16" s="719"/>
    </row>
    <row r="17" spans="2:81" s="6" customFormat="1" ht="14.65" customHeight="1">
      <c r="E17" s="78" t="s">
        <v>285</v>
      </c>
      <c r="G17" s="77">
        <f>V20</f>
        <v>0</v>
      </c>
      <c r="I17" s="79"/>
      <c r="J17" s="78" t="s">
        <v>266</v>
      </c>
      <c r="K17" s="77">
        <f>SUMIF(BJ4:BV4,BE5,BJ7:BV7)</f>
        <v>0</v>
      </c>
      <c r="L17" s="80"/>
      <c r="N17" s="79"/>
      <c r="O17" s="78" t="s">
        <v>286</v>
      </c>
      <c r="P17" s="77">
        <f>SUMIF(BJ4:BV4,BE5,BJ9:BV9)</f>
        <v>0</v>
      </c>
      <c r="Q17" s="80"/>
      <c r="S17" s="79"/>
      <c r="T17" s="78" t="s">
        <v>286</v>
      </c>
      <c r="U17" s="77">
        <f>SUMIF(BJ4:BV4,BE5,BJ11:BV11)</f>
        <v>0</v>
      </c>
      <c r="V17" s="85"/>
      <c r="X17" s="183" t="s">
        <v>287</v>
      </c>
      <c r="Y17" s="235"/>
      <c r="Z17" s="236"/>
      <c r="AA17" s="183">
        <f>SUMIF(Admin4!$B$5:$B$298,"7982",Admin4!$C$5:$C$298)+SUMIF(Admin4!$B$5:$B$298,"7985",Admin4!$C$5:$C$298)</f>
        <v>0</v>
      </c>
      <c r="AB17" s="183"/>
      <c r="AE17" s="68"/>
      <c r="AF17" s="68"/>
      <c r="AG17" s="68"/>
      <c r="AI17" s="68"/>
      <c r="AJ17" s="97" t="s">
        <v>63</v>
      </c>
      <c r="AK17" s="68"/>
      <c r="AL17" s="68"/>
      <c r="AM17" s="68"/>
      <c r="AN17" s="1530" t="e">
        <f>SUMIF(Admin3!C8:O8,AR!BE5,Admin3!#REF!)</f>
        <v>#REF!</v>
      </c>
      <c r="AO17" s="1530"/>
      <c r="AP17" s="1530"/>
      <c r="AQ17" s="1530"/>
      <c r="AR17" s="68"/>
      <c r="AS17" s="68"/>
      <c r="AT17" s="68"/>
      <c r="AU17" s="1530" t="e">
        <f>SUMIF(Admin3!C8:O8,AR!BE5,Admin3!#REF!)-SUMIF(Admin3!C8:O8,AR!BE5,Admin3!#REF!)</f>
        <v>#REF!</v>
      </c>
      <c r="AV17" s="1530"/>
      <c r="AW17" s="1530"/>
      <c r="AX17" s="1530"/>
      <c r="AY17" s="68"/>
      <c r="AZ17" s="68"/>
      <c r="BA17" s="68"/>
      <c r="BB17" s="1530" t="e">
        <f>SUMIF(Admin3!C8:O8,AR!BE5,Admin3!#REF!)-SUMIF(Admin3!C8:O8,AR!BE5,Admin3!#REF!)</f>
        <v>#REF!</v>
      </c>
      <c r="BC17" s="1530"/>
      <c r="BD17" s="1530"/>
      <c r="BE17" s="1530"/>
      <c r="BI17"/>
      <c r="BJ17"/>
      <c r="BK17"/>
      <c r="BL17"/>
      <c r="BM17"/>
      <c r="BN17"/>
      <c r="BO17"/>
      <c r="BP17"/>
      <c r="BQ17"/>
      <c r="BR17"/>
      <c r="BS17"/>
      <c r="BT17"/>
      <c r="BU17"/>
      <c r="BV17"/>
    </row>
    <row r="18" spans="2:81" s="6" customFormat="1" ht="14.65" customHeight="1">
      <c r="E18" s="78" t="s">
        <v>240</v>
      </c>
      <c r="G18" s="77">
        <f>SUMIF(BJ4:BV4,BE5,BJ13:BV13)</f>
        <v>0</v>
      </c>
      <c r="I18" s="81"/>
      <c r="J18" s="82" t="s">
        <v>288</v>
      </c>
      <c r="K18" s="83">
        <f>SUMIF(BJ4:BV4,BE5,BJ8:BV8)</f>
        <v>0</v>
      </c>
      <c r="L18" s="84"/>
      <c r="N18" s="81"/>
      <c r="O18" s="82" t="s">
        <v>289</v>
      </c>
      <c r="P18" s="83">
        <f>SUMIF(BJ4:BV4,BE5,BJ10:BV10)</f>
        <v>0</v>
      </c>
      <c r="Q18" s="84"/>
      <c r="S18" s="81"/>
      <c r="T18" s="82" t="s">
        <v>289</v>
      </c>
      <c r="U18" s="83">
        <f>SUMIF(BJ4:BV4,BE5,BJ12:BV12)</f>
        <v>0</v>
      </c>
      <c r="V18" s="86"/>
      <c r="X18" s="183"/>
      <c r="Y18" s="235"/>
      <c r="Z18" s="236"/>
      <c r="AA18" s="183"/>
      <c r="AB18" s="183"/>
      <c r="AE18" s="68"/>
      <c r="AF18" s="68"/>
      <c r="AG18" s="68"/>
      <c r="AH18" s="68"/>
      <c r="AI18" s="94"/>
      <c r="AJ18" s="97" t="s">
        <v>64</v>
      </c>
      <c r="AK18" s="68"/>
      <c r="AL18" s="68"/>
      <c r="AM18" s="68"/>
      <c r="AN18" s="1530" t="e">
        <f>SUMIF(Admin3!C8:O8,AR!BE5,Admin3!#REF!)</f>
        <v>#REF!</v>
      </c>
      <c r="AO18" s="1530"/>
      <c r="AP18" s="1530"/>
      <c r="AQ18" s="1530"/>
      <c r="AR18" s="68"/>
      <c r="AS18" s="68"/>
      <c r="AT18" s="68"/>
      <c r="AU18" s="1530" t="e">
        <f>SUMIF(Admin3!C8:O8,AR!BE5,Admin3!#REF!)-SUMIF(Admin3!C8:O8,AR!BE5,Admin3!#REF!)</f>
        <v>#REF!</v>
      </c>
      <c r="AV18" s="1530"/>
      <c r="AW18" s="1530"/>
      <c r="AX18" s="1530"/>
      <c r="AY18" s="68"/>
      <c r="AZ18" s="68"/>
      <c r="BA18" s="68"/>
      <c r="BB18" s="1530" t="e">
        <f>SUMIF(Admin3!C8:O8,AR!BE5,Admin3!#REF!)-SUMIF(Admin3!C8:O8,AR!BE5,Admin3!#REF!)</f>
        <v>#REF!</v>
      </c>
      <c r="BC18" s="1530"/>
      <c r="BD18" s="1530"/>
      <c r="BE18" s="1530"/>
      <c r="BI18"/>
      <c r="BJ18"/>
      <c r="BK18"/>
      <c r="BL18"/>
      <c r="BM18"/>
      <c r="BN18"/>
      <c r="BO18"/>
      <c r="BP18"/>
      <c r="BQ18"/>
      <c r="BR18"/>
      <c r="BS18"/>
      <c r="BT18"/>
      <c r="BU18"/>
      <c r="BV18"/>
    </row>
    <row r="19" spans="2:81" s="6" customFormat="1" ht="14.65" customHeight="1" thickBot="1">
      <c r="E19" s="78" t="s">
        <v>41</v>
      </c>
      <c r="G19" s="93">
        <f>SUM(G16:G18)</f>
        <v>0</v>
      </c>
      <c r="I19" s="94"/>
      <c r="J19" s="94"/>
      <c r="K19" s="94"/>
      <c r="L19" s="94"/>
      <c r="M19" s="94"/>
      <c r="N19" s="94"/>
      <c r="O19" s="94"/>
      <c r="P19" s="94"/>
      <c r="Q19" s="94"/>
      <c r="R19" s="94"/>
      <c r="S19" s="94"/>
      <c r="T19" s="94"/>
      <c r="U19" s="94"/>
      <c r="V19" s="94"/>
      <c r="W19" s="94"/>
      <c r="X19" s="183" t="s">
        <v>290</v>
      </c>
      <c r="Y19" s="235"/>
      <c r="Z19" s="236"/>
      <c r="AA19" s="237"/>
      <c r="AB19" s="237"/>
      <c r="AE19" s="68"/>
      <c r="AF19" s="68"/>
      <c r="AG19" s="68"/>
      <c r="AH19" s="68"/>
      <c r="AJ19" s="97" t="s">
        <v>65</v>
      </c>
      <c r="AN19" s="1533" t="e">
        <f>SUM(AN17:AQ18)</f>
        <v>#REF!</v>
      </c>
      <c r="AO19" s="1533"/>
      <c r="AP19" s="1533"/>
      <c r="AQ19" s="1533"/>
      <c r="AU19" s="1533" t="e">
        <f>SUM(AU17:AX18)</f>
        <v>#REF!</v>
      </c>
      <c r="AV19" s="1533"/>
      <c r="AW19" s="1533"/>
      <c r="AX19" s="1533"/>
      <c r="BB19" s="1533" t="e">
        <f>SUM(BB17:BE18)</f>
        <v>#REF!</v>
      </c>
      <c r="BC19" s="1533"/>
      <c r="BD19" s="1533"/>
      <c r="BE19" s="1533"/>
      <c r="BI19"/>
      <c r="BJ19"/>
      <c r="BK19"/>
      <c r="BL19"/>
      <c r="BM19"/>
      <c r="BN19"/>
      <c r="BO19"/>
      <c r="BP19"/>
      <c r="BQ19"/>
      <c r="BR19"/>
      <c r="BS19"/>
      <c r="BT19"/>
      <c r="BU19"/>
      <c r="BV19"/>
    </row>
    <row r="20" spans="2:81" s="6" customFormat="1" ht="14.65" customHeight="1" thickTop="1" thickBot="1">
      <c r="B20" s="44"/>
      <c r="C20" s="44"/>
      <c r="D20" s="44"/>
      <c r="E20" s="78" t="s">
        <v>39</v>
      </c>
      <c r="G20" s="77">
        <f t="array" ref="G20">SUM(IF((Admin2!$C$6:$O$6=BE5)*(Admin2!$Q$9:$Q$83=BI2)*(Admin2!$B$9:$B$83="Annual Plan"),Admin2!$C$9:$O$83,0))</f>
        <v>0</v>
      </c>
      <c r="H20" s="94"/>
      <c r="I20" s="6" t="s">
        <v>284</v>
      </c>
      <c r="K20" s="94"/>
      <c r="L20" s="94"/>
      <c r="M20" s="144">
        <f>SUMIF(BJ4:BV4,BE5,BJ16:BV16)</f>
        <v>0</v>
      </c>
      <c r="T20" s="145" t="s">
        <v>291</v>
      </c>
      <c r="U20" s="94"/>
      <c r="V20" s="144">
        <f>SUM(K17:K18,P17:P18,U17:U18)</f>
        <v>0</v>
      </c>
      <c r="X20" s="183" t="s">
        <v>287</v>
      </c>
      <c r="Y20" s="235"/>
      <c r="Z20" s="236"/>
      <c r="AA20" s="183">
        <f>SUMIF(Admin4!$B$5:$B$298,"7982",Admin4!$D$5:$D$298)+SUMIF(Admin4!$B$5:$B$298,"7985",Admin4!$D$5:$D$298)</f>
        <v>0</v>
      </c>
      <c r="AB20" s="183"/>
      <c r="AC20" s="94"/>
      <c r="AD20" s="94"/>
      <c r="AE20" s="65"/>
      <c r="AF20" s="65"/>
      <c r="AG20" s="65"/>
      <c r="AH20" s="65"/>
      <c r="BI20" s="4" t="s">
        <v>245</v>
      </c>
      <c r="BJ20" s="3"/>
      <c r="BK20" s="3"/>
      <c r="BL20" s="3"/>
      <c r="BM20" s="3"/>
      <c r="BN20" s="3"/>
      <c r="BO20" s="3"/>
      <c r="BP20" s="3"/>
      <c r="BQ20" s="3"/>
      <c r="BR20" s="3"/>
      <c r="BS20" s="3"/>
      <c r="BT20" s="3"/>
      <c r="BU20" s="3"/>
      <c r="BV20"/>
    </row>
    <row r="21" spans="2:81" s="6" customFormat="1" ht="14.65" customHeight="1" thickTop="1" thickBot="1">
      <c r="B21" s="44"/>
      <c r="C21" s="44"/>
      <c r="D21" s="44"/>
      <c r="E21" s="78" t="s">
        <v>40</v>
      </c>
      <c r="F21" s="94"/>
      <c r="G21" s="93">
        <f t="array" ref="G21">SUM(IF((Admin2!$C$6:$O$6=BE5)*(Admin2!$Q$9:$Q$83=BI2)*(Admin2!$B$9:$B$83="Forecast"),Admin2!$C$9:$O$83,0))</f>
        <v>0</v>
      </c>
      <c r="H21" s="94"/>
      <c r="X21" s="183"/>
      <c r="Y21" s="235"/>
      <c r="Z21" s="236"/>
      <c r="AA21" s="183"/>
      <c r="AB21" s="183"/>
      <c r="AE21" s="64"/>
      <c r="AF21" s="64"/>
      <c r="AG21" s="64"/>
      <c r="AH21" s="64"/>
      <c r="AI21" s="68"/>
      <c r="AJ21" s="103" t="s">
        <v>23</v>
      </c>
      <c r="AK21" s="68"/>
      <c r="AL21" s="68"/>
      <c r="AM21" s="68"/>
      <c r="AN21" s="68"/>
      <c r="AO21" s="68"/>
      <c r="AP21" s="68"/>
      <c r="AQ21" s="68"/>
      <c r="AR21" s="68"/>
      <c r="AS21" s="68"/>
      <c r="AT21" s="68"/>
      <c r="AU21" s="68"/>
      <c r="AV21" s="68"/>
      <c r="AW21" s="68"/>
      <c r="AX21" s="68"/>
      <c r="AY21" s="68"/>
      <c r="AZ21" s="68"/>
      <c r="BA21" s="68"/>
      <c r="BB21" s="68"/>
      <c r="BC21" s="68"/>
      <c r="BD21" s="68"/>
      <c r="BE21" s="68"/>
      <c r="BI21" s="1" t="s">
        <v>292</v>
      </c>
      <c r="BJ21" s="1526" t="s">
        <v>362</v>
      </c>
      <c r="BK21" s="1526"/>
      <c r="BL21" s="1526"/>
      <c r="BM21" s="1526"/>
      <c r="BN21" s="1526"/>
      <c r="BO21" s="1526"/>
      <c r="BP21" s="1526"/>
      <c r="BQ21" s="1526"/>
      <c r="BR21" s="1526"/>
      <c r="BS21" s="1526"/>
      <c r="BT21" s="1526"/>
      <c r="BU21" s="1526"/>
      <c r="BV21"/>
    </row>
    <row r="22" spans="2:81" s="6" customFormat="1" ht="14.65" customHeight="1" thickTop="1" thickBot="1">
      <c r="B22" s="44"/>
      <c r="C22" s="44"/>
      <c r="D22" s="44"/>
      <c r="E22" s="78" t="s">
        <v>294</v>
      </c>
      <c r="F22" s="94"/>
      <c r="G22" s="93">
        <f>$G$20-$G$19</f>
        <v>0</v>
      </c>
      <c r="H22" s="94"/>
      <c r="I22" s="236"/>
      <c r="J22" s="236"/>
      <c r="K22" s="236"/>
      <c r="L22" s="236"/>
      <c r="M22" s="236"/>
      <c r="N22" s="236"/>
      <c r="O22" s="236"/>
      <c r="P22" s="236"/>
      <c r="Q22" s="236"/>
      <c r="R22" s="236"/>
      <c r="S22" s="236"/>
      <c r="T22" s="236"/>
      <c r="U22" s="236"/>
      <c r="V22" s="236"/>
      <c r="W22" s="94"/>
      <c r="X22" s="183" t="s">
        <v>295</v>
      </c>
      <c r="Y22" s="235"/>
      <c r="Z22" s="236"/>
      <c r="AA22" s="237"/>
      <c r="AB22" s="238"/>
      <c r="AE22" s="64"/>
      <c r="AF22" s="64"/>
      <c r="AG22" s="64"/>
      <c r="AH22" s="64"/>
      <c r="AI22" s="68"/>
      <c r="AJ22" s="97" t="s">
        <v>63</v>
      </c>
      <c r="AK22" s="68"/>
      <c r="AL22" s="68"/>
      <c r="AM22" s="68"/>
      <c r="AN22" s="1530" t="e">
        <f>SUMIF(Admin3!C8:O8,AR!BE5,Admin3!#REF!)</f>
        <v>#REF!</v>
      </c>
      <c r="AO22" s="1530"/>
      <c r="AP22" s="1530"/>
      <c r="AQ22" s="1530"/>
      <c r="AR22" s="68"/>
      <c r="AS22" s="68"/>
      <c r="AT22" s="68"/>
      <c r="AU22" s="1530" t="e">
        <f>SUMIF(Admin3!C8:O8,AR!BE5,Admin3!#REF!)-SUMIF(Admin3!C8:O8,AR!BE5,Admin3!#REF!)</f>
        <v>#REF!</v>
      </c>
      <c r="AV22" s="1530"/>
      <c r="AW22" s="1530"/>
      <c r="AX22" s="1530"/>
      <c r="AY22" s="68"/>
      <c r="AZ22" s="68"/>
      <c r="BA22" s="68"/>
      <c r="BB22" s="1530" t="e">
        <f>SUMIF(Admin3!C8:O8,AR!BE5,Admin3!#REF!)-SUMIF(Admin3!C8:O8,AR!BE5,Admin3!#REF!)</f>
        <v>#REF!</v>
      </c>
      <c r="BC22" s="1530"/>
      <c r="BD22" s="1530"/>
      <c r="BE22" s="1530"/>
      <c r="BI22" s="54" t="s">
        <v>296</v>
      </c>
      <c r="BJ22" s="1527" t="s">
        <v>545</v>
      </c>
      <c r="BK22" s="1527"/>
      <c r="BL22" s="1527"/>
      <c r="BM22" s="1527"/>
      <c r="BN22" s="1527"/>
      <c r="BO22" s="1527"/>
      <c r="BP22" s="1527"/>
      <c r="BQ22" s="1527"/>
      <c r="BR22" s="1527"/>
      <c r="BS22" s="1527"/>
      <c r="BT22" s="1527"/>
      <c r="BU22" s="1527"/>
      <c r="BV22"/>
    </row>
    <row r="23" spans="2:81" s="6" customFormat="1" ht="14.65" customHeight="1" thickTop="1" thickBot="1">
      <c r="B23" s="44"/>
      <c r="C23" s="44"/>
      <c r="D23" s="44"/>
      <c r="E23" s="78" t="s">
        <v>298</v>
      </c>
      <c r="F23" s="94"/>
      <c r="G23" s="93">
        <f>$G$21-$G$19</f>
        <v>0</v>
      </c>
      <c r="H23" s="94"/>
      <c r="I23" s="236"/>
      <c r="J23" s="236"/>
      <c r="K23" s="236"/>
      <c r="L23" s="236"/>
      <c r="M23" s="236"/>
      <c r="N23" s="236"/>
      <c r="O23" s="236"/>
      <c r="P23" s="236"/>
      <c r="Q23" s="236"/>
      <c r="R23" s="236"/>
      <c r="S23" s="236"/>
      <c r="T23" s="236"/>
      <c r="U23" s="236"/>
      <c r="V23" s="236"/>
      <c r="W23" s="94"/>
      <c r="X23" s="183" t="s">
        <v>299</v>
      </c>
      <c r="Y23" s="235"/>
      <c r="Z23" s="236"/>
      <c r="AA23" s="183">
        <f>SUMIF(Admin4!$L$5:$L$298,"7982",Admin4!$N$5:$N$298)+SUMIF(Admin4!$L$5:$L$298,"7985",Admin4!$N$5:$N$298)</f>
        <v>0</v>
      </c>
      <c r="AB23" s="238"/>
      <c r="AE23" s="64"/>
      <c r="AF23" s="64"/>
      <c r="AG23" s="64"/>
      <c r="AH23" s="64"/>
      <c r="AI23" s="64"/>
      <c r="AJ23" s="97" t="s">
        <v>64</v>
      </c>
      <c r="AK23" s="68"/>
      <c r="AL23" s="68"/>
      <c r="AM23" s="68"/>
      <c r="AN23" s="1530" t="e">
        <f>SUMIF(Admin3!C8:O8,AR!BE5,Admin3!#REF!)</f>
        <v>#REF!</v>
      </c>
      <c r="AO23" s="1530"/>
      <c r="AP23" s="1530"/>
      <c r="AQ23" s="1530"/>
      <c r="AR23" s="68"/>
      <c r="AS23" s="68"/>
      <c r="AT23" s="68"/>
      <c r="AU23" s="1530" t="e">
        <f>SUMIF(Admin3!C8:O8,AR!BE5,Admin3!#REF!)-SUMIF(Admin3!C8:O8,AR!BE5,Admin3!#REF!)</f>
        <v>#REF!</v>
      </c>
      <c r="AV23" s="1530"/>
      <c r="AW23" s="1530"/>
      <c r="AX23" s="1530"/>
      <c r="AY23" s="68"/>
      <c r="AZ23" s="68"/>
      <c r="BA23" s="68"/>
      <c r="BB23" s="1530" t="e">
        <f>SUMIF(Admin3!C8:O8,AR!BE5,Admin3!#REF!)-SUMIF(Admin3!C8:O8,AR!BE5,Admin3!#REF!)</f>
        <v>#REF!</v>
      </c>
      <c r="BC23" s="1530"/>
      <c r="BD23" s="1530"/>
      <c r="BE23" s="1530"/>
      <c r="BI23" s="1" t="s">
        <v>300</v>
      </c>
      <c r="BJ23" s="1527" t="s">
        <v>546</v>
      </c>
      <c r="BK23" s="1527"/>
      <c r="BL23" s="1527"/>
      <c r="BM23" s="1527"/>
      <c r="BN23" s="1527"/>
      <c r="BO23" s="1527"/>
      <c r="BP23" s="1527"/>
      <c r="BQ23" s="1527"/>
      <c r="BR23" s="1527"/>
      <c r="BS23" s="1527"/>
      <c r="BT23" s="1527"/>
      <c r="BU23" s="1527"/>
      <c r="BV23"/>
    </row>
    <row r="24" spans="2:81" s="6" customFormat="1" ht="14.65" customHeight="1" thickTop="1" thickBot="1">
      <c r="B24" s="44"/>
      <c r="C24" s="44"/>
      <c r="D24" s="44"/>
      <c r="E24" s="78"/>
      <c r="F24" s="94"/>
      <c r="G24" s="94"/>
      <c r="H24" s="94"/>
      <c r="I24" s="96"/>
      <c r="J24" s="96"/>
      <c r="K24" s="94"/>
      <c r="L24" s="94"/>
      <c r="U24" s="94"/>
      <c r="V24" s="94"/>
      <c r="W24" s="94"/>
      <c r="X24" s="239"/>
      <c r="Y24" s="239"/>
      <c r="Z24" s="240"/>
      <c r="AA24" s="239"/>
      <c r="AB24" s="241"/>
      <c r="AE24" s="64"/>
      <c r="AF24" s="64"/>
      <c r="AG24" s="64"/>
      <c r="AH24" s="64"/>
      <c r="AI24" s="64"/>
      <c r="AJ24" s="97" t="s">
        <v>65</v>
      </c>
      <c r="AK24" s="68"/>
      <c r="AL24" s="68"/>
      <c r="AM24" s="68"/>
      <c r="AN24" s="1533" t="e">
        <f>SUM(AN22:AQ23)</f>
        <v>#REF!</v>
      </c>
      <c r="AO24" s="1533"/>
      <c r="AP24" s="1533"/>
      <c r="AQ24" s="1533"/>
      <c r="AR24" s="68"/>
      <c r="AS24" s="68"/>
      <c r="AT24" s="68"/>
      <c r="AU24" s="1533" t="e">
        <f>SUM(AU22:AX23)</f>
        <v>#REF!</v>
      </c>
      <c r="AV24" s="1533"/>
      <c r="AW24" s="1533"/>
      <c r="AX24" s="1533"/>
      <c r="AY24" s="68"/>
      <c r="AZ24" s="68"/>
      <c r="BA24" s="68"/>
      <c r="BB24" s="1533" t="e">
        <f>SUM(BB22:BE23)</f>
        <v>#REF!</v>
      </c>
      <c r="BC24" s="1533"/>
      <c r="BD24" s="1533"/>
      <c r="BE24" s="1533"/>
      <c r="BI24" s="2"/>
      <c r="BJ24" s="2"/>
      <c r="BK24" s="2"/>
      <c r="BL24" s="1490" t="s">
        <v>487</v>
      </c>
      <c r="BM24" s="1491"/>
      <c r="BN24" s="1491"/>
      <c r="BO24" s="1491"/>
      <c r="BP24" s="1521"/>
      <c r="BQ24" s="1490" t="s">
        <v>522</v>
      </c>
      <c r="BR24" s="1491"/>
      <c r="BS24" s="1491"/>
      <c r="BT24" s="1491"/>
      <c r="BU24" s="1492"/>
      <c r="BV24"/>
      <c r="BW24" s="1490" t="s">
        <v>303</v>
      </c>
      <c r="BX24" s="1491"/>
      <c r="BY24" s="1491"/>
      <c r="BZ24" s="1491"/>
      <c r="CA24" s="1491"/>
      <c r="CB24" s="1491"/>
      <c r="CC24" s="1492"/>
    </row>
    <row r="25" spans="2:81" s="6" customFormat="1" ht="14.65" customHeight="1" thickTop="1">
      <c r="B25" s="44"/>
      <c r="C25" s="44"/>
      <c r="D25" s="44"/>
      <c r="E25" s="78"/>
      <c r="F25" s="94"/>
      <c r="G25" s="95">
        <f>G26-SUM($G$16:$G$17)</f>
        <v>0</v>
      </c>
      <c r="H25" s="94"/>
      <c r="I25" s="96" t="str">
        <f>IF(G25&lt;&gt;0,"There is a variance in reported ending EEs.","")</f>
        <v/>
      </c>
      <c r="J25" s="96"/>
      <c r="K25" s="94"/>
      <c r="L25" s="94"/>
      <c r="U25" s="94"/>
      <c r="V25" s="94"/>
      <c r="W25" s="94"/>
      <c r="X25" s="94"/>
      <c r="Y25" s="94"/>
      <c r="Z25" s="97"/>
      <c r="AA25" s="94"/>
      <c r="AB25" s="98"/>
      <c r="AE25" s="64"/>
      <c r="AF25" s="64"/>
      <c r="AG25" s="64"/>
      <c r="AH25" s="64"/>
      <c r="AI25" s="64"/>
      <c r="AJ25" s="97"/>
      <c r="AK25" s="68"/>
      <c r="AL25" s="68"/>
      <c r="AM25" s="68"/>
      <c r="AN25" s="221"/>
      <c r="AO25" s="221"/>
      <c r="AP25" s="221"/>
      <c r="AQ25" s="221"/>
      <c r="AR25" s="68"/>
      <c r="AS25" s="68"/>
      <c r="AT25" s="68"/>
      <c r="AU25" s="221"/>
      <c r="AV25" s="221"/>
      <c r="AW25" s="221"/>
      <c r="AX25" s="221"/>
      <c r="AY25" s="68"/>
      <c r="AZ25" s="68"/>
      <c r="BA25" s="68"/>
      <c r="BB25" s="221"/>
      <c r="BC25" s="221"/>
      <c r="BD25" s="221"/>
      <c r="BE25" s="221"/>
      <c r="BI25" s="720" t="s">
        <v>23</v>
      </c>
      <c r="BJ25" s="720" t="s">
        <v>37</v>
      </c>
      <c r="BK25" s="720" t="s">
        <v>304</v>
      </c>
      <c r="BL25" s="721" t="s">
        <v>305</v>
      </c>
      <c r="BM25" s="721" t="s">
        <v>306</v>
      </c>
      <c r="BN25" s="721" t="s">
        <v>488</v>
      </c>
      <c r="BO25" s="135" t="s">
        <v>489</v>
      </c>
      <c r="BP25" s="721" t="s">
        <v>490</v>
      </c>
      <c r="BQ25" s="721" t="s">
        <v>305</v>
      </c>
      <c r="BR25" s="721" t="s">
        <v>523</v>
      </c>
      <c r="BS25" s="721" t="s">
        <v>524</v>
      </c>
      <c r="BT25" s="135" t="s">
        <v>525</v>
      </c>
      <c r="BU25" s="721" t="s">
        <v>526</v>
      </c>
      <c r="BV25"/>
      <c r="BW25" s="164" t="s">
        <v>314</v>
      </c>
      <c r="BX25" s="164" t="s">
        <v>23</v>
      </c>
      <c r="BY25" s="168" t="s">
        <v>315</v>
      </c>
      <c r="BZ25" s="164" t="s">
        <v>122</v>
      </c>
      <c r="CA25" s="164" t="s">
        <v>316</v>
      </c>
      <c r="CB25" s="164" t="s">
        <v>317</v>
      </c>
      <c r="CC25" s="164" t="s">
        <v>318</v>
      </c>
    </row>
    <row r="26" spans="2:81" s="6" customFormat="1" ht="15.75" customHeight="1">
      <c r="B26" s="44"/>
      <c r="C26" s="44"/>
      <c r="D26" s="44"/>
      <c r="E26" s="78"/>
      <c r="F26" s="94"/>
      <c r="G26" s="95">
        <f t="array" ref="G26">SUM(IF((Admin2!$C$6:$O$6=$BE$5)*(Admin2!$Q$9:$Q$83=$BI$2)*(Admin2!$B$9:$B$83="Ending EEs"),Admin2!$C$9:$O$83,0))</f>
        <v>0</v>
      </c>
      <c r="H26" s="94"/>
      <c r="I26" s="96" t="str">
        <f>IF(G26&lt;&gt;0,"Ending headcount per Kronos/HCMS.","")</f>
        <v/>
      </c>
      <c r="J26" s="96"/>
      <c r="K26" s="94"/>
      <c r="L26" s="94"/>
      <c r="U26" s="94"/>
      <c r="V26" s="94"/>
      <c r="W26" s="94"/>
      <c r="X26" s="94"/>
      <c r="Y26" s="94"/>
      <c r="Z26" s="97"/>
      <c r="AA26" s="94"/>
      <c r="AB26" s="98"/>
      <c r="AE26" s="64"/>
      <c r="AF26" s="64"/>
      <c r="AG26" s="64"/>
      <c r="AH26" s="64"/>
      <c r="AI26" s="64"/>
      <c r="AJ26" s="97"/>
      <c r="AK26" s="68"/>
      <c r="AL26" s="68"/>
      <c r="AM26" s="68"/>
      <c r="AN26" s="221"/>
      <c r="AO26" s="221"/>
      <c r="AP26" s="221"/>
      <c r="AQ26" s="221"/>
      <c r="AR26" s="68"/>
      <c r="AS26" s="68"/>
      <c r="AT26" s="68"/>
      <c r="AU26" s="221"/>
      <c r="AV26" s="221"/>
      <c r="AW26" s="221"/>
      <c r="AX26" s="221"/>
      <c r="AY26" s="68"/>
      <c r="AZ26" s="68"/>
      <c r="BA26" s="68"/>
      <c r="BB26" s="221"/>
      <c r="BC26" s="221"/>
      <c r="BD26" s="221"/>
      <c r="BE26" s="221"/>
      <c r="BI26" s="722" t="s">
        <v>319</v>
      </c>
      <c r="BJ26" s="722">
        <v>1</v>
      </c>
      <c r="BK26" s="722" t="s">
        <v>320</v>
      </c>
      <c r="BL26" s="733">
        <v>6.4039999999999999</v>
      </c>
      <c r="BM26" s="734">
        <v>8.2100000000000009</v>
      </c>
      <c r="BN26" s="735">
        <f t="shared" ref="BN26:BN37" si="3">IF(BM26=0,0,BL26/BM26)</f>
        <v>0.78002436053593172</v>
      </c>
      <c r="BO26" s="139">
        <f>IF(SUM(BM26:BM28=0),0,SUM(BL26:BL28)/SUM(BM26:BM28))</f>
        <v>0.85191684665226775</v>
      </c>
      <c r="BP26" s="736">
        <v>0.95</v>
      </c>
      <c r="BQ26" s="737">
        <v>2.1070000000000002</v>
      </c>
      <c r="BR26" s="738">
        <v>2.1230000000000002</v>
      </c>
      <c r="BS26" s="735">
        <f t="shared" ref="BS26:BS37" si="4">IF(BR26=0,0,BQ26/BR26)</f>
        <v>0.99246349505416864</v>
      </c>
      <c r="BT26" s="139">
        <f>IF(SUM(BR26:BR28=0),0,SUM(BQ26:BQ28)/SUM(BR26:BR28))</f>
        <v>0.99246349505416864</v>
      </c>
      <c r="BU26" s="736">
        <v>0.95</v>
      </c>
      <c r="BV26"/>
      <c r="BX26" s="666" t="str">
        <f t="shared" ref="BX26:BX37" si="5">TEXT(CONCATENATE(CC26,"/01/20",CB26),"MMM")</f>
        <v>Oct</v>
      </c>
      <c r="BY26" s="728">
        <f>IF(CB26=$CB38,SUMIF($BI26:$BI37,$BX26,$BR26:$BR37),SUMIF($BI26:$BI37,$BX26,$BM26:$BM37))</f>
        <v>8.2100000000000009</v>
      </c>
      <c r="BZ26" s="736">
        <f>IF(IF(CB26=CB38,SUMIF(BI26:BI37,$BX26,BU26:BU37),SUMIF(BI26:BI37,$BX26,BP26:BP37))=0,NA(),IF(CB26=CB38,SUMIF(BI26:BI37,$BX26,BU26:BU37),SUMIF(BI26:BI37,$BX26,BP26:BP37)))</f>
        <v>0.95</v>
      </c>
      <c r="CA26" s="739">
        <f>IF(IF(CB26=CB38,SUMIF(BI26:BI37,$BX26,BS26:BS37),SUMIF(BI26:BI37,$BX26,BN26:BN37))=0,NA(),IF(CB26=CB38,SUMIF(BI26:BI37,$BX26,BS26:BS37),SUMIF(BI26:BI37,$BX26,BN26:BN37)))</f>
        <v>0.78002436053593172</v>
      </c>
      <c r="CB26" s="730">
        <v>20</v>
      </c>
      <c r="CC26" s="730">
        <f t="shared" ref="CC26:CC36" si="6">IF(CC27-1&lt;1,CC27+11,CC27-1)</f>
        <v>10</v>
      </c>
    </row>
    <row r="27" spans="2:81" s="6" customFormat="1" ht="15.75" customHeight="1">
      <c r="B27" s="44"/>
      <c r="C27" s="44"/>
      <c r="D27" s="44"/>
      <c r="E27" s="78"/>
      <c r="F27" s="94"/>
      <c r="G27" s="78"/>
      <c r="H27" s="78"/>
      <c r="I27" s="78"/>
      <c r="J27" s="78"/>
      <c r="K27" s="94"/>
      <c r="L27" s="94"/>
      <c r="U27" s="94"/>
      <c r="V27" s="94"/>
      <c r="W27" s="94"/>
      <c r="X27" s="94"/>
      <c r="Y27" s="94"/>
      <c r="Z27" s="97"/>
      <c r="AA27" s="94"/>
      <c r="AB27" s="98"/>
      <c r="AE27" s="64"/>
      <c r="AF27" s="64"/>
      <c r="AG27" s="64"/>
      <c r="AH27" s="64"/>
      <c r="AI27" s="64"/>
      <c r="AJ27" s="97"/>
      <c r="AK27" s="68"/>
      <c r="AL27" s="68"/>
      <c r="AM27" s="68"/>
      <c r="AN27" s="221"/>
      <c r="AO27" s="221"/>
      <c r="AP27" s="221"/>
      <c r="AQ27" s="221"/>
      <c r="AR27" s="68"/>
      <c r="AS27" s="68"/>
      <c r="AT27" s="68"/>
      <c r="AU27" s="221"/>
      <c r="AV27" s="221"/>
      <c r="AW27" s="221"/>
      <c r="AX27" s="221"/>
      <c r="AY27" s="68"/>
      <c r="AZ27" s="68"/>
      <c r="BA27" s="68"/>
      <c r="BB27" s="221"/>
      <c r="BC27" s="221"/>
      <c r="BD27" s="221"/>
      <c r="BE27" s="221"/>
      <c r="BI27" s="722" t="s">
        <v>321</v>
      </c>
      <c r="BJ27" s="722">
        <v>2</v>
      </c>
      <c r="BK27" s="722" t="s">
        <v>320</v>
      </c>
      <c r="BL27" s="733">
        <v>3.37</v>
      </c>
      <c r="BM27" s="734">
        <v>3.51</v>
      </c>
      <c r="BN27" s="735">
        <f t="shared" si="3"/>
        <v>0.96011396011396022</v>
      </c>
      <c r="BO27"/>
      <c r="BP27" s="736">
        <v>0.95</v>
      </c>
      <c r="BQ27" s="737"/>
      <c r="BR27" s="738"/>
      <c r="BS27" s="735">
        <f t="shared" si="4"/>
        <v>0</v>
      </c>
      <c r="BT27"/>
      <c r="BU27" s="736">
        <v>0.95</v>
      </c>
      <c r="BV27"/>
      <c r="BX27" s="666" t="str">
        <f t="shared" si="5"/>
        <v>Nov</v>
      </c>
      <c r="BY27" s="728">
        <f>IF(CB27=$CB38,SUMIF($BI26:$BI37,$BX27,$BR26:$BR37),SUMIF($BI26:$BI37,$BX27,$BM26:$BM37))</f>
        <v>3.51</v>
      </c>
      <c r="BZ27" s="736">
        <f>IF(IF(CB27=CB38,SUMIF(BI26:BI37,$BX27,BU26:BU37),SUMIF(BI26:BI37,$BX27,BP26:BP37))=0,NA(),IF(CB27=CB38,SUMIF(BI26:BI37,$BX27,BU26:BU37),SUMIF(BI26:BI37,$BX27,BP26:BP37)))</f>
        <v>0.95</v>
      </c>
      <c r="CA27" s="739">
        <f>IF(IF(CB27=CB38,SUMIF(BI26:BI37,$BX27,BS26:BS37),SUMIF(BI26:BI37,$BX27,BN26:BN37))=0,NA(),IF(CB27=CB38,SUMIF(BI26:BI37,$BX27,BS26:BS37),SUMIF(BI26:BI37,$BX27,BN26:BN37)))</f>
        <v>0.96011396011396022</v>
      </c>
      <c r="CB27" s="730">
        <v>20</v>
      </c>
      <c r="CC27" s="730">
        <f t="shared" si="6"/>
        <v>11</v>
      </c>
    </row>
    <row r="28" spans="2:81" s="6" customFormat="1" ht="15.75" customHeight="1">
      <c r="B28" s="44" t="s">
        <v>242</v>
      </c>
      <c r="C28" s="44"/>
      <c r="D28" s="44"/>
      <c r="E28" s="87"/>
      <c r="F28" s="94"/>
      <c r="G28" s="94"/>
      <c r="H28" s="94"/>
      <c r="I28" s="94"/>
      <c r="J28" s="94"/>
      <c r="K28" s="94"/>
      <c r="L28" s="94"/>
      <c r="M28" s="94"/>
      <c r="N28" s="94"/>
      <c r="O28" s="94"/>
      <c r="P28" s="94"/>
      <c r="Q28" s="94"/>
      <c r="R28" s="94"/>
      <c r="S28" s="94"/>
      <c r="T28" s="94"/>
      <c r="U28" s="94"/>
      <c r="V28" s="94"/>
      <c r="W28" s="94"/>
      <c r="X28" s="94"/>
      <c r="Y28" s="94"/>
      <c r="Z28" s="94"/>
      <c r="AA28" s="94"/>
      <c r="AB28" s="94"/>
      <c r="AE28" s="44" t="s">
        <v>242</v>
      </c>
      <c r="AF28" s="44"/>
      <c r="AG28" s="44"/>
      <c r="AH28" s="87"/>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I28" s="722" t="s">
        <v>322</v>
      </c>
      <c r="BJ28" s="722">
        <v>3</v>
      </c>
      <c r="BK28" s="722" t="s">
        <v>320</v>
      </c>
      <c r="BL28" s="733">
        <v>2.8479999999999999</v>
      </c>
      <c r="BM28" s="734">
        <v>3.0960000000000001</v>
      </c>
      <c r="BN28" s="735">
        <f t="shared" si="3"/>
        <v>0.91989664082687328</v>
      </c>
      <c r="BO28"/>
      <c r="BP28" s="736">
        <v>0.95</v>
      </c>
      <c r="BQ28" s="737"/>
      <c r="BR28" s="738"/>
      <c r="BS28" s="735">
        <f t="shared" si="4"/>
        <v>0</v>
      </c>
      <c r="BT28"/>
      <c r="BU28" s="736">
        <v>0.95</v>
      </c>
      <c r="BV28"/>
      <c r="BX28" s="666" t="str">
        <f t="shared" si="5"/>
        <v>Dec</v>
      </c>
      <c r="BY28" s="728">
        <f>IF(CB28=$CB38,SUMIF($BI26:$BI37,$BX28,$BR26:$BR37),SUMIF($BI26:$BI37,$BX28,$BM26:$BM37))</f>
        <v>3.0960000000000001</v>
      </c>
      <c r="BZ28" s="736">
        <f>IF(IF(CB28=CB38,SUMIF(BI26:BI37,$BX28,BU26:BU37),SUMIF(BI26:BI37,$BX28,BP26:BP37))=0,NA(),IF(CB28=CB38,SUMIF(BI26:BI37,$BX28,BU26:BU37),SUMIF(BI26:BI37,$BX28,BP26:BP37)))</f>
        <v>0.95</v>
      </c>
      <c r="CA28" s="739">
        <f>IF(IF(CB28=CB38,SUMIF(BI26:BI37,$BX28,BS26:BS37),SUMIF(BI26:BI37,$BX28,BN26:BN37))=0,NA(),IF(CB28=CB38,SUMIF(BI26:BI37,$BX28,BS26:BS37),SUMIF(BI26:BI37,$BX28,BN26:BN37)))</f>
        <v>0.91989664082687328</v>
      </c>
      <c r="CB28" s="730">
        <v>20</v>
      </c>
      <c r="CC28" s="730">
        <f t="shared" si="6"/>
        <v>12</v>
      </c>
    </row>
    <row r="29" spans="2:81" s="6" customFormat="1" ht="15.75" customHeight="1">
      <c r="B29" s="1510" t="s">
        <v>547</v>
      </c>
      <c r="C29" s="1511"/>
      <c r="D29" s="1511"/>
      <c r="E29" s="1511"/>
      <c r="F29" s="1511"/>
      <c r="G29" s="1511"/>
      <c r="H29" s="1511"/>
      <c r="I29" s="1511"/>
      <c r="J29" s="1511"/>
      <c r="K29" s="1511"/>
      <c r="L29" s="1511"/>
      <c r="M29" s="1511"/>
      <c r="N29" s="1511"/>
      <c r="O29" s="1511"/>
      <c r="P29" s="1511"/>
      <c r="Q29" s="1511"/>
      <c r="R29" s="1511"/>
      <c r="S29" s="1511"/>
      <c r="T29" s="1511"/>
      <c r="U29" s="1511"/>
      <c r="V29" s="1511"/>
      <c r="W29" s="1511"/>
      <c r="X29" s="1511"/>
      <c r="Y29" s="1511"/>
      <c r="Z29" s="1511"/>
      <c r="AA29" s="1511"/>
      <c r="AB29" s="1512"/>
      <c r="AE29" s="1510"/>
      <c r="AF29" s="1511"/>
      <c r="AG29" s="1511"/>
      <c r="AH29" s="1511"/>
      <c r="AI29" s="1511"/>
      <c r="AJ29" s="1511"/>
      <c r="AK29" s="1511"/>
      <c r="AL29" s="1511"/>
      <c r="AM29" s="1511"/>
      <c r="AN29" s="1511"/>
      <c r="AO29" s="1511"/>
      <c r="AP29" s="1511"/>
      <c r="AQ29" s="1511"/>
      <c r="AR29" s="1511"/>
      <c r="AS29" s="1511"/>
      <c r="AT29" s="1511"/>
      <c r="AU29" s="1511"/>
      <c r="AV29" s="1511"/>
      <c r="AW29" s="1511"/>
      <c r="AX29" s="1511"/>
      <c r="AY29" s="1511"/>
      <c r="AZ29" s="1511"/>
      <c r="BA29" s="1511"/>
      <c r="BB29" s="1511"/>
      <c r="BC29" s="1511"/>
      <c r="BD29" s="1511"/>
      <c r="BE29" s="1512"/>
      <c r="BI29" s="722" t="s">
        <v>323</v>
      </c>
      <c r="BJ29" s="722">
        <v>4</v>
      </c>
      <c r="BK29" s="722" t="s">
        <v>324</v>
      </c>
      <c r="BL29" s="740">
        <v>2.6640000000000001</v>
      </c>
      <c r="BM29" s="734">
        <v>2.96</v>
      </c>
      <c r="BN29" s="735">
        <f t="shared" si="3"/>
        <v>0.9</v>
      </c>
      <c r="BO29" s="139">
        <f>IF(SUM(BM29:BM31=0),0,SUM(BL29:BL31)/SUM(BM29:BM31))</f>
        <v>0.90821736249171658</v>
      </c>
      <c r="BP29" s="736">
        <v>0.95</v>
      </c>
      <c r="BQ29" s="738"/>
      <c r="BR29" s="738"/>
      <c r="BS29" s="735">
        <f t="shared" si="4"/>
        <v>0</v>
      </c>
      <c r="BT29" s="139">
        <f>IF(SUM(BR29:BR31=0),0,SUM(BQ29:BQ31)/SUM(BR29:BR31))</f>
        <v>0</v>
      </c>
      <c r="BU29" s="736">
        <v>0.95</v>
      </c>
      <c r="BV29"/>
      <c r="BX29" s="666" t="str">
        <f t="shared" si="5"/>
        <v>Jan</v>
      </c>
      <c r="BY29" s="728">
        <f>IF(CB29=$CB38,SUMIF($BI26:$BI37,$BX29,$BR26:$BR37),SUMIF($BI26:$BI37,$BX29,$BM26:$BM37))</f>
        <v>2.96</v>
      </c>
      <c r="BZ29" s="736">
        <f>IF(IF(CB29=CB38,SUMIF(BI26:BI37,$BX29,BU26:BU37),SUMIF(BI26:BI37,$BX29,BP26:BP37))=0,NA(),IF(CB29=CB38,SUMIF(BI26:BI37,$BX29,BU26:BU37),SUMIF(BI26:BI37,$BX29,BP26:BP37)))</f>
        <v>0.95</v>
      </c>
      <c r="CA29" s="739">
        <f>IF(IF(CB29=CB38,SUMIF(BI26:BI37,$BX29,BS26:BS37),SUMIF(BI26:BI37,$BX29,BN26:BN37))=0,NA(),IF(CB29=CB38,SUMIF(BI26:BI37,$BX29,BS26:BS37),SUMIF(BI26:BI37,$BX29,BN26:BN37)))</f>
        <v>0.9</v>
      </c>
      <c r="CB29" s="730">
        <v>20</v>
      </c>
      <c r="CC29" s="730">
        <f t="shared" si="6"/>
        <v>1</v>
      </c>
    </row>
    <row r="30" spans="2:81" ht="14.65" customHeight="1">
      <c r="B30" s="1513"/>
      <c r="C30" s="1514"/>
      <c r="D30" s="1514"/>
      <c r="E30" s="1514"/>
      <c r="F30" s="1514"/>
      <c r="G30" s="1514"/>
      <c r="H30" s="1514"/>
      <c r="I30" s="1514"/>
      <c r="J30" s="1514"/>
      <c r="K30" s="1514"/>
      <c r="L30" s="1514"/>
      <c r="M30" s="1514"/>
      <c r="N30" s="1514"/>
      <c r="O30" s="1514"/>
      <c r="P30" s="1514"/>
      <c r="Q30" s="1514"/>
      <c r="R30" s="1514"/>
      <c r="S30" s="1514"/>
      <c r="T30" s="1514"/>
      <c r="U30" s="1514"/>
      <c r="V30" s="1514"/>
      <c r="W30" s="1514"/>
      <c r="X30" s="1514"/>
      <c r="Y30" s="1514"/>
      <c r="Z30" s="1514"/>
      <c r="AA30" s="1514"/>
      <c r="AB30" s="1515"/>
      <c r="AC30" s="6"/>
      <c r="AD30" s="6"/>
      <c r="AE30" s="1513"/>
      <c r="AF30" s="1514"/>
      <c r="AG30" s="1514"/>
      <c r="AH30" s="1514"/>
      <c r="AI30" s="1514"/>
      <c r="AJ30" s="1514"/>
      <c r="AK30" s="1514"/>
      <c r="AL30" s="1514"/>
      <c r="AM30" s="1514"/>
      <c r="AN30" s="1514"/>
      <c r="AO30" s="1514"/>
      <c r="AP30" s="1514"/>
      <c r="AQ30" s="1514"/>
      <c r="AR30" s="1514"/>
      <c r="AS30" s="1514"/>
      <c r="AT30" s="1514"/>
      <c r="AU30" s="1514"/>
      <c r="AV30" s="1514"/>
      <c r="AW30" s="1514"/>
      <c r="AX30" s="1514"/>
      <c r="AY30" s="1514"/>
      <c r="AZ30" s="1514"/>
      <c r="BA30" s="1514"/>
      <c r="BB30" s="1514"/>
      <c r="BC30" s="1514"/>
      <c r="BD30" s="1514"/>
      <c r="BE30" s="1515"/>
      <c r="BI30" s="722" t="s">
        <v>325</v>
      </c>
      <c r="BJ30" s="722">
        <v>5</v>
      </c>
      <c r="BK30" s="722" t="s">
        <v>324</v>
      </c>
      <c r="BL30" s="733">
        <v>3.1589999999999998</v>
      </c>
      <c r="BM30" s="734">
        <v>3.3969999999999998</v>
      </c>
      <c r="BN30" s="735">
        <f t="shared" si="3"/>
        <v>0.92993818074771861</v>
      </c>
      <c r="BP30" s="736">
        <v>0.95</v>
      </c>
      <c r="BQ30" s="737"/>
      <c r="BR30" s="737"/>
      <c r="BS30" s="735">
        <f t="shared" si="4"/>
        <v>0</v>
      </c>
      <c r="BU30" s="736">
        <v>0.95</v>
      </c>
      <c r="BX30" s="666" t="str">
        <f t="shared" si="5"/>
        <v>Feb</v>
      </c>
      <c r="BY30" s="728">
        <f>IF(CB30=$CB38,SUMIF($BI26:$BI37,$BX30,$BR26:$BR37),SUMIF($BI26:$BI37,$BX30,$BM26:$BM37))</f>
        <v>3.3969999999999998</v>
      </c>
      <c r="BZ30" s="736">
        <f>IF(IF(CB30=CB38,SUMIF(BI26:BI37,$BX30,BU26:BU37),SUMIF(BI26:BI37,$BX30,BP26:BP37))=0,NA(),IF(CB30=CB38,SUMIF(BI26:BI37,$BX30,BU26:BU37),SUMIF(BI26:BI37,$BX30,BP26:BP37)))</f>
        <v>0.95</v>
      </c>
      <c r="CA30" s="739">
        <f>IF(IF(CB30=CB38,SUMIF(BI26:BI37,$BX30,BS26:BS37),SUMIF(BI26:BI37,$BX30,BN26:BN37))=0,NA(),IF(CB30=CB38,SUMIF(BI26:BI37,$BX30,BS26:BS37),SUMIF(BI26:BI37,$BX30,BN26:BN37)))</f>
        <v>0.92993818074771861</v>
      </c>
      <c r="CB30" s="730">
        <v>20</v>
      </c>
      <c r="CC30" s="730">
        <f t="shared" si="6"/>
        <v>2</v>
      </c>
    </row>
    <row r="31" spans="2:81" ht="14.65" customHeight="1">
      <c r="B31" s="1513"/>
      <c r="C31" s="1514"/>
      <c r="D31" s="1514"/>
      <c r="E31" s="1514"/>
      <c r="F31" s="1514"/>
      <c r="G31" s="1514"/>
      <c r="H31" s="1514"/>
      <c r="I31" s="1514"/>
      <c r="J31" s="1514"/>
      <c r="K31" s="1514"/>
      <c r="L31" s="1514"/>
      <c r="M31" s="1514"/>
      <c r="N31" s="1514"/>
      <c r="O31" s="1514"/>
      <c r="P31" s="1514"/>
      <c r="Q31" s="1514"/>
      <c r="R31" s="1514"/>
      <c r="S31" s="1514"/>
      <c r="T31" s="1514"/>
      <c r="U31" s="1514"/>
      <c r="V31" s="1514"/>
      <c r="W31" s="1514"/>
      <c r="X31" s="1514"/>
      <c r="Y31" s="1514"/>
      <c r="Z31" s="1514"/>
      <c r="AA31" s="1514"/>
      <c r="AB31" s="1515"/>
      <c r="AC31" s="6"/>
      <c r="AD31" s="6"/>
      <c r="AE31" s="1513"/>
      <c r="AF31" s="1514"/>
      <c r="AG31" s="1514"/>
      <c r="AH31" s="1514"/>
      <c r="AI31" s="1514"/>
      <c r="AJ31" s="1514"/>
      <c r="AK31" s="1514"/>
      <c r="AL31" s="1514"/>
      <c r="AM31" s="1514"/>
      <c r="AN31" s="1514"/>
      <c r="AO31" s="1514"/>
      <c r="AP31" s="1514"/>
      <c r="AQ31" s="1514"/>
      <c r="AR31" s="1514"/>
      <c r="AS31" s="1514"/>
      <c r="AT31" s="1514"/>
      <c r="AU31" s="1514"/>
      <c r="AV31" s="1514"/>
      <c r="AW31" s="1514"/>
      <c r="AX31" s="1514"/>
      <c r="AY31" s="1514"/>
      <c r="AZ31" s="1514"/>
      <c r="BA31" s="1514"/>
      <c r="BB31" s="1514"/>
      <c r="BC31" s="1514"/>
      <c r="BD31" s="1514"/>
      <c r="BE31" s="1515"/>
      <c r="BI31" s="722" t="s">
        <v>326</v>
      </c>
      <c r="BJ31" s="722">
        <v>6</v>
      </c>
      <c r="BK31" s="722" t="s">
        <v>324</v>
      </c>
      <c r="BL31" s="733">
        <v>2.4</v>
      </c>
      <c r="BM31" s="734">
        <v>2.6970000000000001</v>
      </c>
      <c r="BN31" s="735">
        <f t="shared" si="3"/>
        <v>0.88987764182424911</v>
      </c>
      <c r="BP31" s="736">
        <v>0.95</v>
      </c>
      <c r="BQ31" s="737"/>
      <c r="BR31" s="737"/>
      <c r="BS31" s="735">
        <f t="shared" si="4"/>
        <v>0</v>
      </c>
      <c r="BU31" s="736">
        <v>0.95</v>
      </c>
      <c r="BX31" s="666" t="str">
        <f t="shared" si="5"/>
        <v>Mar</v>
      </c>
      <c r="BY31" s="728">
        <f>IF(CB31=$CB38,SUMIF($BI26:$BI37,$BX31,$BR26:$BR37),SUMIF($BI26:$BI37,$BX31,$BM26:$BM37))</f>
        <v>2.6970000000000001</v>
      </c>
      <c r="BZ31" s="736">
        <f>IF(IF(CB31=CB38,SUMIF(BI26:BI37,$BX31,BU26:BU37),SUMIF(BI26:BI37,$BX31,BP26:BP37))=0,NA(),IF(CB31=CB38,SUMIF(BI26:BI37,$BX31,BU26:BU37),SUMIF(BI26:BI37,$BX31,BP26:BP37)))</f>
        <v>0.95</v>
      </c>
      <c r="CA31" s="739">
        <f>IF(IF(CB31=CB38,SUMIF(BI26:BI37,$BX31,BS26:BS37),SUMIF(BI26:BI37,$BX31,BN26:BN37))=0,NA(),IF(CB31=CB38,SUMIF(BI26:BI37,$BX31,BS26:BS37),SUMIF(BI26:BI37,$BX31,BN26:BN37)))</f>
        <v>0.88987764182424911</v>
      </c>
      <c r="CB31" s="730">
        <v>20</v>
      </c>
      <c r="CC31" s="730">
        <f t="shared" si="6"/>
        <v>3</v>
      </c>
    </row>
    <row r="32" spans="2:81" ht="14.65" customHeight="1">
      <c r="B32" s="1516"/>
      <c r="C32" s="1517"/>
      <c r="D32" s="1517"/>
      <c r="E32" s="1517"/>
      <c r="F32" s="1517"/>
      <c r="G32" s="1517"/>
      <c r="H32" s="1517"/>
      <c r="I32" s="1517"/>
      <c r="J32" s="1517"/>
      <c r="K32" s="1517"/>
      <c r="L32" s="1517"/>
      <c r="M32" s="1517"/>
      <c r="N32" s="1517"/>
      <c r="O32" s="1517"/>
      <c r="P32" s="1517"/>
      <c r="Q32" s="1517"/>
      <c r="R32" s="1517"/>
      <c r="S32" s="1517"/>
      <c r="T32" s="1517"/>
      <c r="U32" s="1517"/>
      <c r="V32" s="1517"/>
      <c r="W32" s="1517"/>
      <c r="X32" s="1517"/>
      <c r="Y32" s="1517"/>
      <c r="Z32" s="1517"/>
      <c r="AA32" s="1517"/>
      <c r="AB32" s="1518"/>
      <c r="AC32" s="6"/>
      <c r="AD32" s="6"/>
      <c r="AE32" s="1516"/>
      <c r="AF32" s="1517"/>
      <c r="AG32" s="1517"/>
      <c r="AH32" s="1517"/>
      <c r="AI32" s="1517"/>
      <c r="AJ32" s="1517"/>
      <c r="AK32" s="1517"/>
      <c r="AL32" s="1517"/>
      <c r="AM32" s="1517"/>
      <c r="AN32" s="1517"/>
      <c r="AO32" s="1517"/>
      <c r="AP32" s="1517"/>
      <c r="AQ32" s="1517"/>
      <c r="AR32" s="1517"/>
      <c r="AS32" s="1517"/>
      <c r="AT32" s="1517"/>
      <c r="AU32" s="1517"/>
      <c r="AV32" s="1517"/>
      <c r="AW32" s="1517"/>
      <c r="AX32" s="1517"/>
      <c r="AY32" s="1517"/>
      <c r="AZ32" s="1517"/>
      <c r="BA32" s="1517"/>
      <c r="BB32" s="1517"/>
      <c r="BC32" s="1517"/>
      <c r="BD32" s="1517"/>
      <c r="BE32" s="1518"/>
      <c r="BI32" s="722" t="s">
        <v>327</v>
      </c>
      <c r="BJ32" s="722">
        <v>7</v>
      </c>
      <c r="BK32" s="722" t="s">
        <v>328</v>
      </c>
      <c r="BL32" s="733">
        <v>1.456</v>
      </c>
      <c r="BM32" s="734">
        <v>1.486</v>
      </c>
      <c r="BN32" s="735">
        <f t="shared" si="3"/>
        <v>0.97981157469717362</v>
      </c>
      <c r="BO32" s="139">
        <f>IF(SUM(BM32:BM34=0),0,SUM(BL32:BL34)/SUM(BM32:BM34))</f>
        <v>0.98566610455311976</v>
      </c>
      <c r="BP32" s="736">
        <v>0.95</v>
      </c>
      <c r="BQ32" s="737"/>
      <c r="BR32" s="737"/>
      <c r="BS32" s="735">
        <f t="shared" si="4"/>
        <v>0</v>
      </c>
      <c r="BT32" s="139">
        <f>IF(SUM(BR32:BR34=0),0,SUM(BQ32:BQ34)/SUM(BR32:BR34))</f>
        <v>0</v>
      </c>
      <c r="BU32" s="736">
        <v>0.95</v>
      </c>
      <c r="BX32" s="666" t="str">
        <f t="shared" si="5"/>
        <v>Apr</v>
      </c>
      <c r="BY32" s="728">
        <f>IF(CB32=$CB38,SUMIF($BI26:$BI37,$BX32,$BR26:$BR37),SUMIF($BI26:$BI37,$BX32,$BM26:$BM37))</f>
        <v>1.486</v>
      </c>
      <c r="BZ32" s="736">
        <f>IF(IF(CB32=CB38,SUMIF(BI26:BI37,$BX32,BU26:BU37),SUMIF(BI26:BI37,$BX32,BP26:BP37))=0,NA(),IF(CB32=CB38,SUMIF(BI26:BI37,$BX32,BU26:BU37),SUMIF(BI26:BI37,$BX32,BP26:BP37)))</f>
        <v>0.95</v>
      </c>
      <c r="CA32" s="739">
        <f>IF(IF(CB32=CB38,SUMIF(BI26:BI37,$BX32,BS26:BS37),SUMIF(BI26:BI37,$BX32,BN26:BN37))=0,NA(),IF(CB32=CB38,SUMIF(BI26:BI37,$BX32,BS26:BS37),SUMIF(BI26:BI37,$BX32,BN26:BN37)))</f>
        <v>0.97981157469717362</v>
      </c>
      <c r="CB32" s="730">
        <v>20</v>
      </c>
      <c r="CC32" s="730">
        <f t="shared" si="6"/>
        <v>4</v>
      </c>
    </row>
    <row r="33" spans="1:81" ht="14.65" customHeight="1">
      <c r="BI33" s="722" t="s">
        <v>329</v>
      </c>
      <c r="BJ33" s="722">
        <v>8</v>
      </c>
      <c r="BK33" s="722" t="s">
        <v>328</v>
      </c>
      <c r="BL33" s="733">
        <v>0.89</v>
      </c>
      <c r="BM33" s="734">
        <v>0.89900000000000002</v>
      </c>
      <c r="BN33" s="735">
        <f t="shared" si="3"/>
        <v>0.9899888765294772</v>
      </c>
      <c r="BP33" s="736">
        <v>0.95</v>
      </c>
      <c r="BQ33" s="737"/>
      <c r="BR33" s="737"/>
      <c r="BS33" s="735">
        <f t="shared" si="4"/>
        <v>0</v>
      </c>
      <c r="BU33" s="736">
        <v>0.95</v>
      </c>
      <c r="BX33" s="666" t="str">
        <f t="shared" si="5"/>
        <v>May</v>
      </c>
      <c r="BY33" s="728">
        <f>IF(CB33=$CB38,SUMIF($BI26:$BI37,$BX33,$BR26:$BR37),SUMIF($BI26:$BI37,$BX33,$BM26:$BM37))</f>
        <v>0.89900000000000002</v>
      </c>
      <c r="BZ33" s="736">
        <f>IF(IF(CB33=CB38,SUMIF(BI26:BI37,$BX33,BU26:BU37),SUMIF(BI26:BI37,$BX33,BP26:BP37))=0,NA(),IF(CB33=CB38,SUMIF(BI26:BI37,$BX33,BU26:BU37),SUMIF(BI26:BI37,$BX33,BP26:BP37)))</f>
        <v>0.95</v>
      </c>
      <c r="CA33" s="739">
        <f>IF(IF(CB33=CB38,SUMIF(BI26:BI37,$BX33,BS26:BS37),SUMIF(BI26:BI37,$BX33,BN26:BN37))=0,NA(),IF(CB33=CB38,SUMIF(BI26:BI37,$BX33,BS26:BS37),SUMIF(BI26:BI37,$BX33,BN26:BN37)))</f>
        <v>0.9899888765294772</v>
      </c>
      <c r="CB33" s="730">
        <v>20</v>
      </c>
      <c r="CC33" s="730">
        <f t="shared" si="6"/>
        <v>5</v>
      </c>
    </row>
    <row r="34" spans="1:81" ht="14.65" customHeight="1">
      <c r="B34" s="28" t="s">
        <v>330</v>
      </c>
      <c r="C34" s="27"/>
      <c r="D34" s="27"/>
      <c r="E34" s="27"/>
      <c r="F34" s="27"/>
      <c r="G34" s="30"/>
      <c r="H34" s="30"/>
      <c r="I34" s="30"/>
      <c r="J34" s="30"/>
      <c r="K34" s="30"/>
      <c r="L34" s="29"/>
      <c r="M34" s="27"/>
      <c r="N34" s="27"/>
      <c r="O34" s="38"/>
      <c r="P34" s="38"/>
      <c r="Q34" s="38"/>
      <c r="R34" s="38"/>
      <c r="S34" s="38"/>
      <c r="T34" s="38"/>
      <c r="U34" s="38"/>
      <c r="V34" s="38"/>
      <c r="W34" s="38"/>
      <c r="X34" s="38"/>
      <c r="Y34" s="38"/>
      <c r="Z34" s="38"/>
      <c r="AA34" s="38"/>
      <c r="AB34" s="38"/>
      <c r="AC34" s="38"/>
      <c r="AD34" s="38"/>
      <c r="AE34" s="38"/>
      <c r="AF34" s="38"/>
      <c r="AG34" s="38"/>
      <c r="AH34" s="38"/>
      <c r="AI34" s="38"/>
      <c r="AJ34" s="38"/>
      <c r="AK34" s="38"/>
      <c r="AL34" s="38"/>
      <c r="AM34" s="38"/>
      <c r="AN34" s="38"/>
      <c r="AO34" s="38"/>
      <c r="AP34" s="38"/>
      <c r="AQ34" s="38"/>
      <c r="AR34" s="38"/>
      <c r="AS34" s="38"/>
      <c r="AT34" s="38"/>
      <c r="AU34" s="38"/>
      <c r="AV34" s="38"/>
      <c r="AW34" s="38"/>
      <c r="AX34" s="38"/>
      <c r="AY34" s="38"/>
      <c r="AZ34" s="38"/>
      <c r="BA34" s="38"/>
      <c r="BB34" s="38"/>
      <c r="BC34" s="38"/>
      <c r="BD34" s="38"/>
      <c r="BE34" s="38"/>
      <c r="BI34" s="722" t="s">
        <v>331</v>
      </c>
      <c r="BJ34" s="722">
        <v>9</v>
      </c>
      <c r="BK34" s="722" t="s">
        <v>328</v>
      </c>
      <c r="BL34" s="733">
        <v>1.161</v>
      </c>
      <c r="BM34" s="734">
        <v>1.173</v>
      </c>
      <c r="BN34" s="735">
        <f t="shared" si="3"/>
        <v>0.98976982097186705</v>
      </c>
      <c r="BP34" s="736">
        <v>0.95</v>
      </c>
      <c r="BQ34" s="737"/>
      <c r="BR34" s="737"/>
      <c r="BS34" s="735">
        <f t="shared" si="4"/>
        <v>0</v>
      </c>
      <c r="BU34" s="736">
        <v>0.95</v>
      </c>
      <c r="BX34" s="666" t="str">
        <f t="shared" si="5"/>
        <v>Jun</v>
      </c>
      <c r="BY34" s="728">
        <f>IF(CB34=$CB38,SUMIF($BI26:$BI37,$BX34,$BR26:$BR37),SUMIF($BI26:$BI37,$BX34,$BM26:$BM37))</f>
        <v>1.173</v>
      </c>
      <c r="BZ34" s="736">
        <f>IF(IF(CB34=CB38,SUMIF(BI26:BI37,$BX34,BU26:BU37),SUMIF(BI26:BI37,$BX34,BP26:BP37))=0,NA(),IF(CB34=CB38,SUMIF(BI26:BI37,$BX34,BU26:BU37),SUMIF(BI26:BI37,$BX34,BP26:BP37)))</f>
        <v>0.95</v>
      </c>
      <c r="CA34" s="739">
        <f>IF(IF(CB34=CB38,SUMIF(BI26:BI37,$BX34,BS26:BS37),SUMIF(BI26:BI37,$BX34,BN26:BN37))=0,NA(),IF(CB34=CB38,SUMIF(BI26:BI37,$BX34,BS26:BS37),SUMIF(BI26:BI37,$BX34,BN26:BN37)))</f>
        <v>0.98976982097186705</v>
      </c>
      <c r="CB34" s="730">
        <v>20</v>
      </c>
      <c r="CC34" s="730">
        <f t="shared" si="6"/>
        <v>6</v>
      </c>
    </row>
    <row r="35" spans="1:81" s="43" customFormat="1" ht="16.149999999999999" customHeight="1">
      <c r="B35" s="1499" t="s">
        <v>332</v>
      </c>
      <c r="C35" s="1499"/>
      <c r="D35" s="1499"/>
      <c r="E35" s="1499"/>
      <c r="F35" s="1499"/>
      <c r="G35" s="1499"/>
      <c r="H35" s="1499"/>
      <c r="I35" s="1499"/>
      <c r="J35" s="1499"/>
      <c r="K35" s="1499" t="s">
        <v>528</v>
      </c>
      <c r="L35" s="1499"/>
      <c r="M35" s="1499"/>
      <c r="N35" s="1499"/>
      <c r="O35" s="1499"/>
      <c r="P35" s="1499"/>
      <c r="Q35" s="1500" t="s">
        <v>529</v>
      </c>
      <c r="R35" s="1500"/>
      <c r="S35" s="1500"/>
      <c r="T35" s="1499" t="s">
        <v>530</v>
      </c>
      <c r="U35" s="1499"/>
      <c r="V35" s="1499"/>
      <c r="W35" s="1499"/>
      <c r="X35" s="1499"/>
      <c r="Y35" s="1499"/>
      <c r="Z35" s="1499"/>
      <c r="AA35" s="1499"/>
      <c r="AB35" s="1499"/>
      <c r="AC35" s="1501" t="s">
        <v>336</v>
      </c>
      <c r="AD35" s="1502"/>
      <c r="AE35" s="1502"/>
      <c r="AF35" s="1502"/>
      <c r="AG35" s="1502"/>
      <c r="AH35" s="1502"/>
      <c r="AI35" s="1502"/>
      <c r="AJ35" s="1502"/>
      <c r="AK35" s="1502"/>
      <c r="AL35" s="1502"/>
      <c r="AM35" s="1502"/>
      <c r="AN35" s="1502"/>
      <c r="AO35" s="1502"/>
      <c r="AP35" s="1502"/>
      <c r="AQ35" s="1502"/>
      <c r="AR35" s="1502"/>
      <c r="AS35" s="1502"/>
      <c r="AT35" s="1502"/>
      <c r="AU35" s="1502"/>
      <c r="AV35" s="1502"/>
      <c r="AW35" s="1502"/>
      <c r="AX35" s="1502"/>
      <c r="AY35" s="1502"/>
      <c r="AZ35" s="1502"/>
      <c r="BA35" s="1502"/>
      <c r="BB35" s="1502"/>
      <c r="BC35" s="1502"/>
      <c r="BD35" s="1502"/>
      <c r="BE35" s="1503"/>
      <c r="BH35" s="223"/>
      <c r="BI35" s="722" t="s">
        <v>337</v>
      </c>
      <c r="BJ35" s="722">
        <v>10</v>
      </c>
      <c r="BK35" s="722" t="s">
        <v>338</v>
      </c>
      <c r="BL35" s="733">
        <v>2.3620000000000001</v>
      </c>
      <c r="BM35" s="741">
        <v>2.41</v>
      </c>
      <c r="BN35" s="735">
        <f t="shared" si="3"/>
        <v>0.98008298755186718</v>
      </c>
      <c r="BO35" s="139">
        <f>IF(SUM(BM35:BM37=0),0,SUM(BL35:BL37)/SUM(BM35:BM37))</f>
        <v>0.98345814239409846</v>
      </c>
      <c r="BP35" s="736">
        <v>0.95</v>
      </c>
      <c r="BQ35" s="737"/>
      <c r="BR35" s="737"/>
      <c r="BS35" s="735">
        <f>IF(BR35=0,0,BQ35/BR35)</f>
        <v>0</v>
      </c>
      <c r="BT35" s="139">
        <f>IF(SUM(BR35:BR37=0),0,SUM(BQ35:BQ37)/SUM(BR35:BR37))</f>
        <v>0</v>
      </c>
      <c r="BU35" s="736">
        <v>0.95</v>
      </c>
      <c r="BV35"/>
      <c r="BW35" s="6"/>
      <c r="BX35" s="666" t="str">
        <f t="shared" si="5"/>
        <v>Jul</v>
      </c>
      <c r="BY35" s="728">
        <f>IF(CB35=$CB38,SUMIF($BI26:$BI37,$BX35,$BR26:$BR37),SUMIF($BI26:$BI37,$BX35,$BM26:$BM37))</f>
        <v>2.41</v>
      </c>
      <c r="BZ35" s="736">
        <f>IF(IF(CB35=CB38,SUMIF(BI26:BI37,$BX35,BU26:BU37),SUMIF(BI26:BI37,$BX35,BP26:BP37))=0,NA(),IF(CB35=CB38,SUMIF(BI26:BI37,$BX35,BU26:BU37),SUMIF(BI26:BI37,$BX35,BP26:BP37)))</f>
        <v>0.95</v>
      </c>
      <c r="CA35" s="739">
        <f>IF(IF(CB35=CB38,SUMIF(BI26:BI37,$BX35,BS26:BS37),SUMIF(BI26:BI37,$BX35,BN26:BN37))=0,NA(),IF(CB35=CB38,SUMIF(BI26:BI37,$BX35,BS26:BS37),SUMIF(BI26:BI37,$BX35,BN26:BN37)))</f>
        <v>0.98008298755186718</v>
      </c>
      <c r="CB35" s="730">
        <v>20</v>
      </c>
      <c r="CC35" s="730">
        <f t="shared" si="6"/>
        <v>7</v>
      </c>
    </row>
    <row r="36" spans="1:81" s="43" customFormat="1" ht="16.149999999999999" customHeight="1">
      <c r="B36" s="1499"/>
      <c r="C36" s="1499"/>
      <c r="D36" s="1499"/>
      <c r="E36" s="1499"/>
      <c r="F36" s="1499"/>
      <c r="G36" s="1499"/>
      <c r="H36" s="1499"/>
      <c r="I36" s="1499"/>
      <c r="J36" s="1499"/>
      <c r="K36" s="1499" t="s">
        <v>23</v>
      </c>
      <c r="L36" s="1499"/>
      <c r="M36" s="1499"/>
      <c r="N36" s="1499" t="s">
        <v>339</v>
      </c>
      <c r="O36" s="1499"/>
      <c r="P36" s="1499"/>
      <c r="Q36" s="1500"/>
      <c r="R36" s="1500"/>
      <c r="S36" s="1500"/>
      <c r="T36" s="1500" t="s">
        <v>340</v>
      </c>
      <c r="U36" s="1500"/>
      <c r="V36" s="1500"/>
      <c r="W36" s="1500" t="s">
        <v>341</v>
      </c>
      <c r="X36" s="1500"/>
      <c r="Y36" s="1500"/>
      <c r="Z36" s="1500" t="s">
        <v>342</v>
      </c>
      <c r="AA36" s="1500"/>
      <c r="AB36" s="1500"/>
      <c r="AC36" s="1504"/>
      <c r="AD36" s="1505"/>
      <c r="AE36" s="1505"/>
      <c r="AF36" s="1505"/>
      <c r="AG36" s="1505"/>
      <c r="AH36" s="1505"/>
      <c r="AI36" s="1505"/>
      <c r="AJ36" s="1505"/>
      <c r="AK36" s="1505"/>
      <c r="AL36" s="1505"/>
      <c r="AM36" s="1505"/>
      <c r="AN36" s="1505"/>
      <c r="AO36" s="1505"/>
      <c r="AP36" s="1505"/>
      <c r="AQ36" s="1505"/>
      <c r="AR36" s="1505"/>
      <c r="AS36" s="1505"/>
      <c r="AT36" s="1505"/>
      <c r="AU36" s="1505"/>
      <c r="AV36" s="1505"/>
      <c r="AW36" s="1505"/>
      <c r="AX36" s="1505"/>
      <c r="AY36" s="1505"/>
      <c r="AZ36" s="1505"/>
      <c r="BA36" s="1505"/>
      <c r="BB36" s="1505"/>
      <c r="BC36" s="1505"/>
      <c r="BD36" s="1505"/>
      <c r="BE36" s="1506"/>
      <c r="BH36" s="223"/>
      <c r="BI36" s="722" t="s">
        <v>343</v>
      </c>
      <c r="BJ36" s="722">
        <v>11</v>
      </c>
      <c r="BK36" s="722" t="s">
        <v>338</v>
      </c>
      <c r="BL36" s="733">
        <v>3.395</v>
      </c>
      <c r="BM36" s="742">
        <v>3.464</v>
      </c>
      <c r="BN36" s="735">
        <f t="shared" si="3"/>
        <v>0.980080831408776</v>
      </c>
      <c r="BO36"/>
      <c r="BP36" s="736">
        <v>0.95</v>
      </c>
      <c r="BQ36" s="737"/>
      <c r="BR36" s="737"/>
      <c r="BS36" s="735">
        <f t="shared" si="4"/>
        <v>0</v>
      </c>
      <c r="BT36"/>
      <c r="BU36" s="736">
        <v>0.95</v>
      </c>
      <c r="BV36"/>
      <c r="BW36" s="6"/>
      <c r="BX36" s="666" t="str">
        <f t="shared" si="5"/>
        <v>Aug</v>
      </c>
      <c r="BY36" s="728">
        <f>IF(CB36=$CB38,SUMIF($BI26:$BI37,$BX36,$BR26:$BR37),SUMIF($BI26:$BI37,$BX36,$BM26:$BM37))</f>
        <v>3.464</v>
      </c>
      <c r="BZ36" s="736">
        <f>IF(IF(CB36=CB38,SUMIF(BI26:BI37,$BX36,BU26:BU37),SUMIF(BI26:BI37,$BX36,BP26:BP37))=0,NA(),IF(CB36=CB38,SUMIF(BI26:BI37,$BX36,BU26:BU37),SUMIF(BI26:BI37,$BX36,BP26:BP37)))</f>
        <v>0.95</v>
      </c>
      <c r="CA36" s="739">
        <f>IF(IF(CB36=CB38,SUMIF(BI26:BI37,$BX36,BS26:BS37),SUMIF(BI26:BI37,$BX36,BN26:BN37))=0,NA(),IF(CB36=CB38,SUMIF(BI26:BI37,$BX36,BS26:BS37),SUMIF(BI26:BI37,$BX36,BN26:BN37)))</f>
        <v>0.980080831408776</v>
      </c>
      <c r="CB36" s="730">
        <v>20</v>
      </c>
      <c r="CC36" s="730">
        <f t="shared" si="6"/>
        <v>8</v>
      </c>
    </row>
    <row r="37" spans="1:81" s="43" customFormat="1" ht="16.149999999999999" customHeight="1">
      <c r="B37" s="1499"/>
      <c r="C37" s="1499"/>
      <c r="D37" s="1499"/>
      <c r="E37" s="1499"/>
      <c r="F37" s="1499"/>
      <c r="G37" s="1499"/>
      <c r="H37" s="1499"/>
      <c r="I37" s="1499"/>
      <c r="J37" s="1499"/>
      <c r="K37" s="1499"/>
      <c r="L37" s="1499"/>
      <c r="M37" s="1499"/>
      <c r="N37" s="1499"/>
      <c r="O37" s="1499"/>
      <c r="P37" s="1499"/>
      <c r="Q37" s="1500"/>
      <c r="R37" s="1500"/>
      <c r="S37" s="1500"/>
      <c r="T37" s="1500"/>
      <c r="U37" s="1500"/>
      <c r="V37" s="1500"/>
      <c r="W37" s="1500"/>
      <c r="X37" s="1500"/>
      <c r="Y37" s="1500"/>
      <c r="Z37" s="1500"/>
      <c r="AA37" s="1500"/>
      <c r="AB37" s="1500"/>
      <c r="AC37" s="1507"/>
      <c r="AD37" s="1508"/>
      <c r="AE37" s="1508"/>
      <c r="AF37" s="1508"/>
      <c r="AG37" s="1508"/>
      <c r="AH37" s="1508"/>
      <c r="AI37" s="1508"/>
      <c r="AJ37" s="1508"/>
      <c r="AK37" s="1508"/>
      <c r="AL37" s="1508"/>
      <c r="AM37" s="1508"/>
      <c r="AN37" s="1508"/>
      <c r="AO37" s="1508"/>
      <c r="AP37" s="1508"/>
      <c r="AQ37" s="1508"/>
      <c r="AR37" s="1508"/>
      <c r="AS37" s="1508"/>
      <c r="AT37" s="1508"/>
      <c r="AU37" s="1508"/>
      <c r="AV37" s="1508"/>
      <c r="AW37" s="1508"/>
      <c r="AX37" s="1508"/>
      <c r="AY37" s="1508"/>
      <c r="AZ37" s="1508"/>
      <c r="BA37" s="1508"/>
      <c r="BB37" s="1508"/>
      <c r="BC37" s="1508"/>
      <c r="BD37" s="1508"/>
      <c r="BE37" s="1509"/>
      <c r="BH37" s="223"/>
      <c r="BI37" s="722" t="s">
        <v>344</v>
      </c>
      <c r="BJ37" s="722">
        <v>12</v>
      </c>
      <c r="BK37" s="722" t="s">
        <v>338</v>
      </c>
      <c r="BL37" s="733">
        <v>3.0419999999999998</v>
      </c>
      <c r="BM37" s="742">
        <v>3.073</v>
      </c>
      <c r="BN37" s="735">
        <f t="shared" si="3"/>
        <v>0.98991213797591926</v>
      </c>
      <c r="BO37"/>
      <c r="BP37" s="736">
        <v>0.95</v>
      </c>
      <c r="BQ37" s="737"/>
      <c r="BR37" s="737"/>
      <c r="BS37" s="735">
        <f t="shared" si="4"/>
        <v>0</v>
      </c>
      <c r="BT37"/>
      <c r="BU37" s="736">
        <v>0.95</v>
      </c>
      <c r="BV37"/>
      <c r="BW37" s="6"/>
      <c r="BX37" s="666" t="str">
        <f t="shared" si="5"/>
        <v>Sep</v>
      </c>
      <c r="BY37" s="728">
        <f>IF(CB37=$CB38,SUMIF($BI26:$BI37,$BX37,$BR26:$BR37),SUMIF($BI26:$BI37,$BX37,$BM26:$BM37))</f>
        <v>3.073</v>
      </c>
      <c r="BZ37" s="736">
        <f>IF(IF(CB37=CB38,SUMIF(BI26:BI37,$BX37,BU26:BU37),SUMIF(BI26:BI37,$BX37,BP26:BP37))=0,NA(),IF(CB37=CB38,SUMIF(BI26:BI37,$BX37,BU26:BU37),SUMIF(BI26:BI37,$BX37,BP26:BP37)))</f>
        <v>0.95</v>
      </c>
      <c r="CA37" s="739">
        <f>IF(IF(CB37=CB38,SUMIF(BI26:BI37,$BX37,BS26:BS37),SUMIF(BI26:BI37,$BX37,BN26:BN37))=0,NA(),IF(CB37=CB38,SUMIF(BI26:BI37,$BX37,BS26:BS37),SUMIF(BI26:BI37,$BX37,BN26:BN37)))</f>
        <v>0.98991213797591926</v>
      </c>
      <c r="CB37" s="730">
        <v>20</v>
      </c>
      <c r="CC37" s="730">
        <f>IF(CC38-1&lt;1,CC38+11,CC38-1)</f>
        <v>9</v>
      </c>
    </row>
    <row r="38" spans="1:81" s="6" customFormat="1" ht="46.9" customHeight="1">
      <c r="A38" s="37"/>
      <c r="B38" s="1614" t="s">
        <v>548</v>
      </c>
      <c r="C38" s="1614"/>
      <c r="D38" s="1614"/>
      <c r="E38" s="1614"/>
      <c r="F38" s="1614"/>
      <c r="G38" s="1614"/>
      <c r="H38" s="1614"/>
      <c r="I38" s="1614"/>
      <c r="J38" s="1614"/>
      <c r="K38" s="1608">
        <f>SUMIF(ADJ!$BJ$26:$BJ$37,Cover!$M$36,ADJ!$BN$26:$BN$37)</f>
        <v>0.78002436053593172</v>
      </c>
      <c r="L38" s="1608"/>
      <c r="M38" s="1608"/>
      <c r="N38" s="1608">
        <f>SUMIF(ADJ!$BK$26:$BK$37,Cover!$M$35,ADJ!$BO$26:$BO$37)</f>
        <v>0.85191684665226775</v>
      </c>
      <c r="O38" s="1608"/>
      <c r="P38" s="1608"/>
      <c r="Q38" s="1609">
        <f>SUMIF(ADJ!$BJ$26:$BJ$37,Cover!$M$36,ADJ!$BU$26:$BU$37)</f>
        <v>0.95</v>
      </c>
      <c r="R38" s="1609"/>
      <c r="S38" s="1609"/>
      <c r="T38" s="1608">
        <f>IF(Cover!$M$36=1,SUMIF($BJ$26:$BJ$37,12,$BN$26:$BN$37),SUMIF(ADJ!$BJ$26:$BJ$37,Cover!$M$36-1,ADJ!$BS$26:$BS$37))</f>
        <v>0.98991213797591926</v>
      </c>
      <c r="U38" s="1608"/>
      <c r="V38" s="1608"/>
      <c r="W38" s="1608">
        <f>SUMIF(ADJ!$BJ$26:$BJ$37,Cover!$M$36,ADJ!$BS$26:$BS$37)</f>
        <v>0.99246349505416864</v>
      </c>
      <c r="X38" s="1608"/>
      <c r="Y38" s="1608"/>
      <c r="Z38" s="1608">
        <f>SUMIF(ADJ!$BK$26:$BK$37,Cover!$M$35,ADJ!$BT$26:$BT$37)</f>
        <v>0.99246349505416864</v>
      </c>
      <c r="AA38" s="1608"/>
      <c r="AB38" s="1608"/>
      <c r="AC38" s="1584" t="s">
        <v>549</v>
      </c>
      <c r="AD38" s="1585"/>
      <c r="AE38" s="1585"/>
      <c r="AF38" s="1585"/>
      <c r="AG38" s="1585"/>
      <c r="AH38" s="1585"/>
      <c r="AI38" s="1585"/>
      <c r="AJ38" s="1585"/>
      <c r="AK38" s="1585"/>
      <c r="AL38" s="1585"/>
      <c r="AM38" s="1585"/>
      <c r="AN38" s="1585"/>
      <c r="AO38" s="1585"/>
      <c r="AP38" s="1585"/>
      <c r="AQ38" s="1585"/>
      <c r="AR38" s="1585"/>
      <c r="AS38" s="1585"/>
      <c r="AT38" s="1585"/>
      <c r="AU38" s="1585"/>
      <c r="AV38" s="1585"/>
      <c r="AW38" s="1585"/>
      <c r="AX38" s="1585"/>
      <c r="AY38" s="1585"/>
      <c r="AZ38" s="1585"/>
      <c r="BA38" s="1585"/>
      <c r="BB38" s="1585"/>
      <c r="BC38" s="1585"/>
      <c r="BD38" s="1585"/>
      <c r="BE38" s="1586"/>
      <c r="BH38" s="160">
        <f>IF(Q38=0,4,IF(W38=0,0,IF(Q38="","",IF(W38&gt;=Q38,1,IF(W38&lt;Q38*0.9,3,2)))))</f>
        <v>1</v>
      </c>
      <c r="BI38"/>
      <c r="BJ38" s="2"/>
      <c r="BK38" s="2"/>
      <c r="BL38" s="2"/>
      <c r="BM38" s="2"/>
      <c r="BN38" s="2"/>
      <c r="BO38" s="2"/>
      <c r="BP38" s="2"/>
      <c r="BQ38" s="2"/>
      <c r="BR38" s="2"/>
      <c r="BS38" s="2"/>
      <c r="BT38" s="2"/>
      <c r="BU38"/>
      <c r="BV38"/>
      <c r="BW38" s="667" t="str">
        <f>Cover!$M$34</f>
        <v>OCT FY-24</v>
      </c>
      <c r="BX38" s="666" t="str">
        <f>TEXT(CONCATENATE(CC38,"/01/20",CB38),"MMM")</f>
        <v>Oct</v>
      </c>
      <c r="BY38" s="728">
        <f>SUMIF($BI26:$BI37,$BX38,$BR26:$BR37)</f>
        <v>2.1230000000000002</v>
      </c>
      <c r="BZ38" s="736">
        <f>IF(IF(CB38=CB38,SUMIF(BI26:BI37,$BX38,BU26:BU37),SUMIF(BI26:BI37,$BX38,BP26:BP37))=0,NA(),IF(CB38=CB38,SUMIF(BI26:BI37,$BX38,BU26:BU37),SUMIF(BI26:BI37,$BX38,BP26:BP37)))</f>
        <v>0.95</v>
      </c>
      <c r="CA38" s="739">
        <f>IF(SUMIF($BI26:$BI37,$BX38,$BS26:$BS37)=0,NA(),SUMIF($BI26:$BI37,$BX38,$BS26:$BS37))</f>
        <v>0.99246349505416864</v>
      </c>
      <c r="CB38" s="730">
        <v>21</v>
      </c>
      <c r="CC38" s="730">
        <f>MONTH(DATEVALUE(LEFT(BW38,3)&amp;" 1"))</f>
        <v>10</v>
      </c>
    </row>
    <row r="39" spans="1:81" ht="46.9" customHeight="1">
      <c r="B39" s="1578" t="s">
        <v>550</v>
      </c>
      <c r="C39" s="1579"/>
      <c r="D39" s="1579"/>
      <c r="E39" s="1579"/>
      <c r="F39" s="1579"/>
      <c r="G39" s="1579"/>
      <c r="H39" s="1579"/>
      <c r="I39" s="1579"/>
      <c r="J39" s="1580"/>
      <c r="K39" s="1605">
        <f>SUMIF(ADJ!$BJ$45:$BJ$56,Cover!$M$36,ADJ!$BN$45:$BN$56)</f>
        <v>0.97002972759813144</v>
      </c>
      <c r="L39" s="1606"/>
      <c r="M39" s="1607"/>
      <c r="N39" s="1605">
        <f>SUMIF(ADJ!$BK$45:$BK$56,Cover!$M$35,ADJ!$BO$45:$BO$56)</f>
        <v>0.97588320294982323</v>
      </c>
      <c r="O39" s="1606"/>
      <c r="P39" s="1607"/>
      <c r="Q39" s="1602">
        <f>SUMIF(ADJ!$BJ$45:$BJ$56,Cover!$M$36,ADJ!$BU$45:$BU$56)</f>
        <v>0.95</v>
      </c>
      <c r="R39" s="1603"/>
      <c r="S39" s="1604"/>
      <c r="T39" s="1605">
        <f>IF(Cover!$M$36=1,SUMIF($BJ$45:$BJ$56,12,$BN$45:$BN$56),SUMIF(ADJ!$BJ$45:$BJ$56,Cover!$M$36-1,ADJ!$BS$45:$BS$56))</f>
        <v>0.967017543859649</v>
      </c>
      <c r="U39" s="1606"/>
      <c r="V39" s="1607"/>
      <c r="W39" s="1605">
        <f>SUMIF(ADJ!$BJ$45:$BJ$56,Cover!$M$36,ADJ!$BS$45:$BS$56)</f>
        <v>0.9738648947951275</v>
      </c>
      <c r="X39" s="1606"/>
      <c r="Y39" s="1607"/>
      <c r="Z39" s="1605">
        <f>SUMIF(ADJ!$BK$45:$BK$56,Cover!$M$35,ADJ!$BT$45:$BT$56)</f>
        <v>0.9738648947951275</v>
      </c>
      <c r="AA39" s="1606"/>
      <c r="AB39" s="1607"/>
      <c r="AC39" s="1543" t="s">
        <v>551</v>
      </c>
      <c r="AD39" s="1544"/>
      <c r="AE39" s="1544"/>
      <c r="AF39" s="1544"/>
      <c r="AG39" s="1544"/>
      <c r="AH39" s="1544"/>
      <c r="AI39" s="1544"/>
      <c r="AJ39" s="1544"/>
      <c r="AK39" s="1544"/>
      <c r="AL39" s="1544"/>
      <c r="AM39" s="1544"/>
      <c r="AN39" s="1544"/>
      <c r="AO39" s="1544"/>
      <c r="AP39" s="1544"/>
      <c r="AQ39" s="1544"/>
      <c r="AR39" s="1544"/>
      <c r="AS39" s="1544"/>
      <c r="AT39" s="1544"/>
      <c r="AU39" s="1544"/>
      <c r="AV39" s="1544"/>
      <c r="AW39" s="1544"/>
      <c r="AX39" s="1544"/>
      <c r="AY39" s="1544"/>
      <c r="AZ39" s="1544"/>
      <c r="BA39" s="1544"/>
      <c r="BB39" s="1544"/>
      <c r="BC39" s="1544"/>
      <c r="BD39" s="1544"/>
      <c r="BE39" s="1545"/>
      <c r="BF39" s="6"/>
      <c r="BH39" s="160">
        <f>IF(Q39=0,4,IF(W39=0,0,IF(Q39="","",IF(W39&gt;=Q39,1,IF(W39&lt;Q39*0.9,3,2)))))</f>
        <v>1</v>
      </c>
    </row>
    <row r="40" spans="1:81" customFormat="1" ht="46.9" customHeight="1">
      <c r="A40" s="37"/>
      <c r="B40" s="1614" t="s">
        <v>552</v>
      </c>
      <c r="C40" s="1618"/>
      <c r="D40" s="1618"/>
      <c r="E40" s="1618"/>
      <c r="F40" s="1618"/>
      <c r="G40" s="1618"/>
      <c r="H40" s="1618"/>
      <c r="I40" s="1618"/>
      <c r="J40" s="1618"/>
      <c r="K40" s="1520">
        <f>SUMIF(ADJ!$BJ$64:$BJ$75,Cover!$M$36,ADJ!$BN$64:$BN$75)</f>
        <v>4.37</v>
      </c>
      <c r="L40" s="1520"/>
      <c r="M40" s="1520"/>
      <c r="N40" s="1520">
        <f>SUMIF(ADJ!$BK$64:$BK$75,Cover!$M$35,ADJ!$BO$64:$BO$75)</f>
        <v>4.1256873785440229</v>
      </c>
      <c r="O40" s="1520"/>
      <c r="P40" s="1520"/>
      <c r="Q40" s="1610">
        <f>SUMIF(ADJ!$BJ$64:$BJ$75,Cover!$M$36,ADJ!$BU$64:$BU$75)</f>
        <v>5</v>
      </c>
      <c r="R40" s="1610"/>
      <c r="S40" s="1610"/>
      <c r="T40" s="1520">
        <f>IF(Cover!$M$36=1,SUMIF($BJ$64:$BJ$75,12,$BN$64:$BN$75),SUMIF(ADJ!$BJ$64:$BJ$75,Cover!$M$36-1,ADJ!$BS$64:$BS$75))</f>
        <v>4.68</v>
      </c>
      <c r="U40" s="1520"/>
      <c r="V40" s="1520"/>
      <c r="W40" s="1520">
        <f>SUMIF(ADJ!$BJ$64:$BJ$75,Cover!$M$36,ADJ!$BS$64:$BS$75)</f>
        <v>5.07</v>
      </c>
      <c r="X40" s="1520"/>
      <c r="Y40" s="1520"/>
      <c r="Z40" s="1520">
        <f>SUMIF(ADJ!$BK$64:$BK$75,Cover!$M$35,ADJ!$BT$64:$BT$75)</f>
        <v>5.07</v>
      </c>
      <c r="AA40" s="1520"/>
      <c r="AB40" s="1520"/>
      <c r="AC40" s="1584" t="s">
        <v>553</v>
      </c>
      <c r="AD40" s="1585"/>
      <c r="AE40" s="1585"/>
      <c r="AF40" s="1585"/>
      <c r="AG40" s="1585"/>
      <c r="AH40" s="1585"/>
      <c r="AI40" s="1585"/>
      <c r="AJ40" s="1585"/>
      <c r="AK40" s="1585"/>
      <c r="AL40" s="1585"/>
      <c r="AM40" s="1585"/>
      <c r="AN40" s="1585"/>
      <c r="AO40" s="1585"/>
      <c r="AP40" s="1585"/>
      <c r="AQ40" s="1585"/>
      <c r="AR40" s="1585"/>
      <c r="AS40" s="1585"/>
      <c r="AT40" s="1585"/>
      <c r="AU40" s="1585"/>
      <c r="AV40" s="1585"/>
      <c r="AW40" s="1585"/>
      <c r="AX40" s="1585"/>
      <c r="AY40" s="1585"/>
      <c r="AZ40" s="1585"/>
      <c r="BA40" s="1585"/>
      <c r="BB40" s="1585"/>
      <c r="BC40" s="1585"/>
      <c r="BD40" s="1585"/>
      <c r="BE40" s="1586"/>
      <c r="BF40" s="6"/>
      <c r="BH40" s="160">
        <f>IF(Q40=0,4,IF(W40=0,0,IF(Q40="","",IF(W40&lt;=Q40,1,IF(W40&gt;Q40/0.9,3,2)))))</f>
        <v>2</v>
      </c>
      <c r="BI40" s="1" t="s">
        <v>292</v>
      </c>
      <c r="BJ40" s="1526" t="s">
        <v>554</v>
      </c>
      <c r="BK40" s="1526"/>
      <c r="BL40" s="1526"/>
      <c r="BM40" s="1526"/>
      <c r="BN40" s="1526"/>
      <c r="BO40" s="1526"/>
      <c r="BP40" s="1526"/>
      <c r="BQ40" s="1526"/>
      <c r="BR40" s="1526"/>
      <c r="BS40" s="1526"/>
      <c r="BT40" s="1526"/>
      <c r="BU40" s="1526"/>
      <c r="BW40" s="6"/>
      <c r="BX40" s="6"/>
    </row>
    <row r="41" spans="1:81" s="6" customFormat="1" ht="45" customHeight="1">
      <c r="A41" s="37"/>
      <c r="B41" s="1578" t="s">
        <v>555</v>
      </c>
      <c r="C41" s="1579"/>
      <c r="D41" s="1579"/>
      <c r="E41" s="1579"/>
      <c r="F41" s="1579"/>
      <c r="G41" s="1579"/>
      <c r="H41" s="1579"/>
      <c r="I41" s="1579"/>
      <c r="J41" s="1580"/>
      <c r="K41" s="1520">
        <f>SUMIF(ADJ!$BJ$83:$BJ$94,Cover!$M$36,ADJ!$BN$83:$BN$94)</f>
        <v>0.11</v>
      </c>
      <c r="L41" s="1520"/>
      <c r="M41" s="1520"/>
      <c r="N41" s="1520">
        <f>SUMIF(ADJ!$BK$83:$BK$94,Cover!$M$35,ADJ!$BO$83:$BO$94)</f>
        <v>8.496644745671722E-2</v>
      </c>
      <c r="O41" s="1520"/>
      <c r="P41" s="1520"/>
      <c r="Q41" s="1540">
        <f>SUMIF(ADJ!$BJ$83:$BJ$94,Cover!$M$36,ADJ!$BU$83:$BU$94)</f>
        <v>1</v>
      </c>
      <c r="R41" s="1540"/>
      <c r="S41" s="1540"/>
      <c r="T41" s="1520">
        <f>IF(Cover!$M$36=1,SUMIF($BJ$83:$BJ$94,12,$BN$83:$BN$94),SUMIF(ADJ!$BJ$83:$BJ$94,Cover!$M$36-1,ADJ!$BS$83:$BS$94))</f>
        <v>0.12</v>
      </c>
      <c r="U41" s="1520"/>
      <c r="V41" s="1520"/>
      <c r="W41" s="1520">
        <f>SUMIF(ADJ!$BJ$83:$BJ$94,Cover!$M$36,ADJ!$BS$83:$BS$94)</f>
        <v>0.12</v>
      </c>
      <c r="X41" s="1520"/>
      <c r="Y41" s="1520"/>
      <c r="Z41" s="1520">
        <f>SUMIF(ADJ!$BK$83:$BK$94,Cover!$M$35,ADJ!$BT$83:$BT$94)</f>
        <v>0.12</v>
      </c>
      <c r="AA41" s="1520"/>
      <c r="AB41" s="1520"/>
      <c r="AC41" s="1543" t="s">
        <v>556</v>
      </c>
      <c r="AD41" s="1544"/>
      <c r="AE41" s="1544"/>
      <c r="AF41" s="1544"/>
      <c r="AG41" s="1544"/>
      <c r="AH41" s="1544"/>
      <c r="AI41" s="1544"/>
      <c r="AJ41" s="1544"/>
      <c r="AK41" s="1544"/>
      <c r="AL41" s="1544"/>
      <c r="AM41" s="1544"/>
      <c r="AN41" s="1544"/>
      <c r="AO41" s="1544"/>
      <c r="AP41" s="1544"/>
      <c r="AQ41" s="1544"/>
      <c r="AR41" s="1544"/>
      <c r="AS41" s="1544"/>
      <c r="AT41" s="1544"/>
      <c r="AU41" s="1544"/>
      <c r="AV41" s="1544"/>
      <c r="AW41" s="1544"/>
      <c r="AX41" s="1544"/>
      <c r="AY41" s="1544"/>
      <c r="AZ41" s="1544"/>
      <c r="BA41" s="1544"/>
      <c r="BB41" s="1544"/>
      <c r="BC41" s="1544"/>
      <c r="BD41" s="1544"/>
      <c r="BE41" s="1545"/>
      <c r="BF41" s="37"/>
      <c r="BH41" s="160">
        <f>IF(Q41=0,4,IF(W41=0,0,IF(Q41="","",IF(W41&lt;=Q41,1,IF(W41&gt;Q41/0.9,3,2)))))</f>
        <v>1</v>
      </c>
      <c r="BI41" s="54" t="s">
        <v>296</v>
      </c>
      <c r="BJ41" s="165" t="s">
        <v>557</v>
      </c>
      <c r="BK41" s="165"/>
      <c r="BL41" s="165"/>
      <c r="BM41" s="165"/>
      <c r="BN41" s="165"/>
      <c r="BO41" s="165"/>
      <c r="BP41" s="165"/>
      <c r="BQ41" s="165"/>
      <c r="BR41" s="165"/>
      <c r="BS41" s="165"/>
      <c r="BT41" s="165"/>
      <c r="BU41" s="165"/>
      <c r="BV41"/>
      <c r="BW41"/>
      <c r="BX41"/>
    </row>
    <row r="42" spans="1:81" s="6" customFormat="1" ht="14.65" customHeight="1" thickBot="1">
      <c r="A42"/>
      <c r="B42" s="26"/>
      <c r="C42" s="23"/>
      <c r="D42" s="37"/>
      <c r="E42" s="37"/>
      <c r="F42" s="37"/>
      <c r="G42" s="37"/>
      <c r="H42" s="37"/>
      <c r="AB42" s="26"/>
      <c r="AC42" s="26"/>
      <c r="AD42" s="24"/>
      <c r="AE42" s="23"/>
      <c r="AF42" s="23"/>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c r="BI42" s="1" t="s">
        <v>300</v>
      </c>
      <c r="BJ42" s="165" t="s">
        <v>558</v>
      </c>
      <c r="BK42" s="165"/>
      <c r="BL42" s="165"/>
      <c r="BM42" s="165"/>
      <c r="BN42" s="165"/>
      <c r="BO42" s="165"/>
      <c r="BP42" s="165"/>
      <c r="BQ42" s="165"/>
      <c r="BR42" s="165"/>
      <c r="BS42" s="165"/>
      <c r="BT42" s="165"/>
      <c r="BU42" s="165"/>
      <c r="BV42"/>
      <c r="BY42"/>
      <c r="BZ42"/>
      <c r="CA42"/>
      <c r="CB42"/>
      <c r="CC42"/>
    </row>
    <row r="43" spans="1:81" s="6" customFormat="1" ht="14.65" customHeight="1" thickBot="1">
      <c r="B43" s="26"/>
      <c r="C43" s="23"/>
      <c r="D43" s="37"/>
      <c r="E43" s="37"/>
      <c r="F43" s="37"/>
      <c r="G43" s="37"/>
      <c r="H43" s="37"/>
      <c r="AB43" s="26"/>
      <c r="AC43" s="26"/>
      <c r="AD43" s="24"/>
      <c r="AE43" s="23"/>
      <c r="AF43" s="23"/>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I43" s="2"/>
      <c r="BJ43" s="2"/>
      <c r="BK43" s="2"/>
      <c r="BL43" s="1490" t="s">
        <v>487</v>
      </c>
      <c r="BM43" s="1491"/>
      <c r="BN43" s="1491"/>
      <c r="BO43" s="1491"/>
      <c r="BP43" s="1521"/>
      <c r="BQ43" s="1490" t="s">
        <v>522</v>
      </c>
      <c r="BR43" s="1491"/>
      <c r="BS43" s="1491"/>
      <c r="BT43" s="1491"/>
      <c r="BU43" s="1492"/>
      <c r="BV43"/>
      <c r="BW43" s="1490" t="s">
        <v>303</v>
      </c>
      <c r="BX43" s="1491"/>
      <c r="BY43" s="1491"/>
      <c r="BZ43" s="1491"/>
      <c r="CA43" s="1491"/>
      <c r="CB43" s="1491"/>
      <c r="CC43" s="1492"/>
    </row>
    <row r="44" spans="1:81" s="6" customFormat="1" ht="14.65" customHeight="1">
      <c r="B44" s="26"/>
      <c r="C44" s="23"/>
      <c r="D44" s="37"/>
      <c r="E44" s="37"/>
      <c r="F44" s="37"/>
      <c r="G44" s="37"/>
      <c r="H44" s="37"/>
      <c r="I44" s="37"/>
      <c r="J44" s="37"/>
      <c r="K44" s="37"/>
      <c r="L44" s="37"/>
      <c r="M44" s="37"/>
      <c r="N44" s="37"/>
      <c r="O44" s="37"/>
      <c r="P44" s="37"/>
      <c r="Q44" s="37"/>
      <c r="R44" s="37"/>
      <c r="S44" s="37"/>
      <c r="T44" s="37"/>
      <c r="U44" s="37"/>
      <c r="V44" s="23"/>
      <c r="W44" s="23"/>
      <c r="X44" s="23"/>
      <c r="Y44" s="25"/>
      <c r="Z44" s="25"/>
      <c r="AA44" s="25"/>
      <c r="AB44" s="25"/>
      <c r="AC44" s="25"/>
      <c r="AD44" s="24"/>
      <c r="AE44" s="23"/>
      <c r="AF44" s="23"/>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I44" s="720" t="s">
        <v>23</v>
      </c>
      <c r="BJ44" s="720" t="s">
        <v>37</v>
      </c>
      <c r="BK44" s="720" t="s">
        <v>304</v>
      </c>
      <c r="BL44" s="721" t="s">
        <v>305</v>
      </c>
      <c r="BM44" s="721" t="s">
        <v>306</v>
      </c>
      <c r="BN44" s="721" t="s">
        <v>488</v>
      </c>
      <c r="BO44" s="135" t="s">
        <v>489</v>
      </c>
      <c r="BP44" s="721" t="s">
        <v>490</v>
      </c>
      <c r="BQ44" s="721" t="s">
        <v>305</v>
      </c>
      <c r="BR44" s="721" t="s">
        <v>523</v>
      </c>
      <c r="BS44" s="721" t="s">
        <v>524</v>
      </c>
      <c r="BT44" s="135" t="s">
        <v>525</v>
      </c>
      <c r="BU44" s="721" t="s">
        <v>526</v>
      </c>
      <c r="BV44"/>
      <c r="BW44" s="164" t="s">
        <v>314</v>
      </c>
      <c r="BX44" s="164" t="s">
        <v>23</v>
      </c>
      <c r="BY44" s="168" t="s">
        <v>315</v>
      </c>
      <c r="BZ44" s="164" t="s">
        <v>122</v>
      </c>
      <c r="CA44" s="164" t="s">
        <v>316</v>
      </c>
      <c r="CB44" s="164" t="s">
        <v>317</v>
      </c>
      <c r="CC44" s="164" t="s">
        <v>318</v>
      </c>
    </row>
    <row r="45" spans="1:81" s="6" customFormat="1" ht="14.65"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I45" s="722" t="s">
        <v>319</v>
      </c>
      <c r="BJ45" s="722">
        <v>1</v>
      </c>
      <c r="BK45" s="722" t="s">
        <v>320</v>
      </c>
      <c r="BL45" s="743">
        <v>15.989000000000001</v>
      </c>
      <c r="BM45" s="744">
        <v>16.483000000000001</v>
      </c>
      <c r="BN45" s="736">
        <f>IF(BM45=0,0,BL45/BM45)</f>
        <v>0.97002972759813144</v>
      </c>
      <c r="BO45" s="139">
        <f>IF(SUM(BM45:BM47=0),0,SUM(BL45:BL47)/SUM(BM45:BM47))</f>
        <v>0.97588320294982323</v>
      </c>
      <c r="BP45" s="736">
        <v>0.95</v>
      </c>
      <c r="BQ45" s="737">
        <v>4.3970000000000002</v>
      </c>
      <c r="BR45" s="745">
        <v>4.5149999999999997</v>
      </c>
      <c r="BS45" s="735">
        <f>IF(BR45=0,0,BQ45/BR45)</f>
        <v>0.9738648947951275</v>
      </c>
      <c r="BT45" s="139">
        <f>IF(SUM(BR45:BR47=0),0,SUM(BQ45:BQ47)/SUM(BR45:BR47))</f>
        <v>0.9738648947951275</v>
      </c>
      <c r="BU45" s="736">
        <v>0.95</v>
      </c>
      <c r="BV45"/>
      <c r="BX45" s="666" t="str">
        <f t="shared" ref="BX45:BX56" si="7">TEXT(CONCATENATE(CC45,"/01/20",CB45),"MMM")</f>
        <v>Oct</v>
      </c>
      <c r="BY45" s="728">
        <f>IF(CB45=$CB57,SUMIF($BI45:$BI56,$BX45,$BR45:$BR56),SUMIF($BI45:$BI56,$BX45,$BM45:$BM56))</f>
        <v>16.483000000000001</v>
      </c>
      <c r="BZ45" s="736">
        <f>IF(IF(CB45=CB57,SUMIF(BI45:BI56,$BX45,BU45:BU56),SUMIF(BI45:BI56,$BX45,BP45:BP56))=0,NA(),IF(CB45=CB57,SUMIF(BI45:BI56,$BX45,BU45:BU56),SUMIF(BI45:BI56,$BX45,BP45:BP56)))</f>
        <v>0.95</v>
      </c>
      <c r="CA45" s="739">
        <f>IF(IF(CB45=CB57,SUMIF(BI45:BI56,$BX45,BS45:BS56),SUMIF(BI45:BI56,$BX45,BN45:BN56))=0,NA(),IF(CB45=CB57,SUMIF(BI45:BI56,$BX45,BS45:BS56),SUMIF(BI45:BI56,$BX45,BN45:BN56)))</f>
        <v>0.97002972759813144</v>
      </c>
      <c r="CB45" s="730">
        <v>20</v>
      </c>
      <c r="CC45" s="730">
        <f t="shared" ref="CC45:CC55" si="8">IF(CC46-1&lt;1,CC46+11,CC46-1)</f>
        <v>10</v>
      </c>
    </row>
    <row r="46" spans="1:81" s="6" customFormat="1" ht="14.65" customHeight="1">
      <c r="B46" s="45" t="s">
        <v>350</v>
      </c>
      <c r="C46" s="46"/>
      <c r="D46" s="46"/>
      <c r="E46" s="46"/>
      <c r="F46" s="46"/>
      <c r="G46" s="11"/>
      <c r="H46" s="11"/>
      <c r="I46" s="11"/>
      <c r="J46" s="11"/>
      <c r="K46" s="11"/>
      <c r="L46" s="48"/>
      <c r="M46" s="46"/>
      <c r="N46" s="4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I46" s="722" t="s">
        <v>321</v>
      </c>
      <c r="BJ46" s="722">
        <v>2</v>
      </c>
      <c r="BK46" s="722" t="s">
        <v>320</v>
      </c>
      <c r="BL46" s="743">
        <v>11.541</v>
      </c>
      <c r="BM46" s="744">
        <v>11.776999999999999</v>
      </c>
      <c r="BN46" s="736">
        <f t="shared" ref="BN46:BN56" si="9">IF(BM46=0,0,BL46/BM46)</f>
        <v>0.97996094081684648</v>
      </c>
      <c r="BO46"/>
      <c r="BP46" s="736">
        <v>0.95</v>
      </c>
      <c r="BQ46" s="737"/>
      <c r="BR46" s="745"/>
      <c r="BS46" s="735">
        <f t="shared" ref="BS46:BS56" si="10">IF(BR46=0,0,BQ46/BR46)</f>
        <v>0</v>
      </c>
      <c r="BT46"/>
      <c r="BU46" s="736">
        <v>0.95</v>
      </c>
      <c r="BV46"/>
      <c r="BX46" s="666" t="str">
        <f t="shared" si="7"/>
        <v>Nov</v>
      </c>
      <c r="BY46" s="728">
        <f>IF(CB46=$CB57,SUMIF($BI45:$BI56,$BX46,$BR45:$BR56),SUMIF($BI45:$BI56,$BX46,$BM45:$BM56))</f>
        <v>11.776999999999999</v>
      </c>
      <c r="BZ46" s="736">
        <f>IF(IF(CB46=CB57,SUMIF(BI45:BI56,$BX46,BU45:BU56),SUMIF(BI45:BI56,$BX46,BP45:BP56))=0,NA(),IF(CB46=CB57,SUMIF(BI45:BI56,$BX46,BU45:BU56),SUMIF(BI45:BI56,$BX46,BP45:BP56)))</f>
        <v>0.95</v>
      </c>
      <c r="CA46" s="739">
        <f>IF(IF(CB46=CB57,SUMIF(BI45:BI56,$BX46,BS45:BS56),SUMIF(BI45:BI56,$BX46,BN45:BN56))=0,NA(),IF(CB46=CB57,SUMIF(BI45:BI56,$BX46,BS45:BS56),SUMIF(BI45:BI56,$BX46,BN45:BN56)))</f>
        <v>0.97996094081684648</v>
      </c>
      <c r="CB46" s="730">
        <v>20</v>
      </c>
      <c r="CC46" s="730">
        <f t="shared" si="8"/>
        <v>11</v>
      </c>
    </row>
    <row r="47" spans="1:81" s="6" customFormat="1" ht="14.65" customHeight="1">
      <c r="F47" s="21"/>
      <c r="G47" s="22"/>
      <c r="BI47" s="722" t="s">
        <v>322</v>
      </c>
      <c r="BJ47" s="722">
        <v>3</v>
      </c>
      <c r="BK47" s="722" t="s">
        <v>320</v>
      </c>
      <c r="BL47" s="743">
        <v>11.64</v>
      </c>
      <c r="BM47" s="744">
        <v>11.878</v>
      </c>
      <c r="BN47" s="736">
        <f t="shared" si="9"/>
        <v>0.97996295672672173</v>
      </c>
      <c r="BO47"/>
      <c r="BP47" s="736">
        <v>0.95</v>
      </c>
      <c r="BQ47" s="737"/>
      <c r="BR47" s="745"/>
      <c r="BS47" s="735">
        <f t="shared" si="10"/>
        <v>0</v>
      </c>
      <c r="BT47"/>
      <c r="BU47" s="736">
        <v>0.95</v>
      </c>
      <c r="BV47"/>
      <c r="BX47" s="666" t="str">
        <f t="shared" si="7"/>
        <v>Dec</v>
      </c>
      <c r="BY47" s="728">
        <f>IF(CB47=$CB57,SUMIF($BI45:$BI56,$BX47,$BR45:$BR56),SUMIF($BI45:$BI56,$BX47,$BM45:$BM56))</f>
        <v>11.878</v>
      </c>
      <c r="BZ47" s="736">
        <f>IF(IF(CB47=CB57,SUMIF(BI45:BI56,$BX47,BU45:BU56),SUMIF(BI45:BI56,$BX47,BP45:BP56))=0,NA(),IF(CB47=CB57,SUMIF(BI45:BI56,$BX47,BU45:BU56),SUMIF(BI45:BI56,$BX47,BP45:BP56)))</f>
        <v>0.95</v>
      </c>
      <c r="CA47" s="739">
        <f>IF(IF(CB47=CB57,SUMIF(BI45:BI56,$BX47,BS45:BS56),SUMIF(BI45:BI56,$BX47,BN45:BN56))=0,NA(),IF(CB47=CB57,SUMIF(BI45:BI56,$BX47,BS45:BS56),SUMIF(BI45:BI56,$BX47,BN45:BN56)))</f>
        <v>0.97996295672672173</v>
      </c>
      <c r="CB47" s="730">
        <v>20</v>
      </c>
      <c r="CC47" s="730">
        <f t="shared" si="8"/>
        <v>12</v>
      </c>
    </row>
    <row r="48" spans="1:81" s="6" customFormat="1" ht="14.65" customHeight="1">
      <c r="B48" s="52"/>
      <c r="F48" s="21"/>
      <c r="G48" s="22"/>
      <c r="AD48"/>
      <c r="BI48" s="722" t="s">
        <v>323</v>
      </c>
      <c r="BJ48" s="722">
        <v>4</v>
      </c>
      <c r="BK48" s="722" t="s">
        <v>324</v>
      </c>
      <c r="BL48" s="743">
        <v>13.653</v>
      </c>
      <c r="BM48" s="744">
        <v>14.680999999999999</v>
      </c>
      <c r="BN48" s="736">
        <f t="shared" si="9"/>
        <v>0.92997752196716854</v>
      </c>
      <c r="BO48" s="139">
        <f>IF(SUM(BM48:BM50=0),0,SUM(BL48:BL50)/SUM(BM48:BM50))</f>
        <v>0.94495991125006307</v>
      </c>
      <c r="BP48" s="736">
        <v>0.95</v>
      </c>
      <c r="BQ48" s="737"/>
      <c r="BR48" s="745"/>
      <c r="BS48" s="735">
        <f t="shared" si="10"/>
        <v>0</v>
      </c>
      <c r="BT48" s="139">
        <f>IF(SUM(BR48:BR50=0),0,SUM(BQ48:BQ50)/SUM(BR48:BR50))</f>
        <v>0</v>
      </c>
      <c r="BU48" s="736">
        <v>0.95</v>
      </c>
      <c r="BV48"/>
      <c r="BX48" s="666" t="str">
        <f t="shared" si="7"/>
        <v>Jan</v>
      </c>
      <c r="BY48" s="728">
        <f>IF(CB48=$CB57,SUMIF($BI45:$BI56,$BX48,$BR45:$BR56),SUMIF($BI45:$BI56,$BX48,$BM45:$BM56))</f>
        <v>14.680999999999999</v>
      </c>
      <c r="BZ48" s="736">
        <f>IF(IF(CB48=CB57,SUMIF(BI45:BI56,$BX48,BU45:BU56),SUMIF(BI45:BI56,$BX48,BP45:BP56))=0,NA(),IF(CB48=CB57,SUMIF(BI45:BI56,$BX48,BU45:BU56),SUMIF(BI45:BI56,$BX48,BP45:BP56)))</f>
        <v>0.95</v>
      </c>
      <c r="CA48" s="739">
        <f>IF(IF(CB48=CB57,SUMIF(BI45:BI56,$BX48,BS45:BS56),SUMIF(BI45:BI56,$BX48,BN45:BN56))=0,NA(),IF(CB48=CB57,SUMIF(BI45:BI56,$BX48,BS45:BS56),SUMIF(BI45:BI56,$BX48,BN45:BN56)))</f>
        <v>0.92997752196716854</v>
      </c>
      <c r="CB48" s="730">
        <v>20</v>
      </c>
      <c r="CC48" s="730">
        <f t="shared" si="8"/>
        <v>1</v>
      </c>
    </row>
    <row r="49" spans="61:81" s="6" customFormat="1" ht="14.65" customHeight="1">
      <c r="BI49" s="722" t="s">
        <v>325</v>
      </c>
      <c r="BJ49" s="722">
        <v>5</v>
      </c>
      <c r="BK49" s="722" t="s">
        <v>324</v>
      </c>
      <c r="BL49" s="743">
        <v>14.718</v>
      </c>
      <c r="BM49" s="744">
        <v>15.493</v>
      </c>
      <c r="BN49" s="736">
        <f t="shared" si="9"/>
        <v>0.94997740915252049</v>
      </c>
      <c r="BO49"/>
      <c r="BP49" s="736">
        <v>0.95</v>
      </c>
      <c r="BQ49" s="737"/>
      <c r="BR49" s="737"/>
      <c r="BS49" s="735">
        <f t="shared" si="10"/>
        <v>0</v>
      </c>
      <c r="BT49"/>
      <c r="BU49" s="736">
        <v>0.95</v>
      </c>
      <c r="BV49"/>
      <c r="BX49" s="666" t="str">
        <f t="shared" si="7"/>
        <v>Feb</v>
      </c>
      <c r="BY49" s="728">
        <f>IF(CB49=$CB57,SUMIF($BI45:$BI56,$BX49,$BR45:$BR56),SUMIF($BI45:$BI56,$BX49,$BM45:$BM56))</f>
        <v>15.493</v>
      </c>
      <c r="BZ49" s="736">
        <f>IF(IF(CB49=CB57,SUMIF(BI45:BI56,$BX49,BU45:BU56),SUMIF(BI45:BI56,$BX49,BP45:BP56))=0,NA(),IF(CB49=CB57,SUMIF(BI45:BI56,$BX49,BU45:BU56),SUMIF(BI45:BI56,$BX49,BP45:BP56)))</f>
        <v>0.95</v>
      </c>
      <c r="CA49" s="739">
        <f>IF(IF(CB49=CB57,SUMIF(BI45:BI56,$BX49,BS45:BS56),SUMIF(BI45:BI56,$BX49,BN45:BN56))=0,NA(),IF(CB49=CB57,SUMIF(BI45:BI56,$BX49,BS45:BS56),SUMIF(BI45:BI56,$BX49,BN45:BN56)))</f>
        <v>0.94997740915252049</v>
      </c>
      <c r="CB49" s="730">
        <v>20</v>
      </c>
      <c r="CC49" s="730">
        <f t="shared" si="8"/>
        <v>2</v>
      </c>
    </row>
    <row r="50" spans="61:81" s="6" customFormat="1" ht="14.65" customHeight="1">
      <c r="BI50" s="722" t="s">
        <v>326</v>
      </c>
      <c r="BJ50" s="722">
        <v>6</v>
      </c>
      <c r="BK50" s="722" t="s">
        <v>324</v>
      </c>
      <c r="BL50" s="743">
        <v>9.1080000000000005</v>
      </c>
      <c r="BM50" s="744">
        <v>9.4879999999999995</v>
      </c>
      <c r="BN50" s="736">
        <f t="shared" si="9"/>
        <v>0.95994940978077581</v>
      </c>
      <c r="BO50"/>
      <c r="BP50" s="736">
        <v>0.95</v>
      </c>
      <c r="BQ50" s="737"/>
      <c r="BR50" s="737"/>
      <c r="BS50" s="735">
        <f t="shared" si="10"/>
        <v>0</v>
      </c>
      <c r="BT50"/>
      <c r="BU50" s="736">
        <v>0.95</v>
      </c>
      <c r="BV50"/>
      <c r="BX50" s="666" t="str">
        <f t="shared" si="7"/>
        <v>Mar</v>
      </c>
      <c r="BY50" s="728">
        <f>IF(CB50=$CB57,SUMIF($BI45:$BI56,$BX50,$BR45:$BR56),SUMIF($BI45:$BI56,$BX50,$BM45:$BM56))</f>
        <v>9.4879999999999995</v>
      </c>
      <c r="BZ50" s="736">
        <f>IF(IF(CB50=CB57,SUMIF(BI45:BI56,$BX50,BU45:BU56),SUMIF(BI45:BI56,$BX50,BP45:BP56))=0,NA(),IF(CB50=CB57,SUMIF(BI45:BI56,$BX50,BU45:BU56),SUMIF(BI45:BI56,$BX50,BP45:BP56)))</f>
        <v>0.95</v>
      </c>
      <c r="CA50" s="739">
        <f>IF(IF(CB50=CB57,SUMIF(BI45:BI56,$BX50,BS45:BS56),SUMIF(BI45:BI56,$BX50,BN45:BN56))=0,NA(),IF(CB50=CB57,SUMIF(BI45:BI56,$BX50,BS45:BS56),SUMIF(BI45:BI56,$BX50,BN45:BN56)))</f>
        <v>0.95994940978077581</v>
      </c>
      <c r="CB50" s="730">
        <v>20</v>
      </c>
      <c r="CC50" s="730">
        <f t="shared" si="8"/>
        <v>3</v>
      </c>
    </row>
    <row r="51" spans="61:81" s="6" customFormat="1" ht="14.65" customHeight="1">
      <c r="BI51" s="722" t="s">
        <v>327</v>
      </c>
      <c r="BJ51" s="722">
        <v>7</v>
      </c>
      <c r="BK51" s="722" t="s">
        <v>328</v>
      </c>
      <c r="BL51" s="743">
        <v>3.7879999999999998</v>
      </c>
      <c r="BM51" s="744">
        <v>3.8650000000000002</v>
      </c>
      <c r="BN51" s="736">
        <f t="shared" si="9"/>
        <v>0.98007761966364804</v>
      </c>
      <c r="BO51" s="139">
        <f>IF(SUM(BM51:BM53=0),0,SUM(BL51:BL53)/SUM(BM51:BM53))</f>
        <v>0.98194111605614498</v>
      </c>
      <c r="BP51" s="736">
        <v>0.95</v>
      </c>
      <c r="BQ51" s="737"/>
      <c r="BR51" s="737"/>
      <c r="BS51" s="735">
        <f t="shared" si="10"/>
        <v>0</v>
      </c>
      <c r="BT51" s="139">
        <f>IF(SUM(BR51:BR53=0),0,SUM(BQ51:BQ53)/SUM(BR51:BR53))</f>
        <v>0</v>
      </c>
      <c r="BU51" s="736">
        <v>0.95</v>
      </c>
      <c r="BV51"/>
      <c r="BX51" s="666" t="str">
        <f t="shared" si="7"/>
        <v>Apr</v>
      </c>
      <c r="BY51" s="728">
        <f>IF(CB51=$CB57,SUMIF($BI45:$BI56,$BX51,$BR45:$BR56),SUMIF($BI45:$BI56,$BX51,$BM45:$BM56))</f>
        <v>3.8650000000000002</v>
      </c>
      <c r="BZ51" s="736">
        <f>IF(IF(CB51=CB57,SUMIF(BI45:BI56,$BX51,BU45:BU56),SUMIF(BI45:BI56,$BX51,BP45:BP56))=0,NA(),IF(CB51=CB57,SUMIF(BI45:BI56,$BX51,BU45:BU56),SUMIF(BI45:BI56,$BX51,BP45:BP56)))</f>
        <v>0.95</v>
      </c>
      <c r="CA51" s="739">
        <f>IF(IF(CB51=CB57,SUMIF(BI45:BI56,$BX51,BS45:BS56),SUMIF(BI45:BI56,$BX51,BN45:BN56))=0,NA(),IF(CB51=CB57,SUMIF(BI45:BI56,$BX51,BS45:BS56),SUMIF(BI45:BI56,$BX51,BN45:BN56)))</f>
        <v>0.98007761966364804</v>
      </c>
      <c r="CB51" s="730">
        <v>20</v>
      </c>
      <c r="CC51" s="730">
        <f t="shared" si="8"/>
        <v>4</v>
      </c>
    </row>
    <row r="52" spans="61:81" s="6" customFormat="1" ht="14.65" customHeight="1">
      <c r="BI52" s="722" t="s">
        <v>329</v>
      </c>
      <c r="BJ52" s="722">
        <v>8</v>
      </c>
      <c r="BK52" s="722" t="s">
        <v>328</v>
      </c>
      <c r="BL52" s="743">
        <v>2.7130000000000001</v>
      </c>
      <c r="BM52" s="744">
        <v>2.7970000000000002</v>
      </c>
      <c r="BN52" s="736">
        <f t="shared" si="9"/>
        <v>0.96996782266714332</v>
      </c>
      <c r="BO52"/>
      <c r="BP52" s="736">
        <v>0.95</v>
      </c>
      <c r="BQ52" s="737"/>
      <c r="BR52" s="737"/>
      <c r="BS52" s="735">
        <f t="shared" si="10"/>
        <v>0</v>
      </c>
      <c r="BT52"/>
      <c r="BU52" s="736">
        <v>0.95</v>
      </c>
      <c r="BV52"/>
      <c r="BX52" s="666" t="str">
        <f t="shared" si="7"/>
        <v>May</v>
      </c>
      <c r="BY52" s="728">
        <f>IF(CB52=$CB57,SUMIF($BI45:$BI56,$BX52,$BR45:$BR56),SUMIF($BI45:$BI56,$BX52,$BM45:$BM56))</f>
        <v>2.7970000000000002</v>
      </c>
      <c r="BZ52" s="736">
        <f>IF(IF(CB52=CB57,SUMIF(BI45:BI56,$BX52,BU45:BU56),SUMIF(BI45:BI56,$BX52,BP45:BP56))=0,NA(),IF(CB52=CB57,SUMIF(BI45:BI56,$BX52,BU45:BU56),SUMIF(BI45:BI56,$BX52,BP45:BP56)))</f>
        <v>0.95</v>
      </c>
      <c r="CA52" s="739">
        <f>IF(IF(CB52=CB57,SUMIF(BI45:BI56,$BX52,BS45:BS56),SUMIF(BI45:BI56,$BX52,BN45:BN56))=0,NA(),IF(CB52=CB57,SUMIF(BI45:BI56,$BX52,BS45:BS56),SUMIF(BI45:BI56,$BX52,BN45:BN56)))</f>
        <v>0.96996782266714332</v>
      </c>
      <c r="CB52" s="730">
        <v>20</v>
      </c>
      <c r="CC52" s="730">
        <f t="shared" si="8"/>
        <v>5</v>
      </c>
    </row>
    <row r="53" spans="61:81" s="6" customFormat="1" ht="14.65" customHeight="1">
      <c r="BI53" s="722" t="s">
        <v>331</v>
      </c>
      <c r="BJ53" s="722">
        <v>9</v>
      </c>
      <c r="BK53" s="722" t="s">
        <v>328</v>
      </c>
      <c r="BL53" s="743">
        <v>4.9720000000000004</v>
      </c>
      <c r="BM53" s="744">
        <v>5.0220000000000002</v>
      </c>
      <c r="BN53" s="736">
        <f t="shared" si="9"/>
        <v>0.99004380724810837</v>
      </c>
      <c r="BO53"/>
      <c r="BP53" s="736">
        <v>0.95</v>
      </c>
      <c r="BQ53" s="737"/>
      <c r="BR53" s="737"/>
      <c r="BS53" s="735">
        <f t="shared" si="10"/>
        <v>0</v>
      </c>
      <c r="BT53"/>
      <c r="BU53" s="736">
        <v>0.95</v>
      </c>
      <c r="BV53"/>
      <c r="BX53" s="666" t="str">
        <f t="shared" si="7"/>
        <v>Jun</v>
      </c>
      <c r="BY53" s="728">
        <f>IF(CB53=$CB57,SUMIF($BI45:$BI56,$BX53,$BR45:$BR56),SUMIF($BI45:$BI56,$BX53,$BM45:$BM56))</f>
        <v>5.0220000000000002</v>
      </c>
      <c r="BZ53" s="736">
        <f>IF(IF(CB53=CB57,SUMIF(BI45:BI56,$BX53,BU45:BU56),SUMIF(BI45:BI56,$BX53,BP45:BP56))=0,NA(),IF(CB53=CB57,SUMIF(BI45:BI56,$BX53,BU45:BU56),SUMIF(BI45:BI56,$BX53,BP45:BP56)))</f>
        <v>0.95</v>
      </c>
      <c r="CA53" s="739">
        <f>IF(IF(CB53=CB57,SUMIF(BI45:BI56,$BX53,BS45:BS56),SUMIF(BI45:BI56,$BX53,BN45:BN56))=0,NA(),IF(CB53=CB57,SUMIF(BI45:BI56,$BX53,BS45:BS56),SUMIF(BI45:BI56,$BX53,BN45:BN56)))</f>
        <v>0.99004380724810837</v>
      </c>
      <c r="CB53" s="730">
        <v>20</v>
      </c>
      <c r="CC53" s="730">
        <f t="shared" si="8"/>
        <v>6</v>
      </c>
    </row>
    <row r="54" spans="61:81" s="6" customFormat="1" ht="14.65" customHeight="1">
      <c r="BI54" s="722" t="s">
        <v>337</v>
      </c>
      <c r="BJ54" s="722">
        <v>10</v>
      </c>
      <c r="BK54" s="722" t="s">
        <v>338</v>
      </c>
      <c r="BL54" s="743">
        <v>7.6639999999999997</v>
      </c>
      <c r="BM54" s="744">
        <v>7.82</v>
      </c>
      <c r="BN54" s="736">
        <f t="shared" si="9"/>
        <v>0.98005115089514061</v>
      </c>
      <c r="BO54" s="139">
        <f>IF(SUM(BM54:BM56=0),0,SUM(BL54:BL56)/SUM(BM54:BM56))</f>
        <v>0.9792511940835088</v>
      </c>
      <c r="BP54" s="736">
        <v>0.95</v>
      </c>
      <c r="BQ54" s="737"/>
      <c r="BR54" s="737"/>
      <c r="BS54" s="735">
        <f t="shared" si="10"/>
        <v>0</v>
      </c>
      <c r="BT54" s="139">
        <f>IF(SUM(BR54:BR56=0),0,SUM(BQ54:BQ56)/SUM(BR54:BR56))</f>
        <v>0</v>
      </c>
      <c r="BU54" s="736">
        <v>0.95</v>
      </c>
      <c r="BV54"/>
      <c r="BX54" s="666" t="str">
        <f t="shared" si="7"/>
        <v>Jul</v>
      </c>
      <c r="BY54" s="728">
        <f>IF(CB54=$CB57,SUMIF($BI45:$BI56,$BX54,$BR45:$BR56),SUMIF($BI45:$BI56,$BX54,$BM45:$BM56))</f>
        <v>7.82</v>
      </c>
      <c r="BZ54" s="736">
        <f>IF(IF(CB54=CB57,SUMIF(BI45:BI56,$BX54,BU45:BU56),SUMIF(BI45:BI56,$BX54,BP45:BP56))=0,NA(),IF(CB54=CB57,SUMIF(BI45:BI56,$BX54,BU45:BU56),SUMIF(BI45:BI56,$BX54,BP45:BP56)))</f>
        <v>0.95</v>
      </c>
      <c r="CA54" s="739">
        <f>IF(IF(CB54=CB57,SUMIF(BI45:BI56,$BX54,BS45:BS56),SUMIF(BI45:BI56,$BX54,BN45:BN56))=0,NA(),IF(CB54=CB57,SUMIF(BI45:BI56,$BX54,BS45:BS56),SUMIF(BI45:BI56,$BX54,BN45:BN56)))</f>
        <v>0.98005115089514061</v>
      </c>
      <c r="CB54" s="730">
        <v>20</v>
      </c>
      <c r="CC54" s="730">
        <f t="shared" si="8"/>
        <v>7</v>
      </c>
    </row>
    <row r="55" spans="61:81" s="6" customFormat="1" ht="14.65" customHeight="1">
      <c r="BI55" s="722" t="s">
        <v>343</v>
      </c>
      <c r="BJ55" s="722">
        <v>11</v>
      </c>
      <c r="BK55" s="722" t="s">
        <v>338</v>
      </c>
      <c r="BL55" s="743">
        <v>5.891</v>
      </c>
      <c r="BM55" s="744">
        <v>5.9509999999999996</v>
      </c>
      <c r="BN55" s="736">
        <f t="shared" si="9"/>
        <v>0.98991766089732824</v>
      </c>
      <c r="BO55"/>
      <c r="BP55" s="736">
        <v>0.95</v>
      </c>
      <c r="BQ55" s="737"/>
      <c r="BR55" s="737"/>
      <c r="BS55" s="735">
        <f t="shared" si="10"/>
        <v>0</v>
      </c>
      <c r="BT55"/>
      <c r="BU55" s="736">
        <v>0.95</v>
      </c>
      <c r="BV55"/>
      <c r="BX55" s="666" t="str">
        <f t="shared" si="7"/>
        <v>Aug</v>
      </c>
      <c r="BY55" s="728">
        <f>IF(CB55=$CB57,SUMIF($BI45:$BI56,$BX55,$BR45:$BR56),SUMIF($BI45:$BI56,$BX55,$BM45:$BM56))</f>
        <v>5.9509999999999996</v>
      </c>
      <c r="BZ55" s="736">
        <f>IF(IF(CB55=CB57,SUMIF(BI45:BI56,$BX55,BU45:BU56),SUMIF(BI45:BI56,$BX55,BP45:BP56))=0,NA(),IF(CB55=CB57,SUMIF(BI45:BI56,$BX55,BU45:BU56),SUMIF(BI45:BI56,$BX55,BP45:BP56)))</f>
        <v>0.95</v>
      </c>
      <c r="CA55" s="739">
        <f>IF(IF(CB55=CB57,SUMIF(BI45:BI56,$BX55,BS45:BS56),SUMIF(BI45:BI56,$BX55,BN45:BN56))=0,NA(),IF(CB55=CB57,SUMIF(BI45:BI56,$BX55,BS45:BS56),SUMIF(BI45:BI56,$BX55,BN45:BN56)))</f>
        <v>0.98991766089732824</v>
      </c>
      <c r="CB55" s="730">
        <v>20</v>
      </c>
      <c r="CC55" s="730">
        <f t="shared" si="8"/>
        <v>8</v>
      </c>
    </row>
    <row r="56" spans="61:81" s="6" customFormat="1" ht="14.65" customHeight="1">
      <c r="BI56" s="722" t="s">
        <v>344</v>
      </c>
      <c r="BJ56" s="722">
        <v>12</v>
      </c>
      <c r="BK56" s="722" t="s">
        <v>338</v>
      </c>
      <c r="BL56" s="743">
        <v>5.5119999999999996</v>
      </c>
      <c r="BM56" s="744">
        <v>5.7</v>
      </c>
      <c r="BN56" s="736">
        <f t="shared" si="9"/>
        <v>0.967017543859649</v>
      </c>
      <c r="BO56"/>
      <c r="BP56" s="736">
        <v>0.95</v>
      </c>
      <c r="BQ56" s="737"/>
      <c r="BR56" s="737"/>
      <c r="BS56" s="735">
        <f t="shared" si="10"/>
        <v>0</v>
      </c>
      <c r="BT56"/>
      <c r="BU56" s="736">
        <v>0.95</v>
      </c>
      <c r="BV56"/>
      <c r="BX56" s="666" t="str">
        <f t="shared" si="7"/>
        <v>Sep</v>
      </c>
      <c r="BY56" s="728">
        <f>IF(CB56=$CB57,SUMIF($BI45:$BI56,$BX56,$BR45:$BR56),SUMIF($BI45:$BI56,$BX56,$BM45:$BM56))</f>
        <v>5.7</v>
      </c>
      <c r="BZ56" s="736">
        <f>IF(IF(CB56=CB57,SUMIF(BI45:BI56,$BX56,BU45:BU56),SUMIF(BI45:BI56,$BX56,BP45:BP56))=0,NA(),IF(CB56=CB57,SUMIF(BI45:BI56,$BX56,BU45:BU56),SUMIF(BI45:BI56,$BX56,BP45:BP56)))</f>
        <v>0.95</v>
      </c>
      <c r="CA56" s="739">
        <f>IF(IF(CB56=CB57,SUMIF(BI45:BI56,$BX56,BS45:BS56),SUMIF(BI45:BI56,$BX56,BN45:BN56))=0,NA(),IF(CB56=CB57,SUMIF(BI45:BI56,$BX56,BS45:BS56),SUMIF(BI45:BI56,$BX56,BN45:BN56)))</f>
        <v>0.967017543859649</v>
      </c>
      <c r="CB56" s="730">
        <v>20</v>
      </c>
      <c r="CC56" s="730">
        <f>IF(CC57-1&lt;1,CC57+11,CC57-1)</f>
        <v>9</v>
      </c>
    </row>
    <row r="57" spans="61:81" s="6" customFormat="1" ht="14.65" customHeight="1">
      <c r="BI57"/>
      <c r="BJ57" s="2"/>
      <c r="BK57" s="2"/>
      <c r="BL57" s="2"/>
      <c r="BM57" s="153"/>
      <c r="BN57" s="2"/>
      <c r="BO57" s="2"/>
      <c r="BP57" s="2"/>
      <c r="BQ57" s="2"/>
      <c r="BR57" s="2"/>
      <c r="BS57" s="2"/>
      <c r="BT57" s="2"/>
      <c r="BU57"/>
      <c r="BV57"/>
      <c r="BW57" s="667" t="str">
        <f>Cover!$M$34</f>
        <v>OCT FY-24</v>
      </c>
      <c r="BX57" s="666" t="str">
        <f>TEXT(CONCATENATE(CC57,"/01/20",CB57),"MMM")</f>
        <v>Oct</v>
      </c>
      <c r="BY57" s="728">
        <f>SUMIF($BI45:$BI56,$BX57,$BR45:$BR56)</f>
        <v>4.5149999999999997</v>
      </c>
      <c r="BZ57" s="736">
        <f>IF(IF(CB57=CB57,SUMIF(BI45:BI56,$BX57,BU45:BU56),SUMIF(BI45:BI56,$BX57,BP45:BP56))=0,NA(),IF(CB57=CB57,SUMIF(BI45:BI56,$BX57,BU45:BU56),SUMIF(BI45:BI56,$BX57,BP45:BP56)))</f>
        <v>0.95</v>
      </c>
      <c r="CA57" s="739">
        <f>IF(SUMIF($BI45:$BI56,$BX57,$BS45:$BS56)=0,NA(),SUMIF($BI45:$BI56,$BX57,$BS45:$BS56))</f>
        <v>0.9738648947951275</v>
      </c>
      <c r="CB57" s="730">
        <v>21</v>
      </c>
      <c r="CC57" s="730">
        <f>MONTH(DATEVALUE(LEFT(BW57,3)&amp;" 1"))</f>
        <v>10</v>
      </c>
    </row>
    <row r="58" spans="61:81" s="6" customFormat="1" ht="14.65" customHeight="1">
      <c r="BV58"/>
    </row>
    <row r="59" spans="61:81" s="6" customFormat="1" ht="14.65" customHeight="1">
      <c r="BI59" s="1" t="s">
        <v>292</v>
      </c>
      <c r="BJ59" s="166" t="s">
        <v>559</v>
      </c>
      <c r="BK59" s="166"/>
      <c r="BL59" s="166"/>
      <c r="BM59" s="166"/>
      <c r="BN59" s="166"/>
      <c r="BO59" s="166"/>
      <c r="BP59" s="166"/>
      <c r="BQ59" s="166"/>
      <c r="BR59" s="166"/>
      <c r="BS59" s="166"/>
      <c r="BT59" s="166"/>
      <c r="BU59" s="166"/>
      <c r="BV59"/>
    </row>
    <row r="60" spans="61:81" s="6" customFormat="1" ht="14.65" customHeight="1">
      <c r="BI60" s="54" t="s">
        <v>296</v>
      </c>
      <c r="BJ60" s="165" t="s">
        <v>560</v>
      </c>
      <c r="BK60" s="165"/>
      <c r="BL60" s="165"/>
      <c r="BM60" s="165"/>
      <c r="BN60" s="165"/>
      <c r="BO60" s="165"/>
      <c r="BP60" s="165"/>
      <c r="BQ60" s="165"/>
      <c r="BR60" s="165"/>
      <c r="BS60" s="165"/>
      <c r="BT60" s="165"/>
      <c r="BU60" s="165"/>
      <c r="BV60"/>
    </row>
    <row r="61" spans="61:81" s="6" customFormat="1" ht="14.65" customHeight="1" thickBot="1">
      <c r="BI61" s="1" t="s">
        <v>300</v>
      </c>
      <c r="BJ61" s="165" t="s">
        <v>561</v>
      </c>
      <c r="BK61" s="165"/>
      <c r="BL61" s="165"/>
      <c r="BM61" s="165"/>
      <c r="BN61" s="165"/>
      <c r="BO61" s="165"/>
      <c r="BP61" s="165"/>
      <c r="BQ61" s="165"/>
      <c r="BR61" s="165"/>
      <c r="BS61" s="165"/>
      <c r="BT61" s="165"/>
      <c r="BU61" s="165"/>
      <c r="BV61"/>
    </row>
    <row r="62" spans="61:81" s="6" customFormat="1" ht="14.65" customHeight="1" thickBot="1">
      <c r="BI62" s="2"/>
      <c r="BJ62" s="2"/>
      <c r="BK62" s="2"/>
      <c r="BL62" s="1490" t="s">
        <v>487</v>
      </c>
      <c r="BM62" s="1491"/>
      <c r="BN62" s="1491"/>
      <c r="BO62" s="1491"/>
      <c r="BP62" s="1521"/>
      <c r="BQ62" s="1490" t="s">
        <v>522</v>
      </c>
      <c r="BR62" s="1491"/>
      <c r="BS62" s="1491"/>
      <c r="BT62" s="1491"/>
      <c r="BU62" s="1492"/>
      <c r="BV62"/>
      <c r="BW62" s="1490" t="s">
        <v>303</v>
      </c>
      <c r="BX62" s="1491"/>
      <c r="BY62" s="1491"/>
      <c r="BZ62" s="1491"/>
      <c r="CA62" s="1491"/>
      <c r="CB62" s="1491"/>
      <c r="CC62" s="1492"/>
    </row>
    <row r="63" spans="61:81" s="6" customFormat="1" ht="14.65" customHeight="1">
      <c r="BI63" s="720" t="s">
        <v>23</v>
      </c>
      <c r="BJ63" s="720" t="s">
        <v>37</v>
      </c>
      <c r="BK63" s="720" t="s">
        <v>304</v>
      </c>
      <c r="BL63" s="721" t="s">
        <v>305</v>
      </c>
      <c r="BM63" s="721" t="s">
        <v>306</v>
      </c>
      <c r="BN63" s="721" t="s">
        <v>488</v>
      </c>
      <c r="BO63" s="135" t="s">
        <v>489</v>
      </c>
      <c r="BP63" s="721" t="s">
        <v>490</v>
      </c>
      <c r="BQ63" s="721" t="s">
        <v>305</v>
      </c>
      <c r="BR63" s="721" t="s">
        <v>523</v>
      </c>
      <c r="BS63" s="721" t="s">
        <v>524</v>
      </c>
      <c r="BT63" s="135" t="s">
        <v>525</v>
      </c>
      <c r="BU63" s="721" t="s">
        <v>526</v>
      </c>
      <c r="BV63"/>
      <c r="BW63" s="164" t="s">
        <v>314</v>
      </c>
      <c r="BX63" s="164" t="s">
        <v>23</v>
      </c>
      <c r="BY63" s="168" t="s">
        <v>315</v>
      </c>
      <c r="BZ63" s="164" t="s">
        <v>122</v>
      </c>
      <c r="CA63" s="164" t="s">
        <v>316</v>
      </c>
      <c r="CB63" s="164" t="s">
        <v>317</v>
      </c>
      <c r="CC63" s="164" t="s">
        <v>318</v>
      </c>
    </row>
    <row r="64" spans="61:81" s="6" customFormat="1" ht="14.65" customHeight="1">
      <c r="BI64" s="722" t="s">
        <v>319</v>
      </c>
      <c r="BJ64" s="722">
        <v>1</v>
      </c>
      <c r="BK64" s="722" t="s">
        <v>320</v>
      </c>
      <c r="BL64" s="726">
        <f>BM64*BN64</f>
        <v>72.030709999999999</v>
      </c>
      <c r="BM64" s="744">
        <v>16.483000000000001</v>
      </c>
      <c r="BN64" s="744">
        <v>4.37</v>
      </c>
      <c r="BO64" s="140">
        <f>IF(SUM(BM64:BM66=0),0,SUM(BL64:BL66)/SUM(BM64:BM66))</f>
        <v>4.1256873785440229</v>
      </c>
      <c r="BP64" s="725">
        <v>5</v>
      </c>
      <c r="BQ64" s="726">
        <f>BR64*BS64</f>
        <v>18.79449</v>
      </c>
      <c r="BR64" s="745">
        <v>3.7069999999999999</v>
      </c>
      <c r="BS64" s="745">
        <v>5.07</v>
      </c>
      <c r="BT64" s="140">
        <f>IF(SUM(BR64:BR66=0),0,SUM(BQ64:BQ66)/SUM(BR64:BR66))</f>
        <v>5.07</v>
      </c>
      <c r="BU64" s="725">
        <v>5</v>
      </c>
      <c r="BV64"/>
      <c r="BX64" s="666" t="str">
        <f t="shared" ref="BX64:BX75" si="11">TEXT(CONCATENATE(CC64,"/01/20",CB64),"MMM")</f>
        <v>Oct</v>
      </c>
      <c r="BY64" s="728">
        <f>IF(CB64=$CB76,SUMIF($BI64:$BI75,$BX64,$BR64:$BR75),SUMIF($BI64:$BI75,$BX64,$BM64:$BM75))</f>
        <v>16.483000000000001</v>
      </c>
      <c r="BZ64" s="746">
        <f>IF(IF(CB64=CB76,SUMIF(BI64:BI75,$BX64,BU64:BU75),SUMIF(BI64:BI75,$BX64,BP64:BP75))=0,NA(),IF(CB64=CB76,SUMIF(BI64:BI75,$BX64,BU64:BU75),SUMIF(BI64:BI75,$BX64,BP64:BP75)))</f>
        <v>5</v>
      </c>
      <c r="CA64" s="747">
        <f>IF(IF(CB64=CB76,SUMIF(BI64:BI75,$BX64,BS64:BS75),SUMIF(BI64:BI75,$BX64,BN64:BN75))=0,NA(),IF(CB64=CB76,SUMIF(BI64:BI75,$BX64,BS64:BS75),SUMIF(BI64:BI75,$BX64,BN64:BN75)))</f>
        <v>4.37</v>
      </c>
      <c r="CB64" s="730">
        <v>20</v>
      </c>
      <c r="CC64" s="730">
        <f t="shared" ref="CC64:CC74" si="12">IF(CC65-1&lt;1,CC65+11,CC65-1)</f>
        <v>10</v>
      </c>
    </row>
    <row r="65" spans="2:81" s="6" customFormat="1" ht="14.65" customHeight="1">
      <c r="B65" s="44" t="s">
        <v>242</v>
      </c>
      <c r="C65" s="44"/>
      <c r="D65" s="44"/>
      <c r="E65" s="87"/>
      <c r="F65" s="94"/>
      <c r="G65" s="94"/>
      <c r="H65" s="94"/>
      <c r="I65" s="94"/>
      <c r="J65" s="94"/>
      <c r="K65" s="94"/>
      <c r="L65" s="94"/>
      <c r="M65" s="94"/>
      <c r="N65" s="94"/>
      <c r="O65" s="94"/>
      <c r="P65" s="94"/>
      <c r="Q65" s="94"/>
      <c r="R65" s="94"/>
      <c r="S65" s="94"/>
      <c r="T65" s="94"/>
      <c r="U65" s="94"/>
      <c r="V65" s="94"/>
      <c r="W65" s="94"/>
      <c r="X65" s="94"/>
      <c r="Y65" s="94"/>
      <c r="Z65" s="94"/>
      <c r="AA65" s="94"/>
      <c r="AB65" s="94"/>
      <c r="AE65" s="44" t="s">
        <v>242</v>
      </c>
      <c r="AF65" s="44"/>
      <c r="AG65" s="44"/>
      <c r="AH65" s="87"/>
      <c r="AI65" s="94"/>
      <c r="AJ65" s="94"/>
      <c r="AK65" s="94"/>
      <c r="AL65" s="94"/>
      <c r="AM65" s="94"/>
      <c r="AN65" s="94"/>
      <c r="AO65" s="94"/>
      <c r="AP65" s="94"/>
      <c r="AQ65" s="94"/>
      <c r="AR65" s="94"/>
      <c r="AS65" s="94"/>
      <c r="AT65" s="94"/>
      <c r="AU65" s="94"/>
      <c r="AV65" s="94"/>
      <c r="AW65" s="94"/>
      <c r="AX65" s="94"/>
      <c r="AY65" s="94"/>
      <c r="AZ65" s="94"/>
      <c r="BA65" s="94"/>
      <c r="BB65" s="94"/>
      <c r="BC65" s="94"/>
      <c r="BD65" s="94"/>
      <c r="BE65" s="94"/>
      <c r="BI65" s="722" t="s">
        <v>321</v>
      </c>
      <c r="BJ65" s="722">
        <v>2</v>
      </c>
      <c r="BK65" s="722" t="s">
        <v>320</v>
      </c>
      <c r="BL65" s="726">
        <f t="shared" ref="BL65:BL75" si="13">BM65*BN65</f>
        <v>45.341449999999995</v>
      </c>
      <c r="BM65" s="743">
        <v>11.776999999999999</v>
      </c>
      <c r="BN65" s="744">
        <v>3.85</v>
      </c>
      <c r="BO65" s="136"/>
      <c r="BP65" s="725">
        <v>5</v>
      </c>
      <c r="BQ65" s="726">
        <f t="shared" ref="BQ65:BQ75" si="14">BR65*BS65</f>
        <v>0</v>
      </c>
      <c r="BR65" s="737"/>
      <c r="BS65" s="745"/>
      <c r="BT65" s="136"/>
      <c r="BU65" s="725">
        <v>5</v>
      </c>
      <c r="BV65"/>
      <c r="BX65" s="666" t="str">
        <f t="shared" si="11"/>
        <v>Nov</v>
      </c>
      <c r="BY65" s="728">
        <f>IF(CB65=$CB76,SUMIF($BI64:$BI75,$BX65,$BR64:$BR75),SUMIF($BI64:$BI75,$BX65,$BM64:$BM75))</f>
        <v>11.776999999999999</v>
      </c>
      <c r="BZ65" s="746">
        <f>IF(IF(CB65=CB76,SUMIF(BI64:BI75,$BX65,BU64:BU75),SUMIF(BI64:BI75,$BX65,BP64:BP75))=0,NA(),IF(CB65=CB76,SUMIF(BI64:BI75,$BX65,BU64:BU75),SUMIF(BI64:BI75,$BX65,BP64:BP75)))</f>
        <v>5</v>
      </c>
      <c r="CA65" s="747">
        <f>IF(IF(CB65=CB76,SUMIF(BI64:BI75,$BX65,BS64:BS75),SUMIF(BI64:BI75,$BX65,BN64:BN75))=0,NA(),IF(CB65=CB76,SUMIF(BI64:BI75,$BX65,BS64:BS75),SUMIF(BI64:BI75,$BX65,BN64:BN75)))</f>
        <v>3.85</v>
      </c>
      <c r="CB65" s="730">
        <v>20</v>
      </c>
      <c r="CC65" s="730">
        <f t="shared" si="12"/>
        <v>11</v>
      </c>
    </row>
    <row r="66" spans="2:81" s="6" customFormat="1" ht="14.65" customHeight="1">
      <c r="B66" s="1510" t="str">
        <f>AC38</f>
        <v xml:space="preserve">Overall volume is still down due to COVID19 related staffing delays in Higher Education, K-12, S&amp;E, and Business Dining. </v>
      </c>
      <c r="C66" s="1511"/>
      <c r="D66" s="1511"/>
      <c r="E66" s="1511"/>
      <c r="F66" s="1511"/>
      <c r="G66" s="1511"/>
      <c r="H66" s="1511"/>
      <c r="I66" s="1511"/>
      <c r="J66" s="1511"/>
      <c r="K66" s="1511"/>
      <c r="L66" s="1511"/>
      <c r="M66" s="1511"/>
      <c r="N66" s="1511"/>
      <c r="O66" s="1511"/>
      <c r="P66" s="1511"/>
      <c r="Q66" s="1511"/>
      <c r="R66" s="1511"/>
      <c r="S66" s="1511"/>
      <c r="T66" s="1511"/>
      <c r="U66" s="1511"/>
      <c r="V66" s="1511"/>
      <c r="W66" s="1511"/>
      <c r="X66" s="1511"/>
      <c r="Y66" s="1511"/>
      <c r="Z66" s="1511"/>
      <c r="AA66" s="1511"/>
      <c r="AB66" s="1512"/>
      <c r="AE66" s="1510" t="str">
        <f>AC39</f>
        <v>Overall volume of cases decreased due to new streamlined background check packages as compared to previous fiscal months post-covid.</v>
      </c>
      <c r="AF66" s="1511"/>
      <c r="AG66" s="1511"/>
      <c r="AH66" s="1511"/>
      <c r="AI66" s="1511"/>
      <c r="AJ66" s="1511"/>
      <c r="AK66" s="1511"/>
      <c r="AL66" s="1511"/>
      <c r="AM66" s="1511"/>
      <c r="AN66" s="1511"/>
      <c r="AO66" s="1511"/>
      <c r="AP66" s="1511"/>
      <c r="AQ66" s="1511"/>
      <c r="AR66" s="1511"/>
      <c r="AS66" s="1511"/>
      <c r="AT66" s="1511"/>
      <c r="AU66" s="1511"/>
      <c r="AV66" s="1511"/>
      <c r="AW66" s="1511"/>
      <c r="AX66" s="1511"/>
      <c r="AY66" s="1511"/>
      <c r="AZ66" s="1511"/>
      <c r="BA66" s="1511"/>
      <c r="BB66" s="1511"/>
      <c r="BC66" s="1511"/>
      <c r="BD66" s="1511"/>
      <c r="BE66" s="1512"/>
      <c r="BI66" s="722" t="s">
        <v>322</v>
      </c>
      <c r="BJ66" s="722">
        <v>3</v>
      </c>
      <c r="BK66" s="722" t="s">
        <v>320</v>
      </c>
      <c r="BL66" s="726">
        <f t="shared" si="13"/>
        <v>48.224679999999999</v>
      </c>
      <c r="BM66" s="744">
        <v>11.878</v>
      </c>
      <c r="BN66" s="744">
        <v>4.0599999999999996</v>
      </c>
      <c r="BO66" s="136"/>
      <c r="BP66" s="725">
        <v>5</v>
      </c>
      <c r="BQ66" s="726">
        <f t="shared" si="14"/>
        <v>0</v>
      </c>
      <c r="BR66" s="745"/>
      <c r="BS66" s="745"/>
      <c r="BT66" s="136"/>
      <c r="BU66" s="725">
        <v>5</v>
      </c>
      <c r="BV66"/>
      <c r="BX66" s="666" t="str">
        <f t="shared" si="11"/>
        <v>Dec</v>
      </c>
      <c r="BY66" s="728">
        <f>IF(CB66=$CB76,SUMIF($BI64:$BI75,$BX66,$BR64:$BR75),SUMIF($BI64:$BI75,$BX66,$BM64:$BM75))</f>
        <v>11.878</v>
      </c>
      <c r="BZ66" s="746">
        <f>IF(IF(CB66=CB76,SUMIF(BI64:BI75,$BX66,BU64:BU75),SUMIF(BI64:BI75,$BX66,BP64:BP75))=0,NA(),IF(CB66=CB76,SUMIF(BI64:BI75,$BX66,BU64:BU75),SUMIF(BI64:BI75,$BX66,BP64:BP75)))</f>
        <v>5</v>
      </c>
      <c r="CA66" s="747">
        <f>IF(IF(CB66=CB76,SUMIF(BI64:BI75,$BX66,BS64:BS75),SUMIF(BI64:BI75,$BX66,BN64:BN75))=0,NA(),IF(CB66=CB76,SUMIF(BI64:BI75,$BX66,BS64:BS75),SUMIF(BI64:BI75,$BX66,BN64:BN75)))</f>
        <v>4.0599999999999996</v>
      </c>
      <c r="CB66" s="730">
        <v>20</v>
      </c>
      <c r="CC66" s="730">
        <f t="shared" si="12"/>
        <v>12</v>
      </c>
    </row>
    <row r="67" spans="2:81" s="6" customFormat="1" ht="14.65" customHeight="1">
      <c r="B67" s="1513"/>
      <c r="C67" s="1514"/>
      <c r="D67" s="1514"/>
      <c r="E67" s="1514"/>
      <c r="F67" s="1514"/>
      <c r="G67" s="1514"/>
      <c r="H67" s="1514"/>
      <c r="I67" s="1514"/>
      <c r="J67" s="1514"/>
      <c r="K67" s="1514"/>
      <c r="L67" s="1514"/>
      <c r="M67" s="1514"/>
      <c r="N67" s="1514"/>
      <c r="O67" s="1514"/>
      <c r="P67" s="1514"/>
      <c r="Q67" s="1514"/>
      <c r="R67" s="1514"/>
      <c r="S67" s="1514"/>
      <c r="T67" s="1514"/>
      <c r="U67" s="1514"/>
      <c r="V67" s="1514"/>
      <c r="W67" s="1514"/>
      <c r="X67" s="1514"/>
      <c r="Y67" s="1514"/>
      <c r="Z67" s="1514"/>
      <c r="AA67" s="1514"/>
      <c r="AB67" s="1515"/>
      <c r="AE67" s="1513"/>
      <c r="AF67" s="1514"/>
      <c r="AG67" s="1514"/>
      <c r="AH67" s="1514"/>
      <c r="AI67" s="1514"/>
      <c r="AJ67" s="1514"/>
      <c r="AK67" s="1514"/>
      <c r="AL67" s="1514"/>
      <c r="AM67" s="1514"/>
      <c r="AN67" s="1514"/>
      <c r="AO67" s="1514"/>
      <c r="AP67" s="1514"/>
      <c r="AQ67" s="1514"/>
      <c r="AR67" s="1514"/>
      <c r="AS67" s="1514"/>
      <c r="AT67" s="1514"/>
      <c r="AU67" s="1514"/>
      <c r="AV67" s="1514"/>
      <c r="AW67" s="1514"/>
      <c r="AX67" s="1514"/>
      <c r="AY67" s="1514"/>
      <c r="AZ67" s="1514"/>
      <c r="BA67" s="1514"/>
      <c r="BB67" s="1514"/>
      <c r="BC67" s="1514"/>
      <c r="BD67" s="1514"/>
      <c r="BE67" s="1515"/>
      <c r="BI67" s="722" t="s">
        <v>323</v>
      </c>
      <c r="BJ67" s="722">
        <v>4</v>
      </c>
      <c r="BK67" s="722" t="s">
        <v>324</v>
      </c>
      <c r="BL67" s="726">
        <f t="shared" si="13"/>
        <v>49.328159999999997</v>
      </c>
      <c r="BM67" s="743">
        <v>14.680999999999999</v>
      </c>
      <c r="BN67" s="744">
        <v>3.36</v>
      </c>
      <c r="BO67" s="140">
        <f>IF(SUM(BM67:BM69=0),0,SUM(BL67:BL69)/SUM(BM67:BM69))</f>
        <v>4.1509434723412832</v>
      </c>
      <c r="BP67" s="725">
        <v>5</v>
      </c>
      <c r="BQ67" s="726">
        <f t="shared" si="14"/>
        <v>0</v>
      </c>
      <c r="BR67" s="737"/>
      <c r="BS67" s="745"/>
      <c r="BT67" s="140">
        <f>IF(SUM(BR67:BR69=0),0,SUM(BQ67:BQ69)/SUM(BR67:BR69))</f>
        <v>0</v>
      </c>
      <c r="BU67" s="725">
        <v>5</v>
      </c>
      <c r="BV67"/>
      <c r="BX67" s="666" t="str">
        <f t="shared" si="11"/>
        <v>Jan</v>
      </c>
      <c r="BY67" s="728">
        <f>IF(CB67=$CB76,SUMIF($BI64:$BI75,$BX67,$BR64:$BR75),SUMIF($BI64:$BI75,$BX67,$BM64:$BM75))</f>
        <v>14.680999999999999</v>
      </c>
      <c r="BZ67" s="746">
        <f>IF(IF(CB67=CB76,SUMIF(BI64:BI75,$BX67,BU64:BU75),SUMIF(BI64:BI75,$BX67,BP64:BP75))=0,NA(),IF(CB67=CB76,SUMIF(BI64:BI75,$BX67,BU64:BU75),SUMIF(BI64:BI75,$BX67,BP64:BP75)))</f>
        <v>5</v>
      </c>
      <c r="CA67" s="747">
        <f>IF(IF(CB67=CB76,SUMIF(BI64:BI75,$BX67,BS64:BS75),SUMIF(BI64:BI75,$BX67,BN64:BN75))=0,NA(),IF(CB67=CB76,SUMIF(BI64:BI75,$BX67,BS64:BS75),SUMIF(BI64:BI75,$BX67,BN64:BN75)))</f>
        <v>3.36</v>
      </c>
      <c r="CB67" s="730">
        <v>20</v>
      </c>
      <c r="CC67" s="730">
        <f t="shared" si="12"/>
        <v>1</v>
      </c>
    </row>
    <row r="68" spans="2:81" s="6" customFormat="1" ht="14.65" customHeight="1">
      <c r="B68" s="1513"/>
      <c r="C68" s="1514"/>
      <c r="D68" s="1514"/>
      <c r="E68" s="1514"/>
      <c r="F68" s="1514"/>
      <c r="G68" s="1514"/>
      <c r="H68" s="1514"/>
      <c r="I68" s="1514"/>
      <c r="J68" s="1514"/>
      <c r="K68" s="1514"/>
      <c r="L68" s="1514"/>
      <c r="M68" s="1514"/>
      <c r="N68" s="1514"/>
      <c r="O68" s="1514"/>
      <c r="P68" s="1514"/>
      <c r="Q68" s="1514"/>
      <c r="R68" s="1514"/>
      <c r="S68" s="1514"/>
      <c r="T68" s="1514"/>
      <c r="U68" s="1514"/>
      <c r="V68" s="1514"/>
      <c r="W68" s="1514"/>
      <c r="X68" s="1514"/>
      <c r="Y68" s="1514"/>
      <c r="Z68" s="1514"/>
      <c r="AA68" s="1514"/>
      <c r="AB68" s="1515"/>
      <c r="AE68" s="1513"/>
      <c r="AF68" s="1514"/>
      <c r="AG68" s="1514"/>
      <c r="AH68" s="1514"/>
      <c r="AI68" s="1514"/>
      <c r="AJ68" s="1514"/>
      <c r="AK68" s="1514"/>
      <c r="AL68" s="1514"/>
      <c r="AM68" s="1514"/>
      <c r="AN68" s="1514"/>
      <c r="AO68" s="1514"/>
      <c r="AP68" s="1514"/>
      <c r="AQ68" s="1514"/>
      <c r="AR68" s="1514"/>
      <c r="AS68" s="1514"/>
      <c r="AT68" s="1514"/>
      <c r="AU68" s="1514"/>
      <c r="AV68" s="1514"/>
      <c r="AW68" s="1514"/>
      <c r="AX68" s="1514"/>
      <c r="AY68" s="1514"/>
      <c r="AZ68" s="1514"/>
      <c r="BA68" s="1514"/>
      <c r="BB68" s="1514"/>
      <c r="BC68" s="1514"/>
      <c r="BD68" s="1514"/>
      <c r="BE68" s="1515"/>
      <c r="BI68" s="722" t="s">
        <v>325</v>
      </c>
      <c r="BJ68" s="722">
        <v>5</v>
      </c>
      <c r="BK68" s="722" t="s">
        <v>324</v>
      </c>
      <c r="BL68" s="726">
        <f t="shared" si="13"/>
        <v>64.450879999999998</v>
      </c>
      <c r="BM68" s="743">
        <v>15.493</v>
      </c>
      <c r="BN68" s="744">
        <v>4.16</v>
      </c>
      <c r="BO68" s="136"/>
      <c r="BP68" s="725">
        <v>5</v>
      </c>
      <c r="BQ68" s="726">
        <f t="shared" si="14"/>
        <v>0</v>
      </c>
      <c r="BR68" s="737"/>
      <c r="BS68" s="737"/>
      <c r="BT68" s="136"/>
      <c r="BU68" s="725">
        <v>5</v>
      </c>
      <c r="BV68"/>
      <c r="BX68" s="666" t="str">
        <f t="shared" si="11"/>
        <v>Feb</v>
      </c>
      <c r="BY68" s="728">
        <f>IF(CB68=$CB76,SUMIF($BI64:$BI75,$BX68,$BR64:$BR75),SUMIF($BI64:$BI75,$BX68,$BM64:$BM75))</f>
        <v>15.493</v>
      </c>
      <c r="BZ68" s="746">
        <f>IF(IF(CB68=CB76,SUMIF(BI64:BI75,$BX68,BU64:BU75),SUMIF(BI64:BI75,$BX68,BP64:BP75))=0,NA(),IF(CB68=CB76,SUMIF(BI64:BI75,$BX68,BU64:BU75),SUMIF(BI64:BI75,$BX68,BP64:BP75)))</f>
        <v>5</v>
      </c>
      <c r="CA68" s="747">
        <f>IF(IF(CB68=CB76,SUMIF(BI64:BI75,$BX68,BS64:BS75),SUMIF(BI64:BI75,$BX68,BN64:BN75))=0,NA(),IF(CB68=CB76,SUMIF(BI64:BI75,$BX68,BS64:BS75),SUMIF(BI64:BI75,$BX68,BN64:BN75)))</f>
        <v>4.16</v>
      </c>
      <c r="CB68" s="730">
        <v>20</v>
      </c>
      <c r="CC68" s="730">
        <f t="shared" si="12"/>
        <v>2</v>
      </c>
    </row>
    <row r="69" spans="2:81" s="6" customFormat="1" ht="14.65" customHeight="1">
      <c r="B69" s="1516"/>
      <c r="C69" s="1517"/>
      <c r="D69" s="1517"/>
      <c r="E69" s="1517"/>
      <c r="F69" s="1517"/>
      <c r="G69" s="1517"/>
      <c r="H69" s="1517"/>
      <c r="I69" s="1517"/>
      <c r="J69" s="1517"/>
      <c r="K69" s="1517"/>
      <c r="L69" s="1517"/>
      <c r="M69" s="1517"/>
      <c r="N69" s="1517"/>
      <c r="O69" s="1517"/>
      <c r="P69" s="1517"/>
      <c r="Q69" s="1517"/>
      <c r="R69" s="1517"/>
      <c r="S69" s="1517"/>
      <c r="T69" s="1517"/>
      <c r="U69" s="1517"/>
      <c r="V69" s="1517"/>
      <c r="W69" s="1517"/>
      <c r="X69" s="1517"/>
      <c r="Y69" s="1517"/>
      <c r="Z69" s="1517"/>
      <c r="AA69" s="1517"/>
      <c r="AB69" s="1518"/>
      <c r="AE69" s="1516"/>
      <c r="AF69" s="1517"/>
      <c r="AG69" s="1517"/>
      <c r="AH69" s="1517"/>
      <c r="AI69" s="1517"/>
      <c r="AJ69" s="1517"/>
      <c r="AK69" s="1517"/>
      <c r="AL69" s="1517"/>
      <c r="AM69" s="1517"/>
      <c r="AN69" s="1517"/>
      <c r="AO69" s="1517"/>
      <c r="AP69" s="1517"/>
      <c r="AQ69" s="1517"/>
      <c r="AR69" s="1517"/>
      <c r="AS69" s="1517"/>
      <c r="AT69" s="1517"/>
      <c r="AU69" s="1517"/>
      <c r="AV69" s="1517"/>
      <c r="AW69" s="1517"/>
      <c r="AX69" s="1517"/>
      <c r="AY69" s="1517"/>
      <c r="AZ69" s="1517"/>
      <c r="BA69" s="1517"/>
      <c r="BB69" s="1517"/>
      <c r="BC69" s="1517"/>
      <c r="BD69" s="1517"/>
      <c r="BE69" s="1518"/>
      <c r="BI69" s="722" t="s">
        <v>326</v>
      </c>
      <c r="BJ69" s="722">
        <v>6</v>
      </c>
      <c r="BK69" s="722" t="s">
        <v>324</v>
      </c>
      <c r="BL69" s="726">
        <f t="shared" si="13"/>
        <v>50.85568</v>
      </c>
      <c r="BM69" s="743">
        <v>9.4879999999999995</v>
      </c>
      <c r="BN69" s="744">
        <v>5.36</v>
      </c>
      <c r="BO69" s="136"/>
      <c r="BP69" s="725">
        <v>5</v>
      </c>
      <c r="BQ69" s="726">
        <f t="shared" si="14"/>
        <v>0</v>
      </c>
      <c r="BR69" s="737"/>
      <c r="BS69" s="737"/>
      <c r="BT69" s="136"/>
      <c r="BU69" s="725">
        <v>5</v>
      </c>
      <c r="BV69"/>
      <c r="BX69" s="666" t="str">
        <f t="shared" si="11"/>
        <v>Mar</v>
      </c>
      <c r="BY69" s="728">
        <f>IF(CB69=$CB76,SUMIF($BI64:$BI75,$BX69,$BR64:$BR75),SUMIF($BI64:$BI75,$BX69,$BM64:$BM75))</f>
        <v>9.4879999999999995</v>
      </c>
      <c r="BZ69" s="746">
        <f>IF(IF(CB69=CB76,SUMIF(BI64:BI75,$BX69,BU64:BU75),SUMIF(BI64:BI75,$BX69,BP64:BP75))=0,NA(),IF(CB69=CB76,SUMIF(BI64:BI75,$BX69,BU64:BU75),SUMIF(BI64:BI75,$BX69,BP64:BP75)))</f>
        <v>5</v>
      </c>
      <c r="CA69" s="747">
        <f>IF(IF(CB69=CB76,SUMIF(BI64:BI75,$BX69,BS64:BS75),SUMIF(BI64:BI75,$BX69,BN64:BN75))=0,NA(),IF(CB69=CB76,SUMIF(BI64:BI75,$BX69,BS64:BS75),SUMIF(BI64:BI75,$BX69,BN64:BN75)))</f>
        <v>5.36</v>
      </c>
      <c r="CB69" s="730">
        <v>20</v>
      </c>
      <c r="CC69" s="730">
        <f t="shared" si="12"/>
        <v>3</v>
      </c>
    </row>
    <row r="70" spans="2:81" s="6" customFormat="1" ht="14.65" customHeight="1">
      <c r="BI70" s="722" t="s">
        <v>327</v>
      </c>
      <c r="BJ70" s="722">
        <v>7</v>
      </c>
      <c r="BK70" s="722" t="s">
        <v>328</v>
      </c>
      <c r="BL70" s="726">
        <f t="shared" si="13"/>
        <v>27.5961</v>
      </c>
      <c r="BM70" s="743">
        <v>3.8650000000000002</v>
      </c>
      <c r="BN70" s="744">
        <v>7.14</v>
      </c>
      <c r="BO70" s="140">
        <f>IF(SUM(BM70:BM72=0),0,SUM(BL70:BL72)/SUM(BM70:BM72))</f>
        <v>5.5377644642245798</v>
      </c>
      <c r="BP70" s="725">
        <v>5</v>
      </c>
      <c r="BQ70" s="726">
        <f t="shared" si="14"/>
        <v>0</v>
      </c>
      <c r="BR70" s="737"/>
      <c r="BS70" s="737"/>
      <c r="BT70" s="140">
        <f>IF(SUM(BR70:BR72=0),0,SUM(BQ70:BQ72)/SUM(BR70:BR72))</f>
        <v>0</v>
      </c>
      <c r="BU70" s="725">
        <v>5</v>
      </c>
      <c r="BV70"/>
      <c r="BX70" s="666" t="str">
        <f t="shared" si="11"/>
        <v>Apr</v>
      </c>
      <c r="BY70" s="728">
        <f>IF(CB70=$CB76,SUMIF($BI64:$BI75,$BX70,$BR64:$BR75),SUMIF($BI64:$BI75,$BX70,$BM64:$BM75))</f>
        <v>3.8650000000000002</v>
      </c>
      <c r="BZ70" s="746">
        <f>IF(IF(CB70=CB76,SUMIF(BI64:BI75,$BX70,BU64:BU75),SUMIF(BI64:BI75,$BX70,BP64:BP75))=0,NA(),IF(CB70=CB76,SUMIF(BI64:BI75,$BX70,BU64:BU75),SUMIF(BI64:BI75,$BX70,BP64:BP75)))</f>
        <v>5</v>
      </c>
      <c r="CA70" s="747">
        <f>IF(IF(CB70=CB76,SUMIF(BI64:BI75,$BX70,BS64:BS75),SUMIF(BI64:BI75,$BX70,BN64:BN75))=0,NA(),IF(CB70=CB76,SUMIF(BI64:BI75,$BX70,BS64:BS75),SUMIF(BI64:BI75,$BX70,BN64:BN75)))</f>
        <v>7.14</v>
      </c>
      <c r="CB70" s="730">
        <v>20</v>
      </c>
      <c r="CC70" s="730">
        <f t="shared" si="12"/>
        <v>4</v>
      </c>
    </row>
    <row r="71" spans="2:81" s="6" customFormat="1" ht="14.65" customHeight="1">
      <c r="B71" s="52"/>
      <c r="AD71"/>
      <c r="AE71"/>
      <c r="AF71"/>
      <c r="AG71"/>
      <c r="AH71"/>
      <c r="AI71"/>
      <c r="AJ71"/>
      <c r="AK71"/>
      <c r="AL71"/>
      <c r="AM71"/>
      <c r="AN71"/>
      <c r="AO71"/>
      <c r="AP71"/>
      <c r="AQ71"/>
      <c r="AR71"/>
      <c r="AS71"/>
      <c r="AT71"/>
      <c r="AU71"/>
      <c r="AV71"/>
      <c r="AW71"/>
      <c r="AX71"/>
      <c r="AY71"/>
      <c r="AZ71"/>
      <c r="BA71"/>
      <c r="BB71"/>
      <c r="BC71"/>
      <c r="BD71"/>
      <c r="BI71" s="722" t="s">
        <v>329</v>
      </c>
      <c r="BJ71" s="722">
        <v>8</v>
      </c>
      <c r="BK71" s="722" t="s">
        <v>328</v>
      </c>
      <c r="BL71" s="726">
        <f t="shared" si="13"/>
        <v>15.6632</v>
      </c>
      <c r="BM71" s="743">
        <v>2.7970000000000002</v>
      </c>
      <c r="BN71" s="744">
        <v>5.6</v>
      </c>
      <c r="BO71" s="136"/>
      <c r="BP71" s="725">
        <v>5</v>
      </c>
      <c r="BQ71" s="726">
        <f t="shared" si="14"/>
        <v>0</v>
      </c>
      <c r="BR71" s="737"/>
      <c r="BS71" s="737"/>
      <c r="BT71" s="136"/>
      <c r="BU71" s="725">
        <v>5</v>
      </c>
      <c r="BV71"/>
      <c r="BX71" s="666" t="str">
        <f t="shared" si="11"/>
        <v>May</v>
      </c>
      <c r="BY71" s="728">
        <f>IF(CB71=$CB76,SUMIF($BI64:$BI75,$BX71,$BR64:$BR75),SUMIF($BI64:$BI75,$BX71,$BM64:$BM75))</f>
        <v>2.7970000000000002</v>
      </c>
      <c r="BZ71" s="746">
        <f>IF(IF(CB71=CB76,SUMIF(BI64:BI75,$BX71,BU64:BU75),SUMIF(BI64:BI75,$BX71,BP64:BP75))=0,NA(),IF(CB71=CB76,SUMIF(BI64:BI75,$BX71,BU64:BU75),SUMIF(BI64:BI75,$BX71,BP64:BP75)))</f>
        <v>5</v>
      </c>
      <c r="CA71" s="747">
        <f>IF(IF(CB71=CB76,SUMIF(BI64:BI75,$BX71,BS64:BS75),SUMIF(BI64:BI75,$BX71,BN64:BN75))=0,NA(),IF(CB71=CB76,SUMIF(BI64:BI75,$BX71,BS64:BS75),SUMIF(BI64:BI75,$BX71,BN64:BN75)))</f>
        <v>5.6</v>
      </c>
      <c r="CB71" s="730">
        <v>20</v>
      </c>
      <c r="CC71" s="730">
        <f t="shared" si="12"/>
        <v>5</v>
      </c>
    </row>
    <row r="72" spans="2:81" s="6" customFormat="1" ht="14.65" customHeight="1">
      <c r="AD72"/>
      <c r="AE72"/>
      <c r="AF72"/>
      <c r="AG72"/>
      <c r="AH72"/>
      <c r="AI72"/>
      <c r="AJ72"/>
      <c r="AK72"/>
      <c r="AL72"/>
      <c r="AM72"/>
      <c r="AN72"/>
      <c r="AO72"/>
      <c r="AP72"/>
      <c r="AQ72"/>
      <c r="AR72"/>
      <c r="AS72"/>
      <c r="AT72"/>
      <c r="AU72"/>
      <c r="AV72"/>
      <c r="AW72"/>
      <c r="AX72"/>
      <c r="AY72"/>
      <c r="AZ72"/>
      <c r="BA72"/>
      <c r="BB72"/>
      <c r="BC72"/>
      <c r="BD72"/>
      <c r="BI72" s="722" t="s">
        <v>331</v>
      </c>
      <c r="BJ72" s="722">
        <v>9</v>
      </c>
      <c r="BK72" s="722" t="s">
        <v>328</v>
      </c>
      <c r="BL72" s="726">
        <f t="shared" si="13"/>
        <v>21.443939999999998</v>
      </c>
      <c r="BM72" s="743">
        <v>5.0220000000000002</v>
      </c>
      <c r="BN72" s="744">
        <v>4.2699999999999996</v>
      </c>
      <c r="BO72" s="136"/>
      <c r="BP72" s="725">
        <v>5</v>
      </c>
      <c r="BQ72" s="726">
        <f t="shared" si="14"/>
        <v>0</v>
      </c>
      <c r="BR72" s="737"/>
      <c r="BS72" s="737"/>
      <c r="BT72" s="136"/>
      <c r="BU72" s="725">
        <v>5</v>
      </c>
      <c r="BV72"/>
      <c r="BX72" s="666" t="str">
        <f t="shared" si="11"/>
        <v>Jun</v>
      </c>
      <c r="BY72" s="728">
        <f>IF(CB72=$CB76,SUMIF($BI64:$BI75,$BX72,$BR64:$BR75),SUMIF($BI64:$BI75,$BX72,$BM64:$BM75))</f>
        <v>5.0220000000000002</v>
      </c>
      <c r="BZ72" s="746">
        <f>IF(IF(CB72=CB76,SUMIF(BI64:BI75,$BX72,BU64:BU75),SUMIF(BI64:BI75,$BX72,BP64:BP75))=0,NA(),IF(CB72=CB76,SUMIF(BI64:BI75,$BX72,BU64:BU75),SUMIF(BI64:BI75,$BX72,BP64:BP75)))</f>
        <v>5</v>
      </c>
      <c r="CA72" s="747">
        <f>IF(IF(CB72=CB76,SUMIF(BI64:BI75,$BX72,BS64:BS75),SUMIF(BI64:BI75,$BX72,BN64:BN75))=0,NA(),IF(CB72=CB76,SUMIF(BI64:BI75,$BX72,BS64:BS75),SUMIF(BI64:BI75,$BX72,BN64:BN75)))</f>
        <v>4.2699999999999996</v>
      </c>
      <c r="CB72" s="730">
        <v>20</v>
      </c>
      <c r="CC72" s="730">
        <f t="shared" si="12"/>
        <v>6</v>
      </c>
    </row>
    <row r="73" spans="2:81" s="6" customFormat="1" ht="14.65" customHeight="1">
      <c r="AD73"/>
      <c r="AE73"/>
      <c r="AF73"/>
      <c r="AG73"/>
      <c r="AH73"/>
      <c r="AI73"/>
      <c r="AJ73"/>
      <c r="AK73"/>
      <c r="AL73"/>
      <c r="AM73"/>
      <c r="AN73"/>
      <c r="AO73"/>
      <c r="AP73"/>
      <c r="AQ73"/>
      <c r="AR73"/>
      <c r="AS73"/>
      <c r="AT73"/>
      <c r="AU73"/>
      <c r="AV73"/>
      <c r="AW73"/>
      <c r="AX73"/>
      <c r="AY73"/>
      <c r="AZ73"/>
      <c r="BA73"/>
      <c r="BB73"/>
      <c r="BC73"/>
      <c r="BD73"/>
      <c r="BI73" s="722" t="s">
        <v>337</v>
      </c>
      <c r="BJ73" s="722">
        <v>10</v>
      </c>
      <c r="BK73" s="722" t="s">
        <v>338</v>
      </c>
      <c r="BL73" s="726">
        <f t="shared" si="13"/>
        <v>33.313200000000002</v>
      </c>
      <c r="BM73" s="743">
        <v>7.82</v>
      </c>
      <c r="BN73" s="744">
        <v>4.26</v>
      </c>
      <c r="BO73" s="140">
        <f>IF(SUM(BM73:BM75=0),0,SUM(BL73:BL75)/SUM(BM73:BM75))</f>
        <v>4.245416773663397</v>
      </c>
      <c r="BP73" s="725">
        <v>5</v>
      </c>
      <c r="BQ73" s="726">
        <f t="shared" si="14"/>
        <v>0</v>
      </c>
      <c r="BR73" s="737"/>
      <c r="BS73" s="737"/>
      <c r="BT73" s="140">
        <f>IF(SUM(BR73:BR75=0),0,SUM(BQ73:BQ75)/SUM(BR73:BR75))</f>
        <v>0</v>
      </c>
      <c r="BU73" s="725">
        <v>5</v>
      </c>
      <c r="BV73"/>
      <c r="BX73" s="666" t="str">
        <f t="shared" si="11"/>
        <v>Jul</v>
      </c>
      <c r="BY73" s="728">
        <f>IF(CB73=$CB76,SUMIF($BI64:$BI75,$BX73,$BR64:$BR75),SUMIF($BI64:$BI75,$BX73,$BM64:$BM75))</f>
        <v>7.82</v>
      </c>
      <c r="BZ73" s="746">
        <f>IF(IF(CB73=CB76,SUMIF(BI64:BI75,$BX73,BU64:BU75),SUMIF(BI64:BI75,$BX73,BP64:BP75))=0,NA(),IF(CB73=CB76,SUMIF(BI64:BI75,$BX73,BU64:BU75),SUMIF(BI64:BI75,$BX73,BP64:BP75)))</f>
        <v>5</v>
      </c>
      <c r="CA73" s="747">
        <f>IF(IF(CB73=CB76,SUMIF(BI64:BI75,$BX73,BS64:BS75),SUMIF(BI64:BI75,$BX73,BN64:BN75))=0,NA(),IF(CB73=CB76,SUMIF(BI64:BI75,$BX73,BS64:BS75),SUMIF(BI64:BI75,$BX73,BN64:BN75)))</f>
        <v>4.26</v>
      </c>
      <c r="CB73" s="730">
        <v>20</v>
      </c>
      <c r="CC73" s="730">
        <f t="shared" si="12"/>
        <v>7</v>
      </c>
    </row>
    <row r="74" spans="2:81" s="6" customFormat="1" ht="14.65" customHeight="1">
      <c r="AD74"/>
      <c r="AE74"/>
      <c r="AF74"/>
      <c r="AG74"/>
      <c r="AH74"/>
      <c r="AI74"/>
      <c r="AJ74"/>
      <c r="AK74"/>
      <c r="AL74"/>
      <c r="AM74"/>
      <c r="AN74"/>
      <c r="AO74"/>
      <c r="AP74"/>
      <c r="AQ74"/>
      <c r="AR74"/>
      <c r="AS74"/>
      <c r="AT74"/>
      <c r="AU74"/>
      <c r="AV74"/>
      <c r="AW74"/>
      <c r="AX74"/>
      <c r="AY74"/>
      <c r="AZ74"/>
      <c r="BA74"/>
      <c r="BB74"/>
      <c r="BC74"/>
      <c r="BD74"/>
      <c r="BI74" s="722" t="s">
        <v>343</v>
      </c>
      <c r="BJ74" s="722">
        <v>11</v>
      </c>
      <c r="BK74" s="722" t="s">
        <v>338</v>
      </c>
      <c r="BL74" s="726">
        <f t="shared" si="13"/>
        <v>22.673309999999997</v>
      </c>
      <c r="BM74" s="743">
        <v>5.9509999999999996</v>
      </c>
      <c r="BN74" s="744">
        <v>3.81</v>
      </c>
      <c r="BO74" s="136"/>
      <c r="BP74" s="725">
        <v>5</v>
      </c>
      <c r="BQ74" s="726">
        <f t="shared" si="14"/>
        <v>0</v>
      </c>
      <c r="BR74" s="737"/>
      <c r="BS74" s="737"/>
      <c r="BT74" s="136"/>
      <c r="BU74" s="725">
        <v>5</v>
      </c>
      <c r="BV74"/>
      <c r="BX74" s="666" t="str">
        <f t="shared" si="11"/>
        <v>Aug</v>
      </c>
      <c r="BY74" s="728">
        <f>IF(CB74=$CB76,SUMIF($BI64:$BI75,$BX74,$BR64:$BR75),SUMIF($BI64:$BI75,$BX74,$BM64:$BM75))</f>
        <v>5.9509999999999996</v>
      </c>
      <c r="BZ74" s="746">
        <f>IF(IF(CB74=CB76,SUMIF(BI64:BI75,$BX74,BU64:BU75),SUMIF(BI64:BI75,$BX74,BP64:BP75))=0,NA(),IF(CB74=CB76,SUMIF(BI64:BI75,$BX74,BU64:BU75),SUMIF(BI64:BI75,$BX74,BP64:BP75)))</f>
        <v>5</v>
      </c>
      <c r="CA74" s="747">
        <f>IF(IF(CB74=CB76,SUMIF(BI64:BI75,$BX74,BS64:BS75),SUMIF(BI64:BI75,$BX74,BN64:BN75))=0,NA(),IF(CB74=CB76,SUMIF(BI64:BI75,$BX74,BS64:BS75),SUMIF(BI64:BI75,$BX74,BN64:BN75)))</f>
        <v>3.81</v>
      </c>
      <c r="CB74" s="730">
        <v>20</v>
      </c>
      <c r="CC74" s="730">
        <f t="shared" si="12"/>
        <v>8</v>
      </c>
    </row>
    <row r="75" spans="2:81" s="6" customFormat="1" ht="14.65" customHeight="1">
      <c r="AD75"/>
      <c r="AE75"/>
      <c r="AF75"/>
      <c r="AG75"/>
      <c r="AH75"/>
      <c r="AI75"/>
      <c r="AJ75"/>
      <c r="AK75"/>
      <c r="AL75"/>
      <c r="AM75"/>
      <c r="AN75"/>
      <c r="AO75"/>
      <c r="AP75"/>
      <c r="AQ75"/>
      <c r="AR75"/>
      <c r="AS75"/>
      <c r="AT75"/>
      <c r="AU75"/>
      <c r="AV75"/>
      <c r="AW75"/>
      <c r="AX75"/>
      <c r="AY75"/>
      <c r="AZ75"/>
      <c r="BA75"/>
      <c r="BB75"/>
      <c r="BC75"/>
      <c r="BD75"/>
      <c r="BI75" s="722" t="s">
        <v>344</v>
      </c>
      <c r="BJ75" s="722">
        <v>12</v>
      </c>
      <c r="BK75" s="722" t="s">
        <v>338</v>
      </c>
      <c r="BL75" s="726">
        <f t="shared" si="13"/>
        <v>26.675999999999998</v>
      </c>
      <c r="BM75" s="743">
        <v>5.7</v>
      </c>
      <c r="BN75" s="744">
        <v>4.68</v>
      </c>
      <c r="BO75" s="136"/>
      <c r="BP75" s="725">
        <v>5</v>
      </c>
      <c r="BQ75" s="726">
        <f t="shared" si="14"/>
        <v>0</v>
      </c>
      <c r="BR75" s="737"/>
      <c r="BS75" s="737"/>
      <c r="BT75" s="136"/>
      <c r="BU75" s="725">
        <v>5</v>
      </c>
      <c r="BX75" s="666" t="str">
        <f t="shared" si="11"/>
        <v>Sep</v>
      </c>
      <c r="BY75" s="728">
        <f>IF(CB75=$CB76,SUMIF($BI64:$BI75,$BX75,$BR64:$BR75),SUMIF($BI64:$BI75,$BX75,$BM64:$BM75))</f>
        <v>5.7</v>
      </c>
      <c r="BZ75" s="746">
        <f>IF(IF(CB75=CB76,SUMIF(BI64:BI75,$BX75,BU64:BU75),SUMIF(BI64:BI75,$BX75,BP64:BP75))=0,NA(),IF(CB75=CB76,SUMIF(BI64:BI75,$BX75,BU64:BU75),SUMIF(BI64:BI75,$BX75,BP64:BP75)))</f>
        <v>5</v>
      </c>
      <c r="CA75" s="747">
        <f>IF(IF(CB75=CB76,SUMIF(BI64:BI75,$BX75,BS64:BS75),SUMIF(BI64:BI75,$BX75,BN64:BN75))=0,NA(),IF(CB75=CB76,SUMIF(BI64:BI75,$BX75,BS64:BS75),SUMIF(BI64:BI75,$BX75,BN64:BN75)))</f>
        <v>4.68</v>
      </c>
      <c r="CB75" s="730">
        <v>20</v>
      </c>
      <c r="CC75" s="730">
        <f>IF(CC76-1&lt;1,CC76+11,CC76-1)</f>
        <v>9</v>
      </c>
    </row>
    <row r="76" spans="2:81" s="6" customFormat="1" ht="14.65" customHeight="1">
      <c r="AD76"/>
      <c r="AE76"/>
      <c r="AF76"/>
      <c r="AG76"/>
      <c r="AH76"/>
      <c r="AI76"/>
      <c r="AJ76"/>
      <c r="AK76"/>
      <c r="AL76"/>
      <c r="AM76"/>
      <c r="AN76"/>
      <c r="AO76"/>
      <c r="AP76"/>
      <c r="AQ76"/>
      <c r="AR76"/>
      <c r="AS76"/>
      <c r="AT76"/>
      <c r="AU76"/>
      <c r="AV76"/>
      <c r="AW76"/>
      <c r="AX76"/>
      <c r="AY76"/>
      <c r="AZ76"/>
      <c r="BA76"/>
      <c r="BB76"/>
      <c r="BC76"/>
      <c r="BD76"/>
      <c r="BI76"/>
      <c r="BW76" s="667" t="str">
        <f>Cover!$M$34</f>
        <v>OCT FY-24</v>
      </c>
      <c r="BX76" s="666" t="str">
        <f>TEXT(CONCATENATE(CC76,"/01/20",CB76),"MMM")</f>
        <v>Oct</v>
      </c>
      <c r="BY76" s="728">
        <f>SUMIF($BI64:$BI75,$BX76,$BR64:$BR75)</f>
        <v>3.7069999999999999</v>
      </c>
      <c r="BZ76" s="746">
        <f>IF(IF(CB76=CB76,SUMIF(BI64:BI75,$BX76,BU64:BU75),SUMIF(BI64:BI75,$BX76,BP64:BP75))=0,NA(),IF(CB76=CB76,SUMIF(BI64:BI75,$BX76,BU64:BU75),SUMIF(BI64:BI75,$BX76,BP64:BP75)))</f>
        <v>5</v>
      </c>
      <c r="CA76" s="747">
        <f>IF(SUMIF($BI64:$BI75,$BX76,$BS64:$BS75)=0,NA(),SUMIF($BI64:$BI75,$BX76,$BS64:$BS75))</f>
        <v>5.07</v>
      </c>
      <c r="CB76" s="730">
        <v>21</v>
      </c>
      <c r="CC76" s="730">
        <f>MONTH(DATEVALUE(LEFT(BW76,3)&amp;" 1"))</f>
        <v>10</v>
      </c>
    </row>
    <row r="77" spans="2:81" s="6" customFormat="1" ht="14.65" customHeight="1">
      <c r="AD77"/>
      <c r="AE77"/>
      <c r="AF77"/>
      <c r="AG77"/>
      <c r="AH77"/>
      <c r="AI77"/>
      <c r="AJ77"/>
      <c r="AK77"/>
      <c r="AL77"/>
      <c r="AM77"/>
      <c r="AN77"/>
      <c r="AO77"/>
      <c r="AP77"/>
      <c r="AQ77"/>
      <c r="AR77"/>
      <c r="AS77"/>
      <c r="AT77"/>
      <c r="AU77"/>
      <c r="AV77"/>
      <c r="AW77"/>
      <c r="AX77"/>
      <c r="AY77"/>
      <c r="AZ77"/>
      <c r="BA77"/>
      <c r="BB77"/>
      <c r="BC77"/>
      <c r="BD77"/>
      <c r="BI77"/>
    </row>
    <row r="78" spans="2:81" s="6" customFormat="1" ht="14.65" customHeight="1">
      <c r="AD78"/>
      <c r="AE78"/>
      <c r="AF78"/>
      <c r="AG78"/>
      <c r="AH78"/>
      <c r="AI78"/>
      <c r="AJ78"/>
      <c r="AK78"/>
      <c r="AL78"/>
      <c r="AM78"/>
      <c r="AN78"/>
      <c r="AO78"/>
      <c r="AP78"/>
      <c r="AQ78"/>
      <c r="AR78"/>
      <c r="AS78"/>
      <c r="AT78"/>
      <c r="AU78"/>
      <c r="AV78"/>
      <c r="AW78"/>
      <c r="AX78"/>
      <c r="AY78"/>
      <c r="AZ78"/>
      <c r="BA78"/>
      <c r="BB78"/>
      <c r="BC78"/>
      <c r="BD78"/>
      <c r="BI78" s="1" t="s">
        <v>292</v>
      </c>
      <c r="BJ78" s="1526" t="s">
        <v>562</v>
      </c>
      <c r="BK78" s="1526"/>
      <c r="BL78" s="1526"/>
      <c r="BM78" s="1526"/>
      <c r="BN78" s="1526"/>
      <c r="BO78" s="1526"/>
      <c r="BP78" s="1526"/>
      <c r="BQ78" s="1526"/>
      <c r="BR78" s="1526"/>
      <c r="BS78" s="1526"/>
      <c r="BT78" s="1526"/>
      <c r="BU78" s="1526"/>
    </row>
    <row r="79" spans="2:81" s="6" customFormat="1" ht="14.65" customHeight="1">
      <c r="AD79"/>
      <c r="AE79"/>
      <c r="AF79"/>
      <c r="AG79"/>
      <c r="AH79"/>
      <c r="AI79"/>
      <c r="AJ79"/>
      <c r="AK79"/>
      <c r="AL79"/>
      <c r="AM79"/>
      <c r="AN79"/>
      <c r="AO79"/>
      <c r="AP79"/>
      <c r="AQ79"/>
      <c r="AR79"/>
      <c r="AS79"/>
      <c r="AT79"/>
      <c r="AU79"/>
      <c r="AV79"/>
      <c r="AW79"/>
      <c r="AX79"/>
      <c r="AY79"/>
      <c r="AZ79"/>
      <c r="BA79"/>
      <c r="BB79"/>
      <c r="BC79"/>
      <c r="BD79"/>
      <c r="BI79" s="54" t="s">
        <v>296</v>
      </c>
      <c r="BJ79" s="1527" t="s">
        <v>563</v>
      </c>
      <c r="BK79" s="1527"/>
      <c r="BL79" s="1527"/>
      <c r="BM79" s="1527"/>
      <c r="BN79" s="1527"/>
      <c r="BO79" s="1527"/>
      <c r="BP79" s="1527"/>
      <c r="BQ79" s="1527"/>
      <c r="BR79" s="1527"/>
      <c r="BS79" s="1527"/>
      <c r="BT79" s="1527"/>
      <c r="BU79" s="1527"/>
    </row>
    <row r="80" spans="2:81" s="6" customFormat="1" ht="14.65" customHeight="1" thickBot="1">
      <c r="AD80"/>
      <c r="AE80"/>
      <c r="AF80"/>
      <c r="AG80"/>
      <c r="AH80"/>
      <c r="AI80"/>
      <c r="AJ80"/>
      <c r="AK80"/>
      <c r="AL80"/>
      <c r="AM80"/>
      <c r="AN80"/>
      <c r="AO80"/>
      <c r="AP80"/>
      <c r="AQ80"/>
      <c r="AR80"/>
      <c r="AS80"/>
      <c r="AT80"/>
      <c r="AU80"/>
      <c r="AV80"/>
      <c r="AW80"/>
      <c r="AX80"/>
      <c r="AY80"/>
      <c r="AZ80"/>
      <c r="BA80"/>
      <c r="BB80"/>
      <c r="BC80"/>
      <c r="BD80"/>
      <c r="BI80" s="1" t="s">
        <v>300</v>
      </c>
      <c r="BJ80" s="1527" t="s">
        <v>564</v>
      </c>
      <c r="BK80" s="1527"/>
      <c r="BL80" s="1527"/>
      <c r="BM80" s="1527"/>
      <c r="BN80" s="1527"/>
      <c r="BO80" s="1527"/>
      <c r="BP80" s="1527"/>
      <c r="BQ80" s="1527"/>
      <c r="BR80" s="1527"/>
      <c r="BS80" s="1527"/>
      <c r="BT80" s="1527"/>
      <c r="BU80" s="1527"/>
    </row>
    <row r="81" spans="2:81" s="6" customFormat="1" ht="14.65" customHeight="1" thickBot="1">
      <c r="AD81"/>
      <c r="AE81"/>
      <c r="AF81"/>
      <c r="AG81"/>
      <c r="AH81"/>
      <c r="AI81"/>
      <c r="AJ81"/>
      <c r="AK81"/>
      <c r="AL81"/>
      <c r="AM81"/>
      <c r="AN81"/>
      <c r="AO81"/>
      <c r="AP81"/>
      <c r="AQ81"/>
      <c r="AR81"/>
      <c r="AS81"/>
      <c r="AT81"/>
      <c r="AU81"/>
      <c r="AV81"/>
      <c r="AW81"/>
      <c r="AX81"/>
      <c r="AY81"/>
      <c r="AZ81"/>
      <c r="BA81"/>
      <c r="BB81"/>
      <c r="BC81"/>
      <c r="BD81"/>
      <c r="BI81" s="2"/>
      <c r="BJ81" s="2"/>
      <c r="BK81" s="2"/>
      <c r="BL81" s="1490" t="s">
        <v>487</v>
      </c>
      <c r="BM81" s="1491"/>
      <c r="BN81" s="1491"/>
      <c r="BO81" s="1491"/>
      <c r="BP81" s="1521"/>
      <c r="BQ81" s="1490" t="s">
        <v>522</v>
      </c>
      <c r="BR81" s="1491"/>
      <c r="BS81" s="1491"/>
      <c r="BT81" s="1491"/>
      <c r="BU81" s="1492"/>
      <c r="BW81" s="1490" t="s">
        <v>303</v>
      </c>
      <c r="BX81" s="1491"/>
      <c r="BY81" s="1491"/>
      <c r="BZ81" s="1491"/>
      <c r="CA81" s="1491"/>
      <c r="CB81" s="1491"/>
      <c r="CC81" s="1492"/>
    </row>
    <row r="82" spans="2:81" s="6" customFormat="1" ht="14.65" customHeight="1">
      <c r="AD82"/>
      <c r="AE82"/>
      <c r="AF82"/>
      <c r="AG82"/>
      <c r="AH82"/>
      <c r="AI82"/>
      <c r="AJ82"/>
      <c r="AK82"/>
      <c r="AL82"/>
      <c r="AM82"/>
      <c r="AN82"/>
      <c r="AO82"/>
      <c r="AP82"/>
      <c r="AQ82"/>
      <c r="AR82"/>
      <c r="AS82"/>
      <c r="AT82"/>
      <c r="AU82"/>
      <c r="AV82"/>
      <c r="AW82"/>
      <c r="AX82"/>
      <c r="AY82"/>
      <c r="AZ82"/>
      <c r="BA82"/>
      <c r="BB82"/>
      <c r="BC82"/>
      <c r="BD82"/>
      <c r="BI82" s="720" t="s">
        <v>23</v>
      </c>
      <c r="BJ82" s="720" t="s">
        <v>37</v>
      </c>
      <c r="BK82" s="720" t="s">
        <v>304</v>
      </c>
      <c r="BL82" s="721" t="s">
        <v>305</v>
      </c>
      <c r="BM82" s="721" t="s">
        <v>306</v>
      </c>
      <c r="BN82" s="721" t="s">
        <v>488</v>
      </c>
      <c r="BO82" s="135" t="s">
        <v>489</v>
      </c>
      <c r="BP82" s="721" t="s">
        <v>490</v>
      </c>
      <c r="BQ82" s="721" t="s">
        <v>305</v>
      </c>
      <c r="BR82" s="721" t="s">
        <v>523</v>
      </c>
      <c r="BS82" s="721" t="s">
        <v>524</v>
      </c>
      <c r="BT82" s="135" t="s">
        <v>525</v>
      </c>
      <c r="BU82" s="721" t="s">
        <v>526</v>
      </c>
      <c r="BW82" s="164" t="s">
        <v>314</v>
      </c>
      <c r="BX82" s="164" t="s">
        <v>23</v>
      </c>
      <c r="BY82" s="168" t="s">
        <v>315</v>
      </c>
      <c r="BZ82" s="164" t="s">
        <v>122</v>
      </c>
      <c r="CA82" s="164" t="s">
        <v>316</v>
      </c>
      <c r="CB82" s="164" t="s">
        <v>317</v>
      </c>
      <c r="CC82" s="164" t="s">
        <v>318</v>
      </c>
    </row>
    <row r="83" spans="2:81" s="6" customFormat="1" ht="14.65" customHeight="1">
      <c r="AD83"/>
      <c r="AE83"/>
      <c r="AF83"/>
      <c r="AG83"/>
      <c r="AH83"/>
      <c r="AI83"/>
      <c r="AJ83"/>
      <c r="AK83"/>
      <c r="AL83"/>
      <c r="AM83"/>
      <c r="AN83"/>
      <c r="AO83"/>
      <c r="AP83"/>
      <c r="AQ83"/>
      <c r="AR83"/>
      <c r="AS83"/>
      <c r="AT83"/>
      <c r="AU83"/>
      <c r="AV83"/>
      <c r="AW83"/>
      <c r="AX83"/>
      <c r="AY83"/>
      <c r="AZ83"/>
      <c r="BA83"/>
      <c r="BB83"/>
      <c r="BC83"/>
      <c r="BD83"/>
      <c r="BI83" s="722" t="s">
        <v>319</v>
      </c>
      <c r="BJ83" s="722">
        <v>1</v>
      </c>
      <c r="BK83" s="722" t="s">
        <v>320</v>
      </c>
      <c r="BL83" s="748">
        <f>BN83*BM83</f>
        <v>0.81850999999999996</v>
      </c>
      <c r="BM83" s="749">
        <v>7.4409999999999998</v>
      </c>
      <c r="BN83" s="725">
        <v>0.11</v>
      </c>
      <c r="BO83" s="140">
        <f>IF(SUM(BM83:BM85=0),0,SUM(BL83:BL85)/SUM(BM83:BM85))</f>
        <v>8.496644745671722E-2</v>
      </c>
      <c r="BP83" s="725">
        <v>1</v>
      </c>
      <c r="BQ83" s="748">
        <f>BS83*BR83</f>
        <v>0.33948</v>
      </c>
      <c r="BR83" s="750">
        <v>2.8290000000000002</v>
      </c>
      <c r="BS83" s="751">
        <v>0.12</v>
      </c>
      <c r="BT83" s="140">
        <f>IF(SUM(BR83:BR85=0),0,SUM(BQ83:BQ85)/SUM(BR83:BR85))</f>
        <v>0.12</v>
      </c>
      <c r="BU83" s="725">
        <v>1</v>
      </c>
      <c r="BX83" s="666" t="str">
        <f t="shared" ref="BX83:BX94" si="15">TEXT(CONCATENATE(CC83,"/01/20",CB83),"MMM")</f>
        <v>Oct</v>
      </c>
      <c r="BY83" s="728">
        <f>IF(CB83=$CB95,SUMIF($BI83:$BI94,$BX83,$BR83:$BR94),SUMIF($BI83:$BI94,$BX83,$BM83:$BM94))</f>
        <v>7.4409999999999998</v>
      </c>
      <c r="BZ83" s="746">
        <f>IF(IF(CB83=CB95,SUMIF(BI83:BI94,$BX83,BU83:BU94),SUMIF(BI83:BI94,$BX83,BP83:BP94))=0,NA(),IF(CB83=CB95,SUMIF(BI83:BI94,$BX83,BU83:BU94),SUMIF(BI83:BI94,$BX83,BP83:BP94)))</f>
        <v>1</v>
      </c>
      <c r="CA83" s="747">
        <f>IF(IF(CB83=CB95,SUMIF(BI83:BI94,$BX83,BS83:BS94),SUMIF(BI83:BI94,$BX83,BN83:BN94))=0,NA(),IF(CB83=CB95,SUMIF(BI83:BI94,$BX83,BS83:BS94),SUMIF(BI83:BI94,$BX83,BN83:BN94)))</f>
        <v>0.11</v>
      </c>
      <c r="CB83" s="730">
        <v>20</v>
      </c>
      <c r="CC83" s="730">
        <f t="shared" ref="CC83:CC93" si="16">IF(CC84-1&lt;1,CC84+11,CC84-1)</f>
        <v>10</v>
      </c>
    </row>
    <row r="84" spans="2:81" s="6" customFormat="1" ht="14.65" customHeight="1">
      <c r="AD84"/>
      <c r="AE84"/>
      <c r="AF84"/>
      <c r="AG84"/>
      <c r="AH84"/>
      <c r="AI84"/>
      <c r="AJ84"/>
      <c r="AK84"/>
      <c r="AL84"/>
      <c r="AM84"/>
      <c r="AN84"/>
      <c r="AO84"/>
      <c r="AP84"/>
      <c r="AQ84"/>
      <c r="AR84"/>
      <c r="AS84"/>
      <c r="AT84"/>
      <c r="AU84"/>
      <c r="AV84"/>
      <c r="AW84"/>
      <c r="AX84"/>
      <c r="AY84"/>
      <c r="AZ84"/>
      <c r="BA84"/>
      <c r="BB84"/>
      <c r="BC84"/>
      <c r="BD84"/>
      <c r="BI84" s="722" t="s">
        <v>321</v>
      </c>
      <c r="BJ84" s="722">
        <v>2</v>
      </c>
      <c r="BK84" s="722" t="s">
        <v>320</v>
      </c>
      <c r="BL84" s="748">
        <f t="shared" ref="BL84:BL94" si="17">BN84*BM84</f>
        <v>0.25518000000000002</v>
      </c>
      <c r="BM84" s="749">
        <v>4.2530000000000001</v>
      </c>
      <c r="BN84" s="725">
        <v>0.06</v>
      </c>
      <c r="BO84" s="136"/>
      <c r="BP84" s="725">
        <v>1</v>
      </c>
      <c r="BQ84" s="748">
        <f t="shared" ref="BQ84:BQ94" si="18">BS84*BR84</f>
        <v>0</v>
      </c>
      <c r="BR84" s="750"/>
      <c r="BS84" s="751"/>
      <c r="BT84" s="136"/>
      <c r="BU84" s="725">
        <v>1</v>
      </c>
      <c r="BX84" s="666" t="str">
        <f t="shared" si="15"/>
        <v>Nov</v>
      </c>
      <c r="BY84" s="728">
        <f>IF(CB84=$CB95,SUMIF($BI83:$BI94,$BX84,$BR83:$BR94),SUMIF($BI83:$BI94,$BX84,$BM83:$BM94))</f>
        <v>4.2530000000000001</v>
      </c>
      <c r="BZ84" s="746">
        <f>IF(IF(CB84=CB95,SUMIF(BI83:BI94,$BX84,BU83:BU94),SUMIF(BI83:BI94,$BX84,BP83:BP94))=0,NA(),IF(CB84=CB95,SUMIF(BI83:BI94,$BX84,BU83:BU94),SUMIF(BI83:BI94,$BX84,BP83:BP94)))</f>
        <v>1</v>
      </c>
      <c r="CA84" s="747">
        <f>IF(IF(CB84=CB95,SUMIF(BI83:BI94,$BX84,BS83:BS94),SUMIF(BI83:BI94,$BX84,BN83:BN94))=0,NA(),IF(CB84=CB95,SUMIF(BI83:BI94,$BX84,BS83:BS94),SUMIF(BI83:BI94,$BX84,BN83:BN94)))</f>
        <v>0.06</v>
      </c>
      <c r="CB84" s="730">
        <v>20</v>
      </c>
      <c r="CC84" s="730">
        <f t="shared" si="16"/>
        <v>11</v>
      </c>
    </row>
    <row r="85" spans="2:81" s="6" customFormat="1" ht="14.65" customHeight="1">
      <c r="AD85"/>
      <c r="AE85"/>
      <c r="AF85"/>
      <c r="AG85"/>
      <c r="AH85"/>
      <c r="AI85"/>
      <c r="AJ85"/>
      <c r="AK85"/>
      <c r="AL85"/>
      <c r="AM85"/>
      <c r="AN85"/>
      <c r="AO85"/>
      <c r="AP85"/>
      <c r="AQ85"/>
      <c r="AR85"/>
      <c r="AS85"/>
      <c r="AT85"/>
      <c r="AU85"/>
      <c r="AV85"/>
      <c r="AW85"/>
      <c r="AX85"/>
      <c r="AY85"/>
      <c r="AZ85"/>
      <c r="BA85"/>
      <c r="BB85"/>
      <c r="BC85"/>
      <c r="BD85"/>
      <c r="BI85" s="722" t="s">
        <v>322</v>
      </c>
      <c r="BJ85" s="722">
        <v>3</v>
      </c>
      <c r="BK85" s="722" t="s">
        <v>320</v>
      </c>
      <c r="BL85" s="748">
        <f t="shared" si="17"/>
        <v>0.19248000000000001</v>
      </c>
      <c r="BM85" s="749">
        <v>3.2080000000000002</v>
      </c>
      <c r="BN85" s="725">
        <v>0.06</v>
      </c>
      <c r="BO85" s="136"/>
      <c r="BP85" s="725">
        <v>1</v>
      </c>
      <c r="BQ85" s="748">
        <f t="shared" si="18"/>
        <v>0</v>
      </c>
      <c r="BR85" s="750"/>
      <c r="BS85" s="751"/>
      <c r="BT85" s="136"/>
      <c r="BU85" s="725">
        <v>1</v>
      </c>
      <c r="BX85" s="666" t="str">
        <f t="shared" si="15"/>
        <v>Dec</v>
      </c>
      <c r="BY85" s="728">
        <f>IF(CB85=$CB95,SUMIF($BI83:$BI94,$BX85,$BR83:$BR94),SUMIF($BI83:$BI94,$BX85,$BM83:$BM94))</f>
        <v>3.2080000000000002</v>
      </c>
      <c r="BZ85" s="746">
        <f>IF(IF(CB85=CB95,SUMIF(BI83:BI94,$BX85,BU83:BU94),SUMIF(BI83:BI94,$BX85,BP83:BP94))=0,NA(),IF(CB85=CB95,SUMIF(BI83:BI94,$BX85,BU83:BU94),SUMIF(BI83:BI94,$BX85,BP83:BP94)))</f>
        <v>1</v>
      </c>
      <c r="CA85" s="747">
        <f>IF(IF(CB85=CB95,SUMIF(BI83:BI94,$BX85,BS83:BS94),SUMIF(BI83:BI94,$BX85,BN83:BN94))=0,NA(),IF(CB85=CB95,SUMIF(BI83:BI94,$BX85,BS83:BS94),SUMIF(BI83:BI94,$BX85,BN83:BN94)))</f>
        <v>0.06</v>
      </c>
      <c r="CB85" s="730">
        <v>20</v>
      </c>
      <c r="CC85" s="730">
        <f t="shared" si="16"/>
        <v>12</v>
      </c>
    </row>
    <row r="86" spans="2:81" s="6" customFormat="1" ht="14.65" customHeight="1">
      <c r="AD86"/>
      <c r="AE86"/>
      <c r="AF86"/>
      <c r="AG86"/>
      <c r="AH86"/>
      <c r="AI86"/>
      <c r="AJ86"/>
      <c r="AK86"/>
      <c r="AL86"/>
      <c r="AM86"/>
      <c r="AN86"/>
      <c r="AO86"/>
      <c r="AP86"/>
      <c r="AQ86"/>
      <c r="AR86"/>
      <c r="AS86"/>
      <c r="AT86"/>
      <c r="AU86"/>
      <c r="AV86"/>
      <c r="AW86"/>
      <c r="AX86"/>
      <c r="AY86"/>
      <c r="AZ86"/>
      <c r="BA86"/>
      <c r="BB86"/>
      <c r="BC86"/>
      <c r="BD86"/>
      <c r="BI86" s="722" t="s">
        <v>323</v>
      </c>
      <c r="BJ86" s="722">
        <v>4</v>
      </c>
      <c r="BK86" s="722" t="s">
        <v>324</v>
      </c>
      <c r="BL86" s="748">
        <f t="shared" si="17"/>
        <v>0.53423999999999994</v>
      </c>
      <c r="BM86" s="749">
        <v>5.9359999999999999</v>
      </c>
      <c r="BN86" s="725">
        <v>0.09</v>
      </c>
      <c r="BO86" s="140">
        <f>IF(SUM(BM86:BM88=0),0,SUM(BL86:BL88)/SUM(BM86:BM88))</f>
        <v>7.6238775387211466E-2</v>
      </c>
      <c r="BP86" s="725">
        <v>1</v>
      </c>
      <c r="BQ86" s="748">
        <f t="shared" si="18"/>
        <v>0</v>
      </c>
      <c r="BR86" s="750"/>
      <c r="BS86" s="751"/>
      <c r="BT86" s="140">
        <f>IF(SUM(BR86:BR88=0),0,SUM(BQ86:BQ88)/SUM(BR86:BR88))</f>
        <v>0</v>
      </c>
      <c r="BU86" s="725">
        <v>1</v>
      </c>
      <c r="BX86" s="666" t="str">
        <f t="shared" si="15"/>
        <v>Jan</v>
      </c>
      <c r="BY86" s="728">
        <f>IF(CB86=$CB95,SUMIF($BI83:$BI94,$BX86,$BR83:$BR94),SUMIF($BI83:$BI94,$BX86,$BM83:$BM94))</f>
        <v>5.9359999999999999</v>
      </c>
      <c r="BZ86" s="746">
        <f>IF(IF(CB86=CB95,SUMIF(BI83:BI94,$BX86,BU83:BU94),SUMIF(BI83:BI94,$BX86,BP83:BP94))=0,NA(),IF(CB86=CB95,SUMIF(BI83:BI94,$BX86,BU83:BU94),SUMIF(BI83:BI94,$BX86,BP83:BP94)))</f>
        <v>1</v>
      </c>
      <c r="CA86" s="747">
        <f>IF(IF(CB86=CB95,SUMIF(BI83:BI94,$BX86,BS83:BS94),SUMIF(BI83:BI94,$BX86,BN83:BN94))=0,NA(),IF(CB86=CB95,SUMIF(BI83:BI94,$BX86,BS83:BS94),SUMIF(BI83:BI94,$BX86,BN83:BN94)))</f>
        <v>0.09</v>
      </c>
      <c r="CB86" s="730">
        <v>20</v>
      </c>
      <c r="CC86" s="730">
        <f t="shared" si="16"/>
        <v>1</v>
      </c>
    </row>
    <row r="87" spans="2:81" s="6" customFormat="1" ht="14.65" customHeight="1">
      <c r="AD87"/>
      <c r="AE87"/>
      <c r="AF87"/>
      <c r="AG87"/>
      <c r="AH87"/>
      <c r="AI87"/>
      <c r="AJ87"/>
      <c r="AK87"/>
      <c r="AL87"/>
      <c r="AM87"/>
      <c r="AN87"/>
      <c r="AO87"/>
      <c r="AP87"/>
      <c r="AQ87"/>
      <c r="AR87"/>
      <c r="AS87"/>
      <c r="AT87"/>
      <c r="AU87"/>
      <c r="AV87"/>
      <c r="AW87"/>
      <c r="AX87"/>
      <c r="AY87"/>
      <c r="AZ87"/>
      <c r="BA87"/>
      <c r="BB87"/>
      <c r="BC87"/>
      <c r="BD87"/>
      <c r="BI87" s="722" t="s">
        <v>325</v>
      </c>
      <c r="BJ87" s="722">
        <v>5</v>
      </c>
      <c r="BK87" s="722" t="s">
        <v>324</v>
      </c>
      <c r="BL87" s="748">
        <f t="shared" si="17"/>
        <v>0.52783999999999998</v>
      </c>
      <c r="BM87" s="749">
        <v>6.5979999999999999</v>
      </c>
      <c r="BN87" s="725">
        <v>0.08</v>
      </c>
      <c r="BO87" s="136"/>
      <c r="BP87" s="725">
        <v>1</v>
      </c>
      <c r="BQ87" s="748">
        <f t="shared" si="18"/>
        <v>0</v>
      </c>
      <c r="BR87" s="750"/>
      <c r="BS87" s="751"/>
      <c r="BT87" s="136"/>
      <c r="BU87" s="725">
        <v>1</v>
      </c>
      <c r="BX87" s="666" t="str">
        <f t="shared" si="15"/>
        <v>Feb</v>
      </c>
      <c r="BY87" s="728">
        <f>IF(CB87=$CB95,SUMIF($BI83:$BI94,$BX87,$BR83:$BR94),SUMIF($BI83:$BI94,$BX87,$BM83:$BM94))</f>
        <v>6.5979999999999999</v>
      </c>
      <c r="BZ87" s="746">
        <f>IF(IF(CB87=CB95,SUMIF(BI83:BI94,$BX87,BU83:BU94),SUMIF(BI83:BI94,$BX87,BP83:BP94))=0,NA(),IF(CB87=CB95,SUMIF(BI83:BI94,$BX87,BU83:BU94),SUMIF(BI83:BI94,$BX87,BP83:BP94)))</f>
        <v>1</v>
      </c>
      <c r="CA87" s="747">
        <f>IF(IF(CB87=CB95,SUMIF(BI83:BI94,$BX87,BS83:BS94),SUMIF(BI83:BI94,$BX87,BN83:BN94))=0,NA(),IF(CB87=CB95,SUMIF(BI83:BI94,$BX87,BS83:BS94),SUMIF(BI83:BI94,$BX87,BN83:BN94)))</f>
        <v>0.08</v>
      </c>
      <c r="CB87" s="730">
        <v>20</v>
      </c>
      <c r="CC87" s="730">
        <f t="shared" si="16"/>
        <v>2</v>
      </c>
    </row>
    <row r="88" spans="2:81" s="6" customFormat="1" ht="14.65" customHeight="1">
      <c r="B88" s="44" t="s">
        <v>242</v>
      </c>
      <c r="C88" s="44"/>
      <c r="D88" s="44"/>
      <c r="E88" s="87"/>
      <c r="F88" s="94"/>
      <c r="G88" s="94"/>
      <c r="H88" s="94"/>
      <c r="I88" s="94"/>
      <c r="J88" s="94"/>
      <c r="K88" s="94"/>
      <c r="L88" s="94"/>
      <c r="M88" s="94"/>
      <c r="N88" s="94"/>
      <c r="O88" s="94"/>
      <c r="P88" s="94"/>
      <c r="Q88" s="94"/>
      <c r="R88" s="94"/>
      <c r="S88" s="94"/>
      <c r="T88" s="94"/>
      <c r="U88" s="94"/>
      <c r="V88" s="94"/>
      <c r="W88" s="94"/>
      <c r="X88" s="94"/>
      <c r="Y88" s="94"/>
      <c r="Z88" s="94"/>
      <c r="AA88" s="94"/>
      <c r="AB88" s="94"/>
      <c r="AD88"/>
      <c r="AE88" s="44" t="s">
        <v>242</v>
      </c>
      <c r="AF88" s="44"/>
      <c r="AG88" s="44"/>
      <c r="AH88" s="87"/>
      <c r="AI88" s="94"/>
      <c r="AJ88" s="94"/>
      <c r="AK88" s="94"/>
      <c r="AL88" s="94"/>
      <c r="AM88" s="94"/>
      <c r="AN88" s="94"/>
      <c r="AO88" s="94"/>
      <c r="AP88" s="94"/>
      <c r="AQ88" s="94"/>
      <c r="AR88" s="94"/>
      <c r="AS88" s="94"/>
      <c r="AT88" s="94"/>
      <c r="AU88" s="94"/>
      <c r="AV88" s="94"/>
      <c r="AW88" s="94"/>
      <c r="AX88" s="94"/>
      <c r="AY88" s="94"/>
      <c r="AZ88" s="94"/>
      <c r="BA88" s="94"/>
      <c r="BB88" s="94"/>
      <c r="BC88" s="94"/>
      <c r="BD88" s="94"/>
      <c r="BE88" s="94"/>
      <c r="BI88" s="722" t="s">
        <v>326</v>
      </c>
      <c r="BJ88" s="722">
        <v>6</v>
      </c>
      <c r="BK88" s="722" t="s">
        <v>324</v>
      </c>
      <c r="BL88" s="748">
        <f t="shared" si="17"/>
        <v>0.20295000000000002</v>
      </c>
      <c r="BM88" s="749">
        <v>4.0590000000000002</v>
      </c>
      <c r="BN88" s="725">
        <v>0.05</v>
      </c>
      <c r="BO88" s="136"/>
      <c r="BP88" s="725">
        <v>1</v>
      </c>
      <c r="BQ88" s="748">
        <f t="shared" si="18"/>
        <v>0</v>
      </c>
      <c r="BR88" s="750"/>
      <c r="BS88" s="751"/>
      <c r="BT88" s="136"/>
      <c r="BU88" s="725">
        <v>1</v>
      </c>
      <c r="BX88" s="666" t="str">
        <f t="shared" si="15"/>
        <v>Mar</v>
      </c>
      <c r="BY88" s="728">
        <f>IF(CB88=$CB95,SUMIF($BI83:$BI94,$BX88,$BR83:$BR94),SUMIF($BI83:$BI94,$BX88,$BM83:$BM94))</f>
        <v>4.0590000000000002</v>
      </c>
      <c r="BZ88" s="746">
        <f>IF(IF(CB88=CB95,SUMIF(BI83:BI94,$BX88,BU83:BU94),SUMIF(BI83:BI94,$BX88,BP83:BP94))=0,NA(),IF(CB88=CB95,SUMIF(BI83:BI94,$BX88,BU83:BU94),SUMIF(BI83:BI94,$BX88,BP83:BP94)))</f>
        <v>1</v>
      </c>
      <c r="CA88" s="747">
        <f>IF(IF(CB88=CB95,SUMIF(BI83:BI94,$BX88,BS83:BS94),SUMIF(BI83:BI94,$BX88,BN83:BN94))=0,NA(),IF(CB88=CB95,SUMIF(BI83:BI94,$BX88,BS83:BS94),SUMIF(BI83:BI94,$BX88,BN83:BN94)))</f>
        <v>0.05</v>
      </c>
      <c r="CB88" s="730">
        <v>20</v>
      </c>
      <c r="CC88" s="730">
        <f t="shared" si="16"/>
        <v>3</v>
      </c>
    </row>
    <row r="89" spans="2:81" s="6" customFormat="1" ht="15" customHeight="1">
      <c r="B89" s="1510" t="str">
        <f>AC40</f>
        <v>Slight increase in turnaround time due to COVID-related closures</v>
      </c>
      <c r="C89" s="1511"/>
      <c r="D89" s="1511"/>
      <c r="E89" s="1511"/>
      <c r="F89" s="1511"/>
      <c r="G89" s="1511"/>
      <c r="H89" s="1511"/>
      <c r="I89" s="1511"/>
      <c r="J89" s="1511"/>
      <c r="K89" s="1511"/>
      <c r="L89" s="1511"/>
      <c r="M89" s="1511"/>
      <c r="N89" s="1511"/>
      <c r="O89" s="1511"/>
      <c r="P89" s="1511"/>
      <c r="Q89" s="1511"/>
      <c r="R89" s="1511"/>
      <c r="S89" s="1511"/>
      <c r="T89" s="1511"/>
      <c r="U89" s="1511"/>
      <c r="V89" s="1511"/>
      <c r="W89" s="1511"/>
      <c r="X89" s="1511"/>
      <c r="Y89" s="1511"/>
      <c r="Z89" s="1511"/>
      <c r="AA89" s="1511"/>
      <c r="AB89" s="1512"/>
      <c r="AD89"/>
      <c r="AE89" s="1510" t="str">
        <f>AC41</f>
        <v>AVE 132mins/day to process 154 integration errors. 2,829 HCMS records created through Equifax - &gt; HCMS integration</v>
      </c>
      <c r="AF89" s="1511"/>
      <c r="AG89" s="1511"/>
      <c r="AH89" s="1511"/>
      <c r="AI89" s="1511"/>
      <c r="AJ89" s="1511"/>
      <c r="AK89" s="1511"/>
      <c r="AL89" s="1511"/>
      <c r="AM89" s="1511"/>
      <c r="AN89" s="1511"/>
      <c r="AO89" s="1511"/>
      <c r="AP89" s="1511"/>
      <c r="AQ89" s="1511"/>
      <c r="AR89" s="1511"/>
      <c r="AS89" s="1511"/>
      <c r="AT89" s="1511"/>
      <c r="AU89" s="1511"/>
      <c r="AV89" s="1511"/>
      <c r="AW89" s="1511"/>
      <c r="AX89" s="1511"/>
      <c r="AY89" s="1511"/>
      <c r="AZ89" s="1511"/>
      <c r="BA89" s="1511"/>
      <c r="BB89" s="1511"/>
      <c r="BC89" s="1511"/>
      <c r="BD89" s="1511"/>
      <c r="BE89" s="1512"/>
      <c r="BI89" s="722" t="s">
        <v>327</v>
      </c>
      <c r="BJ89" s="722">
        <v>7</v>
      </c>
      <c r="BK89" s="722" t="s">
        <v>328</v>
      </c>
      <c r="BL89" s="748">
        <f t="shared" si="17"/>
        <v>7.79E-3</v>
      </c>
      <c r="BM89" s="749">
        <v>0.77900000000000003</v>
      </c>
      <c r="BN89" s="725">
        <v>0.01</v>
      </c>
      <c r="BO89" s="140">
        <f>IF(SUM(BM89:BM91=0),0,SUM(BL89:BL91)/SUM(BM89:BM91))</f>
        <v>3.7397346809854702E-2</v>
      </c>
      <c r="BP89" s="725">
        <v>1</v>
      </c>
      <c r="BQ89" s="748">
        <f t="shared" si="18"/>
        <v>0</v>
      </c>
      <c r="BR89" s="752"/>
      <c r="BS89" s="753"/>
      <c r="BT89" s="140">
        <f>IF(SUM(BR89:BR91=0),0,SUM(BQ89:BQ91)/SUM(BR89:BR91))</f>
        <v>0</v>
      </c>
      <c r="BU89" s="725">
        <v>1</v>
      </c>
      <c r="BX89" s="666" t="str">
        <f t="shared" si="15"/>
        <v>Apr</v>
      </c>
      <c r="BY89" s="728">
        <f>IF(CB89=$CB95,SUMIF($BI83:$BI94,$BX89,$BR83:$BR94),SUMIF($BI83:$BI94,$BX89,$BM83:$BM94))</f>
        <v>0.77900000000000003</v>
      </c>
      <c r="BZ89" s="746">
        <f>IF(IF(CB89=CB95,SUMIF(BI83:BI94,$BX89,BU83:BU94),SUMIF(BI83:BI94,$BX89,BP83:BP94))=0,NA(),IF(CB89=CB95,SUMIF(BI83:BI94,$BX89,BU83:BU94),SUMIF(BI83:BI94,$BX89,BP83:BP94)))</f>
        <v>1</v>
      </c>
      <c r="CA89" s="747">
        <f>IF(IF(CB89=CB95,SUMIF(BI83:BI94,$BX89,BS83:BS94),SUMIF(BI83:BI94,$BX89,BN83:BN94))=0,NA(),IF(CB89=CB95,SUMIF(BI83:BI94,$BX89,BS83:BS94),SUMIF(BI83:BI94,$BX89,BN83:BN94)))</f>
        <v>0.01</v>
      </c>
      <c r="CB89" s="730">
        <v>20</v>
      </c>
      <c r="CC89" s="730">
        <f t="shared" si="16"/>
        <v>4</v>
      </c>
    </row>
    <row r="90" spans="2:81" s="6" customFormat="1" ht="15">
      <c r="B90" s="1513"/>
      <c r="C90" s="1514"/>
      <c r="D90" s="1514"/>
      <c r="E90" s="1514"/>
      <c r="F90" s="1514"/>
      <c r="G90" s="1514"/>
      <c r="H90" s="1514"/>
      <c r="I90" s="1514"/>
      <c r="J90" s="1514"/>
      <c r="K90" s="1514"/>
      <c r="L90" s="1514"/>
      <c r="M90" s="1514"/>
      <c r="N90" s="1514"/>
      <c r="O90" s="1514"/>
      <c r="P90" s="1514"/>
      <c r="Q90" s="1514"/>
      <c r="R90" s="1514"/>
      <c r="S90" s="1514"/>
      <c r="T90" s="1514"/>
      <c r="U90" s="1514"/>
      <c r="V90" s="1514"/>
      <c r="W90" s="1514"/>
      <c r="X90" s="1514"/>
      <c r="Y90" s="1514"/>
      <c r="Z90" s="1514"/>
      <c r="AA90" s="1514"/>
      <c r="AB90" s="1515"/>
      <c r="AD90"/>
      <c r="AE90" s="1513"/>
      <c r="AF90" s="1514"/>
      <c r="AG90" s="1514"/>
      <c r="AH90" s="1514"/>
      <c r="AI90" s="1514"/>
      <c r="AJ90" s="1514"/>
      <c r="AK90" s="1514"/>
      <c r="AL90" s="1514"/>
      <c r="AM90" s="1514"/>
      <c r="AN90" s="1514"/>
      <c r="AO90" s="1514"/>
      <c r="AP90" s="1514"/>
      <c r="AQ90" s="1514"/>
      <c r="AR90" s="1514"/>
      <c r="AS90" s="1514"/>
      <c r="AT90" s="1514"/>
      <c r="AU90" s="1514"/>
      <c r="AV90" s="1514"/>
      <c r="AW90" s="1514"/>
      <c r="AX90" s="1514"/>
      <c r="AY90" s="1514"/>
      <c r="AZ90" s="1514"/>
      <c r="BA90" s="1514"/>
      <c r="BB90" s="1514"/>
      <c r="BC90" s="1514"/>
      <c r="BD90" s="1514"/>
      <c r="BE90" s="1515"/>
      <c r="BI90" s="722" t="s">
        <v>329</v>
      </c>
      <c r="BJ90" s="722">
        <v>8</v>
      </c>
      <c r="BK90" s="722" t="s">
        <v>328</v>
      </c>
      <c r="BL90" s="748">
        <f t="shared" si="17"/>
        <v>3.4959999999999998E-2</v>
      </c>
      <c r="BM90" s="749">
        <v>0.874</v>
      </c>
      <c r="BN90" s="725">
        <v>0.04</v>
      </c>
      <c r="BO90" s="136"/>
      <c r="BP90" s="725">
        <v>1</v>
      </c>
      <c r="BQ90" s="748">
        <f t="shared" si="18"/>
        <v>0</v>
      </c>
      <c r="BR90" s="754"/>
      <c r="BS90" s="755"/>
      <c r="BT90" s="136"/>
      <c r="BU90" s="725">
        <v>1</v>
      </c>
      <c r="BX90" s="666" t="str">
        <f t="shared" si="15"/>
        <v>May</v>
      </c>
      <c r="BY90" s="728">
        <f>IF(CB90=$CB95,SUMIF($BI83:$BI94,$BX90,$BR83:$BR94),SUMIF($BI83:$BI94,$BX90,$BM83:$BM94))</f>
        <v>0.874</v>
      </c>
      <c r="BZ90" s="746">
        <f>IF(IF(CB90=CB95,SUMIF(BI83:BI94,$BX90,BU83:BU94),SUMIF(BI83:BI94,$BX90,BP83:BP94))=0,NA(),IF(CB90=CB95,SUMIF(BI83:BI94,$BX90,BU83:BU94),SUMIF(BI83:BI94,$BX90,BP83:BP94)))</f>
        <v>1</v>
      </c>
      <c r="CA90" s="747">
        <f>IF(IF(CB90=CB95,SUMIF(BI83:BI94,$BX90,BS83:BS94),SUMIF(BI83:BI94,$BX90,BN83:BN94))=0,NA(),IF(CB90=CB95,SUMIF(BI83:BI94,$BX90,BS83:BS94),SUMIF(BI83:BI94,$BX90,BN83:BN94)))</f>
        <v>0.04</v>
      </c>
      <c r="CB90" s="730">
        <v>20</v>
      </c>
      <c r="CC90" s="730">
        <f t="shared" si="16"/>
        <v>5</v>
      </c>
    </row>
    <row r="91" spans="2:81" s="6" customFormat="1" ht="15">
      <c r="B91" s="1513"/>
      <c r="C91" s="1514"/>
      <c r="D91" s="1514"/>
      <c r="E91" s="1514"/>
      <c r="F91" s="1514"/>
      <c r="G91" s="1514"/>
      <c r="H91" s="1514"/>
      <c r="I91" s="1514"/>
      <c r="J91" s="1514"/>
      <c r="K91" s="1514"/>
      <c r="L91" s="1514"/>
      <c r="M91" s="1514"/>
      <c r="N91" s="1514"/>
      <c r="O91" s="1514"/>
      <c r="P91" s="1514"/>
      <c r="Q91" s="1514"/>
      <c r="R91" s="1514"/>
      <c r="S91" s="1514"/>
      <c r="T91" s="1514"/>
      <c r="U91" s="1514"/>
      <c r="V91" s="1514"/>
      <c r="W91" s="1514"/>
      <c r="X91" s="1514"/>
      <c r="Y91" s="1514"/>
      <c r="Z91" s="1514"/>
      <c r="AA91" s="1514"/>
      <c r="AB91" s="1515"/>
      <c r="AD91"/>
      <c r="AE91" s="1513"/>
      <c r="AF91" s="1514"/>
      <c r="AG91" s="1514"/>
      <c r="AH91" s="1514"/>
      <c r="AI91" s="1514"/>
      <c r="AJ91" s="1514"/>
      <c r="AK91" s="1514"/>
      <c r="AL91" s="1514"/>
      <c r="AM91" s="1514"/>
      <c r="AN91" s="1514"/>
      <c r="AO91" s="1514"/>
      <c r="AP91" s="1514"/>
      <c r="AQ91" s="1514"/>
      <c r="AR91" s="1514"/>
      <c r="AS91" s="1514"/>
      <c r="AT91" s="1514"/>
      <c r="AU91" s="1514"/>
      <c r="AV91" s="1514"/>
      <c r="AW91" s="1514"/>
      <c r="AX91" s="1514"/>
      <c r="AY91" s="1514"/>
      <c r="AZ91" s="1514"/>
      <c r="BA91" s="1514"/>
      <c r="BB91" s="1514"/>
      <c r="BC91" s="1514"/>
      <c r="BD91" s="1514"/>
      <c r="BE91" s="1515"/>
      <c r="BI91" s="722" t="s">
        <v>331</v>
      </c>
      <c r="BJ91" s="722">
        <v>9</v>
      </c>
      <c r="BK91" s="722" t="s">
        <v>328</v>
      </c>
      <c r="BL91" s="748">
        <f t="shared" si="17"/>
        <v>7.5649999999999995E-2</v>
      </c>
      <c r="BM91" s="749">
        <v>1.5129999999999999</v>
      </c>
      <c r="BN91" s="725">
        <v>0.05</v>
      </c>
      <c r="BO91" s="136"/>
      <c r="BP91" s="725">
        <v>1</v>
      </c>
      <c r="BQ91" s="748">
        <f t="shared" si="18"/>
        <v>0</v>
      </c>
      <c r="BR91" s="750"/>
      <c r="BS91" s="751"/>
      <c r="BT91" s="136"/>
      <c r="BU91" s="725">
        <v>1</v>
      </c>
      <c r="BX91" s="666" t="str">
        <f t="shared" si="15"/>
        <v>Jun</v>
      </c>
      <c r="BY91" s="728">
        <f>IF(CB91=$CB95,SUMIF($BI83:$BI94,$BX91,$BR83:$BR94),SUMIF($BI83:$BI94,$BX91,$BM83:$BM94))</f>
        <v>1.5129999999999999</v>
      </c>
      <c r="BZ91" s="746">
        <f>IF(IF(CB91=CB95,SUMIF(BI83:BI94,$BX91,BU83:BU94),SUMIF(BI83:BI94,$BX91,BP83:BP94))=0,NA(),IF(CB91=CB95,SUMIF(BI83:BI94,$BX91,BU83:BU94),SUMIF(BI83:BI94,$BX91,BP83:BP94)))</f>
        <v>1</v>
      </c>
      <c r="CA91" s="747">
        <f>IF(IF(CB91=CB95,SUMIF(BI83:BI94,$BX91,BS83:BS94),SUMIF(BI83:BI94,$BX91,BN83:BN94))=0,NA(),IF(CB91=CB95,SUMIF(BI83:BI94,$BX91,BS83:BS94),SUMIF(BI83:BI94,$BX91,BN83:BN94)))</f>
        <v>0.05</v>
      </c>
      <c r="CB91" s="730">
        <v>20</v>
      </c>
      <c r="CC91" s="730">
        <f t="shared" si="16"/>
        <v>6</v>
      </c>
    </row>
    <row r="92" spans="2:81" s="6" customFormat="1" ht="14.65" customHeight="1">
      <c r="B92" s="1516"/>
      <c r="C92" s="1517"/>
      <c r="D92" s="1517"/>
      <c r="E92" s="1517"/>
      <c r="F92" s="1517"/>
      <c r="G92" s="1517"/>
      <c r="H92" s="1517"/>
      <c r="I92" s="1517"/>
      <c r="J92" s="1517"/>
      <c r="K92" s="1517"/>
      <c r="L92" s="1517"/>
      <c r="M92" s="1517"/>
      <c r="N92" s="1517"/>
      <c r="O92" s="1517"/>
      <c r="P92" s="1517"/>
      <c r="Q92" s="1517"/>
      <c r="R92" s="1517"/>
      <c r="S92" s="1517"/>
      <c r="T92" s="1517"/>
      <c r="U92" s="1517"/>
      <c r="V92" s="1517"/>
      <c r="W92" s="1517"/>
      <c r="X92" s="1517"/>
      <c r="Y92" s="1517"/>
      <c r="Z92" s="1517"/>
      <c r="AA92" s="1517"/>
      <c r="AB92" s="1518"/>
      <c r="AD92"/>
      <c r="AE92" s="1516"/>
      <c r="AF92" s="1517"/>
      <c r="AG92" s="1517"/>
      <c r="AH92" s="1517"/>
      <c r="AI92" s="1517"/>
      <c r="AJ92" s="1517"/>
      <c r="AK92" s="1517"/>
      <c r="AL92" s="1517"/>
      <c r="AM92" s="1517"/>
      <c r="AN92" s="1517"/>
      <c r="AO92" s="1517"/>
      <c r="AP92" s="1517"/>
      <c r="AQ92" s="1517"/>
      <c r="AR92" s="1517"/>
      <c r="AS92" s="1517"/>
      <c r="AT92" s="1517"/>
      <c r="AU92" s="1517"/>
      <c r="AV92" s="1517"/>
      <c r="AW92" s="1517"/>
      <c r="AX92" s="1517"/>
      <c r="AY92" s="1517"/>
      <c r="AZ92" s="1517"/>
      <c r="BA92" s="1517"/>
      <c r="BB92" s="1517"/>
      <c r="BC92" s="1517"/>
      <c r="BD92" s="1517"/>
      <c r="BE92" s="1518"/>
      <c r="BI92" s="722" t="s">
        <v>337</v>
      </c>
      <c r="BJ92" s="722">
        <v>10</v>
      </c>
      <c r="BK92" s="722" t="s">
        <v>338</v>
      </c>
      <c r="BL92" s="748">
        <f t="shared" si="17"/>
        <v>0.19350000000000001</v>
      </c>
      <c r="BM92" s="749">
        <v>2.58</v>
      </c>
      <c r="BN92" s="725">
        <v>7.4999999999999997E-2</v>
      </c>
      <c r="BO92" s="140">
        <f>IF(SUM(BM92:BM94=0),0,SUM(BL92:BL94)/SUM(BM92:BM94))</f>
        <v>0.10538607423462475</v>
      </c>
      <c r="BP92" s="725">
        <v>1</v>
      </c>
      <c r="BQ92" s="748">
        <f t="shared" si="18"/>
        <v>0</v>
      </c>
      <c r="BR92" s="750"/>
      <c r="BS92" s="751"/>
      <c r="BT92" s="140">
        <f>IF(SUM(BR92:BR94=0),0,SUM(BQ92:BQ94)/SUM(BR92:BR94))</f>
        <v>0</v>
      </c>
      <c r="BU92" s="725">
        <v>1</v>
      </c>
      <c r="BX92" s="666" t="str">
        <f t="shared" si="15"/>
        <v>Jul</v>
      </c>
      <c r="BY92" s="728">
        <f>IF(CB92=$CB95,SUMIF($BI83:$BI94,$BX92,$BR83:$BR94),SUMIF($BI83:$BI94,$BX92,$BM83:$BM94))</f>
        <v>2.58</v>
      </c>
      <c r="BZ92" s="746">
        <f>IF(IF(CB92=CB95,SUMIF(BI83:BI94,$BX92,BU83:BU94),SUMIF(BI83:BI94,$BX92,BP83:BP94))=0,NA(),IF(CB92=CB95,SUMIF(BI83:BI94,$BX92,BU83:BU94),SUMIF(BI83:BI94,$BX92,BP83:BP94)))</f>
        <v>1</v>
      </c>
      <c r="CA92" s="747">
        <f>IF(IF(CB92=CB95,SUMIF(BI83:BI94,$BX92,BS83:BS94),SUMIF(BI83:BI94,$BX92,BN83:BN94))=0,NA(),IF(CB92=CB95,SUMIF(BI83:BI94,$BX92,BS83:BS94),SUMIF(BI83:BI94,$BX92,BN83:BN94)))</f>
        <v>7.4999999999999997E-2</v>
      </c>
      <c r="CB92" s="730">
        <v>20</v>
      </c>
      <c r="CC92" s="730">
        <f t="shared" si="16"/>
        <v>7</v>
      </c>
    </row>
    <row r="93" spans="2:81" s="6" customFormat="1" ht="14.65" customHeight="1">
      <c r="BI93" s="722" t="s">
        <v>343</v>
      </c>
      <c r="BJ93" s="722">
        <v>11</v>
      </c>
      <c r="BK93" s="722" t="s">
        <v>338</v>
      </c>
      <c r="BL93" s="748">
        <f t="shared" si="17"/>
        <v>0.50292000000000003</v>
      </c>
      <c r="BM93" s="749">
        <v>4.5720000000000001</v>
      </c>
      <c r="BN93" s="725">
        <v>0.11</v>
      </c>
      <c r="BO93"/>
      <c r="BP93" s="725">
        <v>1</v>
      </c>
      <c r="BQ93" s="748">
        <f t="shared" si="18"/>
        <v>0</v>
      </c>
      <c r="BR93" s="750"/>
      <c r="BS93" s="751"/>
      <c r="BT93"/>
      <c r="BU93" s="725">
        <v>1</v>
      </c>
      <c r="BX93" s="666" t="str">
        <f t="shared" si="15"/>
        <v>Aug</v>
      </c>
      <c r="BY93" s="728">
        <f>IF(CB93=$CB95,SUMIF($BI83:$BI94,$BX93,$BR83:$BR94),SUMIF($BI83:$BI94,$BX93,$BM83:$BM94))</f>
        <v>4.5720000000000001</v>
      </c>
      <c r="BZ93" s="746">
        <f>IF(IF(CB93=CB95,SUMIF(BI83:BI94,$BX93,BU83:BU94),SUMIF(BI83:BI94,$BX93,BP83:BP94))=0,NA(),IF(CB93=CB95,SUMIF(BI83:BI94,$BX93,BU83:BU94),SUMIF(BI83:BI94,$BX93,BP83:BP94)))</f>
        <v>1</v>
      </c>
      <c r="CA93" s="747">
        <f>IF(IF(CB93=CB95,SUMIF(BI83:BI94,$BX93,BS83:BS94),SUMIF(BI83:BI94,$BX93,BN83:BN94))=0,NA(),IF(CB93=CB95,SUMIF(BI83:BI94,$BX93,BS83:BS94),SUMIF(BI83:BI94,$BX93,BN83:BN94)))</f>
        <v>0.11</v>
      </c>
      <c r="CB93" s="730">
        <v>20</v>
      </c>
      <c r="CC93" s="730">
        <f t="shared" si="16"/>
        <v>8</v>
      </c>
    </row>
    <row r="94" spans="2:81" s="6" customFormat="1" ht="14.65" customHeight="1">
      <c r="BI94" s="722" t="s">
        <v>344</v>
      </c>
      <c r="BJ94" s="722">
        <v>12</v>
      </c>
      <c r="BK94" s="722" t="s">
        <v>338</v>
      </c>
      <c r="BL94" s="748">
        <f t="shared" si="17"/>
        <v>0.47051999999999994</v>
      </c>
      <c r="BM94" s="749">
        <v>3.9209999999999998</v>
      </c>
      <c r="BN94" s="725">
        <v>0.12</v>
      </c>
      <c r="BO94"/>
      <c r="BP94" s="725">
        <v>1</v>
      </c>
      <c r="BQ94" s="748">
        <f t="shared" si="18"/>
        <v>0</v>
      </c>
      <c r="BR94" s="750"/>
      <c r="BS94" s="751"/>
      <c r="BT94"/>
      <c r="BU94" s="725">
        <v>1</v>
      </c>
      <c r="BX94" s="666" t="str">
        <f t="shared" si="15"/>
        <v>Sep</v>
      </c>
      <c r="BY94" s="728">
        <f>IF(CB94=$CB95,SUMIF($BI83:$BI94,$BX94,$BR83:$BR94),SUMIF($BI83:$BI94,$BX94,$BM83:$BM94))</f>
        <v>3.9209999999999998</v>
      </c>
      <c r="BZ94" s="746">
        <f>IF(IF(CB94=CB95,SUMIF(BI83:BI94,$BX94,BU83:BU94),SUMIF(BI83:BI94,$BX94,BP83:BP94))=0,NA(),IF(CB94=CB95,SUMIF(BI83:BI94,$BX94,BU83:BU94),SUMIF(BI83:BI94,$BX94,BP83:BP94)))</f>
        <v>1</v>
      </c>
      <c r="CA94" s="747">
        <f>IF(IF(CB94=CB95,SUMIF(BI83:BI94,$BX94,BS83:BS94),SUMIF(BI83:BI94,$BX94,BN83:BN94))=0,NA(),IF(CB94=CB95,SUMIF(BI83:BI94,$BX94,BS83:BS94),SUMIF(BI83:BI94,$BX94,BN83:BN94)))</f>
        <v>0.12</v>
      </c>
      <c r="CB94" s="730">
        <v>20</v>
      </c>
      <c r="CC94" s="730">
        <f>IF(CC95-1&lt;1,CC95+11,CC95-1)</f>
        <v>9</v>
      </c>
    </row>
    <row r="95" spans="2:81" s="6" customFormat="1" ht="46.9" customHeight="1">
      <c r="B95" s="1534" t="s">
        <v>431</v>
      </c>
      <c r="C95" s="1535"/>
      <c r="D95" s="1535"/>
      <c r="E95" s="1535"/>
      <c r="F95" s="1535"/>
      <c r="G95" s="1535"/>
      <c r="H95" s="1535"/>
      <c r="I95" s="1535"/>
      <c r="J95" s="1535"/>
      <c r="K95" s="1535"/>
      <c r="L95" s="1536"/>
      <c r="M95" s="1537" t="s">
        <v>432</v>
      </c>
      <c r="N95" s="1538"/>
      <c r="O95" s="1538"/>
      <c r="P95" s="1538"/>
      <c r="Q95" s="1538"/>
      <c r="R95" s="1538"/>
      <c r="S95" s="1538"/>
      <c r="T95" s="1538"/>
      <c r="U95" s="1538"/>
      <c r="V95" s="1539"/>
      <c r="W95" s="1537" t="s">
        <v>433</v>
      </c>
      <c r="X95" s="1538"/>
      <c r="Y95" s="1538"/>
      <c r="Z95" s="1538"/>
      <c r="AA95" s="1538"/>
      <c r="AB95" s="1538"/>
      <c r="AC95" s="1538"/>
      <c r="AD95" s="1538"/>
      <c r="AE95" s="1538"/>
      <c r="AF95" s="1539"/>
      <c r="AG95" s="1553" t="s">
        <v>434</v>
      </c>
      <c r="AH95" s="1554"/>
      <c r="AI95" s="1554"/>
      <c r="AJ95" s="1554"/>
      <c r="AK95" s="1554"/>
      <c r="AL95" s="1554"/>
      <c r="AM95" s="1554"/>
      <c r="AN95" s="1554"/>
      <c r="AO95" s="1554"/>
      <c r="AP95" s="1555"/>
      <c r="AQ95" s="1534" t="s">
        <v>435</v>
      </c>
      <c r="AR95" s="1535"/>
      <c r="AS95" s="1535"/>
      <c r="AT95" s="1535"/>
      <c r="AU95" s="1536"/>
      <c r="AV95" s="1549" t="s">
        <v>436</v>
      </c>
      <c r="AW95" s="1550"/>
      <c r="AX95" s="1550"/>
      <c r="AY95" s="1550"/>
      <c r="AZ95" s="1551"/>
      <c r="BA95" s="1549" t="s">
        <v>437</v>
      </c>
      <c r="BB95" s="1550"/>
      <c r="BC95" s="1550"/>
      <c r="BD95" s="1550"/>
      <c r="BE95" s="1551"/>
      <c r="BI95"/>
      <c r="BW95" s="667" t="str">
        <f>Cover!$M$34</f>
        <v>OCT FY-24</v>
      </c>
      <c r="BX95" s="666" t="str">
        <f>TEXT(CONCATENATE(CC95,"/01/20",CB95),"MMM")</f>
        <v>Oct</v>
      </c>
      <c r="BY95" s="728">
        <f>SUMIF($BI83:$BI94,$BX95,$BR83:$BR94)</f>
        <v>2.8290000000000002</v>
      </c>
      <c r="BZ95" s="746">
        <f>IF(IF(CB95=CB95,SUMIF(BI83:BI94,$BX95,BU83:BU94),SUMIF(BI83:BI94,$BX95,BP83:BP94))=0,NA(),IF(CB95=CB95,SUMIF(BI83:BI94,$BX95,BU83:BU94),SUMIF(BI83:BI94,$BX95,BP83:BP94)))</f>
        <v>1</v>
      </c>
      <c r="CA95" s="747">
        <f>IF(SUMIF($BI83:$BI94,$BX95,$BS83:$BS94)=0,NA(),SUMIF($BI83:$BI94,$BX95,$BS83:$BS94))</f>
        <v>0.12</v>
      </c>
      <c r="CB95" s="730">
        <v>21</v>
      </c>
      <c r="CC95" s="730">
        <f>MONTH(DATEVALUE(LEFT(BW95,3)&amp;" 1"))</f>
        <v>10</v>
      </c>
    </row>
    <row r="96" spans="2:81" s="6" customFormat="1" ht="36.75" customHeight="1">
      <c r="B96" s="1557"/>
      <c r="C96" s="1558"/>
      <c r="D96" s="1558"/>
      <c r="E96" s="1558"/>
      <c r="F96" s="1558"/>
      <c r="G96" s="1558"/>
      <c r="H96" s="1558"/>
      <c r="I96" s="1558"/>
      <c r="J96" s="1558"/>
      <c r="K96" s="1558"/>
      <c r="L96" s="1559"/>
      <c r="M96" s="1543"/>
      <c r="N96" s="1544"/>
      <c r="O96" s="1544"/>
      <c r="P96" s="1544"/>
      <c r="Q96" s="1544"/>
      <c r="R96" s="1544"/>
      <c r="S96" s="1544"/>
      <c r="T96" s="1544"/>
      <c r="U96" s="1544"/>
      <c r="V96" s="1545"/>
      <c r="W96" s="1543"/>
      <c r="X96" s="1544"/>
      <c r="Y96" s="1544"/>
      <c r="Z96" s="1544"/>
      <c r="AA96" s="1544"/>
      <c r="AB96" s="1544"/>
      <c r="AC96" s="1544"/>
      <c r="AD96" s="1544"/>
      <c r="AE96" s="1544"/>
      <c r="AF96" s="1545"/>
      <c r="AG96" s="1543"/>
      <c r="AH96" s="1544"/>
      <c r="AI96" s="1544"/>
      <c r="AJ96" s="1544"/>
      <c r="AK96" s="1544"/>
      <c r="AL96" s="1544"/>
      <c r="AM96" s="1544"/>
      <c r="AN96" s="1544"/>
      <c r="AO96" s="1544"/>
      <c r="AP96" s="1545"/>
      <c r="AQ96" s="1587"/>
      <c r="AR96" s="1588"/>
      <c r="AS96" s="1588"/>
      <c r="AT96" s="1588"/>
      <c r="AU96" s="1589"/>
      <c r="AV96" s="1560"/>
      <c r="AW96" s="1561"/>
      <c r="AX96" s="1561"/>
      <c r="AY96" s="1561"/>
      <c r="AZ96" s="1562"/>
      <c r="BA96" s="1547"/>
      <c r="BB96" s="1548"/>
      <c r="BC96" s="1548"/>
      <c r="BD96" s="1548"/>
      <c r="BE96" s="1548"/>
      <c r="BI96"/>
    </row>
    <row r="97" spans="2:74" s="6" customFormat="1" ht="46.9" hidden="1" customHeight="1">
      <c r="B97" s="1578"/>
      <c r="C97" s="1579"/>
      <c r="D97" s="1579"/>
      <c r="E97" s="1579"/>
      <c r="F97" s="1579"/>
      <c r="G97" s="1579"/>
      <c r="H97" s="1579"/>
      <c r="I97" s="1579"/>
      <c r="J97" s="1579"/>
      <c r="K97" s="1579"/>
      <c r="L97" s="1580"/>
      <c r="M97" s="1584"/>
      <c r="N97" s="1585"/>
      <c r="O97" s="1585"/>
      <c r="P97" s="1585"/>
      <c r="Q97" s="1585"/>
      <c r="R97" s="1585"/>
      <c r="S97" s="1585"/>
      <c r="T97" s="1585"/>
      <c r="U97" s="1585"/>
      <c r="V97" s="1586"/>
      <c r="W97" s="1584"/>
      <c r="X97" s="1585"/>
      <c r="Y97" s="1585"/>
      <c r="Z97" s="1585"/>
      <c r="AA97" s="1585"/>
      <c r="AB97" s="1585"/>
      <c r="AC97" s="1585"/>
      <c r="AD97" s="1585"/>
      <c r="AE97" s="1585"/>
      <c r="AF97" s="1586"/>
      <c r="AG97" s="1584"/>
      <c r="AH97" s="1585"/>
      <c r="AI97" s="1585"/>
      <c r="AJ97" s="1585"/>
      <c r="AK97" s="1585"/>
      <c r="AL97" s="1585"/>
      <c r="AM97" s="1585"/>
      <c r="AN97" s="1585"/>
      <c r="AO97" s="1585"/>
      <c r="AP97" s="1586"/>
      <c r="AQ97" s="1625"/>
      <c r="AR97" s="1626"/>
      <c r="AS97" s="1626"/>
      <c r="AT97" s="1626"/>
      <c r="AU97" s="1627"/>
      <c r="AV97" s="1628"/>
      <c r="AW97" s="1629"/>
      <c r="AX97" s="1629"/>
      <c r="AY97" s="1629"/>
      <c r="AZ97" s="1630"/>
      <c r="BA97" s="1628"/>
      <c r="BB97" s="1629"/>
      <c r="BC97" s="1629"/>
      <c r="BD97" s="1629"/>
      <c r="BE97" s="1630"/>
      <c r="BI97"/>
    </row>
    <row r="98" spans="2:74" s="6" customFormat="1" ht="35.25" hidden="1" customHeight="1">
      <c r="B98" s="1581"/>
      <c r="C98" s="1582"/>
      <c r="D98" s="1582"/>
      <c r="E98" s="1582"/>
      <c r="F98" s="1582"/>
      <c r="G98" s="1582"/>
      <c r="H98" s="1582"/>
      <c r="I98" s="1582"/>
      <c r="J98" s="1582"/>
      <c r="K98" s="1582"/>
      <c r="L98" s="1583"/>
      <c r="M98" s="1543"/>
      <c r="N98" s="1544"/>
      <c r="O98" s="1544"/>
      <c r="P98" s="1544"/>
      <c r="Q98" s="1544"/>
      <c r="R98" s="1544"/>
      <c r="S98" s="1544"/>
      <c r="T98" s="1544"/>
      <c r="U98" s="1544"/>
      <c r="V98" s="1545"/>
      <c r="W98" s="1543"/>
      <c r="X98" s="1544"/>
      <c r="Y98" s="1544"/>
      <c r="Z98" s="1544"/>
      <c r="AA98" s="1544"/>
      <c r="AB98" s="1544"/>
      <c r="AC98" s="1544"/>
      <c r="AD98" s="1544"/>
      <c r="AE98" s="1544"/>
      <c r="AF98" s="1545"/>
      <c r="AG98" s="1543"/>
      <c r="AH98" s="1544"/>
      <c r="AI98" s="1544"/>
      <c r="AJ98" s="1544"/>
      <c r="AK98" s="1544"/>
      <c r="AL98" s="1544"/>
      <c r="AM98" s="1544"/>
      <c r="AN98" s="1544"/>
      <c r="AO98" s="1544"/>
      <c r="AP98" s="1545"/>
      <c r="AQ98" s="1572"/>
      <c r="AR98" s="1573"/>
      <c r="AS98" s="1573"/>
      <c r="AT98" s="1573"/>
      <c r="AU98" s="1574"/>
      <c r="AV98" s="1560"/>
      <c r="AW98" s="1561"/>
      <c r="AX98" s="1561"/>
      <c r="AY98" s="1561"/>
      <c r="AZ98" s="1562"/>
      <c r="BA98" s="1560"/>
      <c r="BB98" s="1561"/>
      <c r="BC98" s="1561"/>
      <c r="BD98" s="1561"/>
      <c r="BE98" s="1562"/>
      <c r="BI98"/>
      <c r="BJ98"/>
      <c r="BK98"/>
      <c r="BL98"/>
      <c r="BM98"/>
      <c r="BN98"/>
      <c r="BO98"/>
      <c r="BP98"/>
      <c r="BQ98"/>
      <c r="BR98"/>
      <c r="BS98"/>
      <c r="BT98"/>
      <c r="BU98"/>
      <c r="BV98"/>
    </row>
    <row r="99" spans="2:74" s="6" customFormat="1" ht="14.65" customHeight="1">
      <c r="B99" s="1619"/>
      <c r="C99" s="1620"/>
      <c r="D99" s="1620"/>
      <c r="E99" s="1620"/>
      <c r="F99" s="1620"/>
      <c r="G99" s="1620"/>
      <c r="H99" s="1620"/>
      <c r="I99" s="1621"/>
      <c r="J99" s="1599"/>
      <c r="K99" s="1600"/>
      <c r="L99" s="1600"/>
      <c r="M99" s="1600"/>
      <c r="N99" s="1600"/>
      <c r="O99" s="1600"/>
      <c r="P99" s="1600"/>
      <c r="Q99" s="1600"/>
      <c r="R99" s="1600"/>
      <c r="S99" s="1600"/>
      <c r="T99" s="1600"/>
      <c r="U99" s="1600"/>
      <c r="V99" s="1600"/>
      <c r="W99" s="1601"/>
      <c r="X99" s="1622"/>
      <c r="Y99" s="1623"/>
      <c r="Z99" s="1623"/>
      <c r="AA99" s="1623"/>
      <c r="AB99" s="1623"/>
      <c r="AC99" s="1623"/>
      <c r="AD99" s="1623"/>
      <c r="AE99" s="1623"/>
      <c r="AF99" s="1623"/>
      <c r="AG99" s="1623"/>
      <c r="AH99" s="1623"/>
      <c r="AI99" s="1624"/>
      <c r="AJ99" s="1599"/>
      <c r="AK99" s="1600"/>
      <c r="AL99" s="1600"/>
      <c r="AM99" s="1600"/>
      <c r="AN99" s="1600"/>
      <c r="AO99" s="1600"/>
      <c r="AP99" s="1600"/>
      <c r="AQ99" s="1600"/>
      <c r="AR99" s="1600"/>
      <c r="AS99" s="1601"/>
      <c r="AT99" s="1599"/>
      <c r="AU99" s="1600"/>
      <c r="AV99" s="1600"/>
      <c r="AW99" s="1601"/>
      <c r="AX99" s="1599"/>
      <c r="AY99" s="1600"/>
      <c r="AZ99" s="1600"/>
      <c r="BA99" s="1601"/>
      <c r="BB99" s="1599"/>
      <c r="BC99" s="1600"/>
      <c r="BD99" s="1600"/>
      <c r="BE99" s="1601"/>
      <c r="BI99"/>
      <c r="BJ99"/>
      <c r="BK99"/>
      <c r="BL99"/>
      <c r="BM99"/>
      <c r="BN99"/>
      <c r="BO99"/>
      <c r="BP99"/>
      <c r="BQ99"/>
      <c r="BR99"/>
      <c r="BS99"/>
      <c r="BT99"/>
      <c r="BU99"/>
      <c r="BV99"/>
    </row>
    <row r="100" spans="2:74" s="6" customFormat="1" ht="39" customHeight="1">
      <c r="B100" s="1615" t="s">
        <v>534</v>
      </c>
      <c r="C100" s="1616"/>
      <c r="D100" s="1616"/>
      <c r="E100" s="1616"/>
      <c r="F100" s="1616"/>
      <c r="G100" s="1616"/>
      <c r="H100" s="1616"/>
      <c r="I100" s="1616"/>
      <c r="J100" s="1616"/>
      <c r="K100" s="1616"/>
      <c r="L100" s="1617"/>
      <c r="M100" s="1537" t="s">
        <v>432</v>
      </c>
      <c r="N100" s="1538"/>
      <c r="O100" s="1538"/>
      <c r="P100" s="1538"/>
      <c r="Q100" s="1538"/>
      <c r="R100" s="1538"/>
      <c r="S100" s="1538"/>
      <c r="T100" s="1538"/>
      <c r="U100" s="1538"/>
      <c r="V100" s="1539"/>
      <c r="W100" s="1537" t="s">
        <v>433</v>
      </c>
      <c r="X100" s="1538"/>
      <c r="Y100" s="1538"/>
      <c r="Z100" s="1538"/>
      <c r="AA100" s="1538"/>
      <c r="AB100" s="1538"/>
      <c r="AC100" s="1538"/>
      <c r="AD100" s="1538"/>
      <c r="AE100" s="1538"/>
      <c r="AF100" s="1539"/>
      <c r="AG100" s="1537" t="s">
        <v>434</v>
      </c>
      <c r="AH100" s="1538"/>
      <c r="AI100" s="1538"/>
      <c r="AJ100" s="1538"/>
      <c r="AK100" s="1538"/>
      <c r="AL100" s="1538"/>
      <c r="AM100" s="1538"/>
      <c r="AN100" s="1538"/>
      <c r="AO100" s="1538"/>
      <c r="AP100" s="1539"/>
      <c r="AQ100" s="1615" t="s">
        <v>435</v>
      </c>
      <c r="AR100" s="1616"/>
      <c r="AS100" s="1616"/>
      <c r="AT100" s="1616"/>
      <c r="AU100" s="1617"/>
      <c r="AV100" s="1549" t="s">
        <v>436</v>
      </c>
      <c r="AW100" s="1550"/>
      <c r="AX100" s="1550"/>
      <c r="AY100" s="1550"/>
      <c r="AZ100" s="1551"/>
      <c r="BA100" s="1549" t="s">
        <v>437</v>
      </c>
      <c r="BB100" s="1550"/>
      <c r="BC100" s="1550"/>
      <c r="BD100" s="1550"/>
      <c r="BE100" s="1551"/>
      <c r="BI100"/>
      <c r="BJ100"/>
      <c r="BK100"/>
      <c r="BL100"/>
      <c r="BM100"/>
      <c r="BN100"/>
      <c r="BO100"/>
      <c r="BP100"/>
      <c r="BQ100"/>
      <c r="BR100"/>
      <c r="BS100"/>
      <c r="BT100"/>
      <c r="BU100"/>
      <c r="BV100"/>
    </row>
    <row r="101" spans="2:74" s="6" customFormat="1" ht="46.9" customHeight="1">
      <c r="B101" s="1581" t="s">
        <v>565</v>
      </c>
      <c r="C101" s="1582"/>
      <c r="D101" s="1582"/>
      <c r="E101" s="1582"/>
      <c r="F101" s="1582"/>
      <c r="G101" s="1582"/>
      <c r="H101" s="1582"/>
      <c r="I101" s="1582"/>
      <c r="J101" s="1582"/>
      <c r="K101" s="1582"/>
      <c r="L101" s="1583"/>
      <c r="M101" s="1543" t="s">
        <v>566</v>
      </c>
      <c r="N101" s="1544"/>
      <c r="O101" s="1544"/>
      <c r="P101" s="1544"/>
      <c r="Q101" s="1544"/>
      <c r="R101" s="1544"/>
      <c r="S101" s="1544"/>
      <c r="T101" s="1544"/>
      <c r="U101" s="1544"/>
      <c r="V101" s="1545"/>
      <c r="W101" s="1543" t="s">
        <v>567</v>
      </c>
      <c r="X101" s="1544"/>
      <c r="Y101" s="1544"/>
      <c r="Z101" s="1544"/>
      <c r="AA101" s="1544"/>
      <c r="AB101" s="1544"/>
      <c r="AC101" s="1544"/>
      <c r="AD101" s="1544"/>
      <c r="AE101" s="1544"/>
      <c r="AF101" s="1545"/>
      <c r="AG101" s="1543" t="s">
        <v>568</v>
      </c>
      <c r="AH101" s="1544"/>
      <c r="AI101" s="1544"/>
      <c r="AJ101" s="1544"/>
      <c r="AK101" s="1544"/>
      <c r="AL101" s="1544"/>
      <c r="AM101" s="1544"/>
      <c r="AN101" s="1544"/>
      <c r="AO101" s="1544"/>
      <c r="AP101" s="1545"/>
      <c r="AQ101" s="1587" t="s">
        <v>569</v>
      </c>
      <c r="AR101" s="1588"/>
      <c r="AS101" s="1588"/>
      <c r="AT101" s="1588"/>
      <c r="AU101" s="1589"/>
      <c r="AV101" s="1560" t="s">
        <v>570</v>
      </c>
      <c r="AW101" s="1561"/>
      <c r="AX101" s="1561"/>
      <c r="AY101" s="1561"/>
      <c r="AZ101" s="1562"/>
      <c r="BA101" s="1547" t="s">
        <v>571</v>
      </c>
      <c r="BB101" s="1548"/>
      <c r="BC101" s="1548"/>
      <c r="BD101" s="1548"/>
      <c r="BE101" s="1548"/>
      <c r="BI101"/>
      <c r="BJ101"/>
      <c r="BK101"/>
      <c r="BL101"/>
      <c r="BM101"/>
      <c r="BN101"/>
      <c r="BO101"/>
      <c r="BP101"/>
      <c r="BQ101"/>
      <c r="BR101"/>
      <c r="BS101"/>
      <c r="BT101"/>
      <c r="BU101"/>
      <c r="BV101"/>
    </row>
    <row r="102" spans="2:74" s="6" customFormat="1" ht="40.5" hidden="1" customHeight="1">
      <c r="B102" s="1578"/>
      <c r="C102" s="1579"/>
      <c r="D102" s="1579"/>
      <c r="E102" s="1579"/>
      <c r="F102" s="1579"/>
      <c r="G102" s="1579"/>
      <c r="H102" s="1579"/>
      <c r="I102" s="1579"/>
      <c r="J102" s="1579"/>
      <c r="K102" s="1579"/>
      <c r="L102" s="1580"/>
      <c r="M102" s="1584"/>
      <c r="N102" s="1585"/>
      <c r="O102" s="1585"/>
      <c r="P102" s="1585"/>
      <c r="Q102" s="1585"/>
      <c r="R102" s="1585"/>
      <c r="S102" s="1585"/>
      <c r="T102" s="1585"/>
      <c r="U102" s="1585"/>
      <c r="V102" s="1586"/>
      <c r="W102" s="1584"/>
      <c r="X102" s="1585"/>
      <c r="Y102" s="1585"/>
      <c r="Z102" s="1585"/>
      <c r="AA102" s="1585"/>
      <c r="AB102" s="1585"/>
      <c r="AC102" s="1585"/>
      <c r="AD102" s="1585"/>
      <c r="AE102" s="1585"/>
      <c r="AF102" s="1586"/>
      <c r="AG102" s="1584"/>
      <c r="AH102" s="1585"/>
      <c r="AI102" s="1585"/>
      <c r="AJ102" s="1585"/>
      <c r="AK102" s="1585"/>
      <c r="AL102" s="1585"/>
      <c r="AM102" s="1585"/>
      <c r="AN102" s="1585"/>
      <c r="AO102" s="1585"/>
      <c r="AP102" s="1586"/>
      <c r="AQ102" s="1625"/>
      <c r="AR102" s="1626"/>
      <c r="AS102" s="1626"/>
      <c r="AT102" s="1626"/>
      <c r="AU102" s="1627"/>
      <c r="AV102" s="1628"/>
      <c r="AW102" s="1629"/>
      <c r="AX102" s="1629"/>
      <c r="AY102" s="1629"/>
      <c r="AZ102" s="1630"/>
      <c r="BA102" s="1631"/>
      <c r="BB102" s="1632"/>
      <c r="BC102" s="1632"/>
      <c r="BD102" s="1632"/>
      <c r="BE102" s="1632"/>
      <c r="BI102"/>
      <c r="BJ102"/>
      <c r="BK102"/>
      <c r="BL102"/>
      <c r="BM102"/>
      <c r="BN102"/>
      <c r="BO102"/>
      <c r="BP102"/>
      <c r="BQ102"/>
      <c r="BR102"/>
      <c r="BS102"/>
      <c r="BT102"/>
      <c r="BU102"/>
      <c r="BV102"/>
    </row>
    <row r="103" spans="2:74" s="6" customFormat="1" ht="36.75" hidden="1" customHeight="1">
      <c r="B103" s="1581"/>
      <c r="C103" s="1582"/>
      <c r="D103" s="1582"/>
      <c r="E103" s="1582"/>
      <c r="F103" s="1582"/>
      <c r="G103" s="1582"/>
      <c r="H103" s="1582"/>
      <c r="I103" s="1582"/>
      <c r="J103" s="1582"/>
      <c r="K103" s="1582"/>
      <c r="L103" s="1583"/>
      <c r="M103" s="1543"/>
      <c r="N103" s="1544"/>
      <c r="O103" s="1544"/>
      <c r="P103" s="1544"/>
      <c r="Q103" s="1544"/>
      <c r="R103" s="1544"/>
      <c r="S103" s="1544"/>
      <c r="T103" s="1544"/>
      <c r="U103" s="1544"/>
      <c r="V103" s="1545"/>
      <c r="W103" s="1543"/>
      <c r="X103" s="1544"/>
      <c r="Y103" s="1544"/>
      <c r="Z103" s="1544"/>
      <c r="AA103" s="1544"/>
      <c r="AB103" s="1544"/>
      <c r="AC103" s="1544"/>
      <c r="AD103" s="1544"/>
      <c r="AE103" s="1544"/>
      <c r="AF103" s="1545"/>
      <c r="AG103" s="1543"/>
      <c r="AH103" s="1544"/>
      <c r="AI103" s="1544"/>
      <c r="AJ103" s="1544"/>
      <c r="AK103" s="1544"/>
      <c r="AL103" s="1544"/>
      <c r="AM103" s="1544"/>
      <c r="AN103" s="1544"/>
      <c r="AO103" s="1544"/>
      <c r="AP103" s="1545"/>
      <c r="AQ103" s="1587"/>
      <c r="AR103" s="1588"/>
      <c r="AS103" s="1588"/>
      <c r="AT103" s="1588"/>
      <c r="AU103" s="1589"/>
      <c r="AV103" s="1560"/>
      <c r="AW103" s="1561"/>
      <c r="AX103" s="1561"/>
      <c r="AY103" s="1561"/>
      <c r="AZ103" s="1562"/>
      <c r="BA103" s="1560"/>
      <c r="BB103" s="1561"/>
      <c r="BC103" s="1561"/>
      <c r="BD103" s="1561"/>
      <c r="BE103" s="1562"/>
      <c r="BI103"/>
      <c r="BJ103"/>
      <c r="BK103"/>
      <c r="BL103"/>
      <c r="BM103"/>
      <c r="BN103"/>
      <c r="BO103"/>
      <c r="BP103"/>
      <c r="BQ103"/>
      <c r="BR103"/>
      <c r="BS103"/>
      <c r="BT103"/>
      <c r="BU103"/>
      <c r="BV103"/>
    </row>
    <row r="104" spans="2:74" s="6" customFormat="1" ht="14.65" customHeight="1">
      <c r="B104" s="209"/>
      <c r="C104" s="209"/>
      <c r="D104" s="209"/>
      <c r="E104" s="209"/>
      <c r="F104" s="209"/>
      <c r="G104" s="209"/>
      <c r="H104" s="209"/>
      <c r="I104" s="209"/>
      <c r="J104" s="209"/>
      <c r="K104" s="209"/>
      <c r="L104" s="209"/>
      <c r="M104" s="210"/>
      <c r="N104" s="210"/>
      <c r="O104" s="210"/>
      <c r="P104" s="210"/>
      <c r="Q104" s="210"/>
      <c r="R104" s="210"/>
      <c r="S104" s="210"/>
      <c r="T104" s="210"/>
      <c r="U104" s="210"/>
      <c r="V104" s="210"/>
      <c r="W104" s="210"/>
      <c r="X104" s="210"/>
      <c r="Y104" s="210"/>
      <c r="Z104" s="210"/>
      <c r="AA104" s="210"/>
      <c r="AB104" s="210"/>
      <c r="AC104" s="210"/>
      <c r="AD104" s="210"/>
      <c r="AE104" s="210"/>
      <c r="AF104" s="210"/>
      <c r="AG104" s="210"/>
      <c r="AH104" s="210"/>
      <c r="AI104" s="210"/>
      <c r="AJ104" s="210"/>
      <c r="AK104" s="210"/>
      <c r="AL104" s="210"/>
      <c r="AM104" s="210"/>
      <c r="AN104" s="210"/>
      <c r="AO104" s="210"/>
      <c r="AP104" s="210"/>
      <c r="AQ104" s="211"/>
      <c r="AR104" s="211"/>
      <c r="AS104" s="211"/>
      <c r="AT104" s="211"/>
      <c r="AU104" s="211"/>
      <c r="AV104" s="212"/>
      <c r="AW104" s="212"/>
      <c r="AX104" s="212"/>
      <c r="AY104" s="212"/>
      <c r="AZ104" s="212"/>
      <c r="BA104" s="37"/>
      <c r="BB104" s="37"/>
      <c r="BC104" s="37"/>
      <c r="BD104" s="37"/>
      <c r="BE104" s="37"/>
      <c r="BI104"/>
      <c r="BJ104"/>
      <c r="BK104"/>
      <c r="BL104"/>
      <c r="BM104"/>
      <c r="BN104"/>
      <c r="BO104"/>
      <c r="BP104"/>
      <c r="BQ104"/>
      <c r="BR104"/>
      <c r="BS104"/>
      <c r="BT104"/>
      <c r="BU104"/>
      <c r="BV104"/>
    </row>
    <row r="105" spans="2:74" s="6" customFormat="1" ht="46.9" hidden="1" customHeight="1">
      <c r="B105" s="45" t="s">
        <v>438</v>
      </c>
      <c r="C105" s="46"/>
      <c r="D105" s="11"/>
      <c r="E105" s="11"/>
      <c r="F105" s="11"/>
      <c r="G105" s="11"/>
      <c r="H105" s="11"/>
      <c r="I105" s="11"/>
      <c r="J105" s="11"/>
      <c r="K105" s="11"/>
      <c r="L105" s="11"/>
      <c r="M105" s="11"/>
      <c r="N105" s="11"/>
      <c r="O105" s="11"/>
      <c r="P105" s="11"/>
      <c r="Q105" s="11"/>
      <c r="R105" s="11"/>
      <c r="S105" s="11"/>
      <c r="T105" s="11"/>
      <c r="U105" s="11"/>
      <c r="V105" s="46"/>
      <c r="W105" s="46"/>
      <c r="X105" s="46"/>
      <c r="Y105" s="11"/>
      <c r="Z105" s="11"/>
      <c r="AA105" s="11"/>
      <c r="AB105" s="11"/>
      <c r="AC105" s="11"/>
      <c r="AD105" s="66"/>
      <c r="AE105" s="46"/>
      <c r="AF105" s="46"/>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I105"/>
      <c r="BJ105"/>
      <c r="BK105"/>
      <c r="BL105"/>
      <c r="BM105"/>
      <c r="BN105"/>
      <c r="BO105"/>
      <c r="BP105"/>
      <c r="BQ105"/>
      <c r="BR105"/>
      <c r="BS105"/>
      <c r="BT105"/>
      <c r="BU105"/>
      <c r="BV105"/>
    </row>
    <row r="106" spans="2:74" s="6" customFormat="1" ht="14.65" hidden="1" customHeight="1">
      <c r="B106" s="1569" t="s">
        <v>439</v>
      </c>
      <c r="C106" s="1570"/>
      <c r="D106" s="1570"/>
      <c r="E106" s="1570"/>
      <c r="F106" s="1570"/>
      <c r="G106" s="1570"/>
      <c r="H106" s="1570"/>
      <c r="I106" s="1570"/>
      <c r="J106" s="1570"/>
      <c r="K106" s="1570"/>
      <c r="L106" s="1571"/>
      <c r="M106" s="1569" t="s">
        <v>440</v>
      </c>
      <c r="N106" s="1570"/>
      <c r="O106" s="1570"/>
      <c r="P106" s="1570"/>
      <c r="Q106" s="1570"/>
      <c r="R106" s="1570"/>
      <c r="S106" s="1570"/>
      <c r="T106" s="1570"/>
      <c r="U106" s="1570"/>
      <c r="V106" s="1571"/>
      <c r="W106" s="1569" t="s">
        <v>441</v>
      </c>
      <c r="X106" s="1570"/>
      <c r="Y106" s="1570"/>
      <c r="Z106" s="1570"/>
      <c r="AA106" s="1571"/>
      <c r="AB106" s="1569" t="s">
        <v>442</v>
      </c>
      <c r="AC106" s="1570"/>
      <c r="AD106" s="1570"/>
      <c r="AE106" s="1570"/>
      <c r="AF106" s="1571"/>
      <c r="AG106" s="1569" t="s">
        <v>201</v>
      </c>
      <c r="AH106" s="1570"/>
      <c r="AI106" s="1570"/>
      <c r="AJ106" s="1570"/>
      <c r="AK106" s="1570"/>
      <c r="AL106" s="1570"/>
      <c r="AM106" s="1570"/>
      <c r="AN106" s="1570"/>
      <c r="AO106" s="1570"/>
      <c r="AP106" s="1570"/>
      <c r="AQ106" s="1570"/>
      <c r="AR106" s="1570"/>
      <c r="AS106" s="1570"/>
      <c r="AT106" s="1570"/>
      <c r="AU106" s="1570"/>
      <c r="AV106" s="1570"/>
      <c r="AW106" s="1570"/>
      <c r="AX106" s="1570"/>
      <c r="AY106" s="1570"/>
      <c r="AZ106" s="1570"/>
      <c r="BA106" s="1570"/>
      <c r="BB106" s="1570"/>
      <c r="BC106" s="1570"/>
      <c r="BD106" s="1570"/>
      <c r="BE106" s="1571"/>
      <c r="BI106"/>
      <c r="BJ106"/>
      <c r="BK106"/>
      <c r="BL106"/>
      <c r="BM106"/>
      <c r="BN106"/>
      <c r="BO106"/>
      <c r="BP106"/>
      <c r="BQ106"/>
      <c r="BR106"/>
      <c r="BS106"/>
      <c r="BT106"/>
      <c r="BU106"/>
      <c r="BV106"/>
    </row>
    <row r="107" spans="2:74" s="6" customFormat="1" ht="46.9" hidden="1" customHeight="1">
      <c r="B107" s="1581" t="s">
        <v>572</v>
      </c>
      <c r="C107" s="1582"/>
      <c r="D107" s="1582"/>
      <c r="E107" s="1582"/>
      <c r="F107" s="1582"/>
      <c r="G107" s="1582"/>
      <c r="H107" s="1582"/>
      <c r="I107" s="1582"/>
      <c r="J107" s="1582"/>
      <c r="K107" s="1582"/>
      <c r="L107" s="1583"/>
      <c r="M107" s="1543" t="s">
        <v>573</v>
      </c>
      <c r="N107" s="1544"/>
      <c r="O107" s="1544"/>
      <c r="P107" s="1544"/>
      <c r="Q107" s="1544"/>
      <c r="R107" s="1544"/>
      <c r="S107" s="1544"/>
      <c r="T107" s="1544"/>
      <c r="U107" s="1544"/>
      <c r="V107" s="1545"/>
      <c r="W107" s="1587" t="s">
        <v>574</v>
      </c>
      <c r="X107" s="1588"/>
      <c r="Y107" s="1588"/>
      <c r="Z107" s="1588"/>
      <c r="AA107" s="1589"/>
      <c r="AB107" s="1590" t="s">
        <v>574</v>
      </c>
      <c r="AC107" s="1591"/>
      <c r="AD107" s="1591"/>
      <c r="AE107" s="1591"/>
      <c r="AF107" s="1592"/>
      <c r="AG107" s="1543" t="s">
        <v>575</v>
      </c>
      <c r="AH107" s="1544"/>
      <c r="AI107" s="1544"/>
      <c r="AJ107" s="1544"/>
      <c r="AK107" s="1544"/>
      <c r="AL107" s="1544"/>
      <c r="AM107" s="1544"/>
      <c r="AN107" s="1544"/>
      <c r="AO107" s="1544"/>
      <c r="AP107" s="1544"/>
      <c r="AQ107" s="1544"/>
      <c r="AR107" s="1544"/>
      <c r="AS107" s="1544"/>
      <c r="AT107" s="1544"/>
      <c r="AU107" s="1544"/>
      <c r="AV107" s="1544"/>
      <c r="AW107" s="1544"/>
      <c r="AX107" s="1544"/>
      <c r="AY107" s="1544"/>
      <c r="AZ107" s="1544"/>
      <c r="BA107" s="1544"/>
      <c r="BB107" s="1544"/>
      <c r="BC107" s="1544"/>
      <c r="BD107" s="1544"/>
      <c r="BE107" s="1545"/>
      <c r="BI107"/>
      <c r="BJ107"/>
      <c r="BK107"/>
      <c r="BL107"/>
      <c r="BM107"/>
      <c r="BN107"/>
      <c r="BO107"/>
      <c r="BP107"/>
      <c r="BQ107"/>
      <c r="BR107"/>
      <c r="BS107"/>
      <c r="BT107"/>
      <c r="BU107"/>
      <c r="BV107"/>
    </row>
    <row r="108" spans="2:74" s="6" customFormat="1" ht="46.9" hidden="1" customHeight="1">
      <c r="B108" s="1578" t="s">
        <v>540</v>
      </c>
      <c r="C108" s="1579"/>
      <c r="D108" s="1579"/>
      <c r="E108" s="1579"/>
      <c r="F108" s="1579"/>
      <c r="G108" s="1579"/>
      <c r="H108" s="1579"/>
      <c r="I108" s="1579"/>
      <c r="J108" s="1579"/>
      <c r="K108" s="1579"/>
      <c r="L108" s="1580"/>
      <c r="M108" s="1584" t="s">
        <v>576</v>
      </c>
      <c r="N108" s="1585"/>
      <c r="O108" s="1585"/>
      <c r="P108" s="1585"/>
      <c r="Q108" s="1585"/>
      <c r="R108" s="1585"/>
      <c r="S108" s="1585"/>
      <c r="T108" s="1585"/>
      <c r="U108" s="1585"/>
      <c r="V108" s="1586"/>
      <c r="W108" s="1593" t="s">
        <v>574</v>
      </c>
      <c r="X108" s="1594"/>
      <c r="Y108" s="1594"/>
      <c r="Z108" s="1594"/>
      <c r="AA108" s="1595"/>
      <c r="AB108" s="1596" t="s">
        <v>574</v>
      </c>
      <c r="AC108" s="1597"/>
      <c r="AD108" s="1597"/>
      <c r="AE108" s="1597"/>
      <c r="AF108" s="1598"/>
      <c r="AG108" s="1584" t="s">
        <v>577</v>
      </c>
      <c r="AH108" s="1585"/>
      <c r="AI108" s="1585"/>
      <c r="AJ108" s="1585"/>
      <c r="AK108" s="1585"/>
      <c r="AL108" s="1585"/>
      <c r="AM108" s="1585"/>
      <c r="AN108" s="1585"/>
      <c r="AO108" s="1585"/>
      <c r="AP108" s="1585"/>
      <c r="AQ108" s="1585"/>
      <c r="AR108" s="1585"/>
      <c r="AS108" s="1585"/>
      <c r="AT108" s="1585"/>
      <c r="AU108" s="1585"/>
      <c r="AV108" s="1585"/>
      <c r="AW108" s="1585"/>
      <c r="AX108" s="1585"/>
      <c r="AY108" s="1585"/>
      <c r="AZ108" s="1585"/>
      <c r="BA108" s="1585"/>
      <c r="BB108" s="1585"/>
      <c r="BC108" s="1585"/>
      <c r="BD108" s="1585"/>
      <c r="BE108" s="1586"/>
      <c r="BI108"/>
      <c r="BJ108"/>
      <c r="BK108"/>
      <c r="BL108"/>
      <c r="BM108"/>
      <c r="BN108"/>
      <c r="BO108"/>
      <c r="BP108"/>
      <c r="BQ108"/>
      <c r="BR108"/>
      <c r="BS108"/>
      <c r="BT108"/>
      <c r="BU108"/>
      <c r="BV108"/>
    </row>
    <row r="109" spans="2:74" s="6" customFormat="1" ht="46.9" hidden="1" customHeight="1">
      <c r="B109" s="1581" t="s">
        <v>578</v>
      </c>
      <c r="C109" s="1582"/>
      <c r="D109" s="1582"/>
      <c r="E109" s="1582"/>
      <c r="F109" s="1582"/>
      <c r="G109" s="1582"/>
      <c r="H109" s="1582"/>
      <c r="I109" s="1582"/>
      <c r="J109" s="1582"/>
      <c r="K109" s="1582"/>
      <c r="L109" s="1583"/>
      <c r="M109" s="1543" t="s">
        <v>579</v>
      </c>
      <c r="N109" s="1544"/>
      <c r="O109" s="1544"/>
      <c r="P109" s="1544"/>
      <c r="Q109" s="1544"/>
      <c r="R109" s="1544"/>
      <c r="S109" s="1544"/>
      <c r="T109" s="1544"/>
      <c r="U109" s="1544"/>
      <c r="V109" s="1545"/>
      <c r="W109" s="1572" t="s">
        <v>574</v>
      </c>
      <c r="X109" s="1573"/>
      <c r="Y109" s="1573"/>
      <c r="Z109" s="1573"/>
      <c r="AA109" s="1574"/>
      <c r="AB109" s="1590" t="s">
        <v>574</v>
      </c>
      <c r="AC109" s="1591"/>
      <c r="AD109" s="1591"/>
      <c r="AE109" s="1591"/>
      <c r="AF109" s="1592"/>
      <c r="AG109" s="1543" t="s">
        <v>580</v>
      </c>
      <c r="AH109" s="1544"/>
      <c r="AI109" s="1544"/>
      <c r="AJ109" s="1544"/>
      <c r="AK109" s="1544"/>
      <c r="AL109" s="1544"/>
      <c r="AM109" s="1544"/>
      <c r="AN109" s="1544"/>
      <c r="AO109" s="1544"/>
      <c r="AP109" s="1544"/>
      <c r="AQ109" s="1544"/>
      <c r="AR109" s="1544"/>
      <c r="AS109" s="1544"/>
      <c r="AT109" s="1544"/>
      <c r="AU109" s="1544"/>
      <c r="AV109" s="1544"/>
      <c r="AW109" s="1544"/>
      <c r="AX109" s="1544"/>
      <c r="AY109" s="1544"/>
      <c r="AZ109" s="1544"/>
      <c r="BA109" s="1544"/>
      <c r="BB109" s="1544"/>
      <c r="BC109" s="1544"/>
      <c r="BD109" s="1544"/>
      <c r="BE109" s="1545"/>
      <c r="BI109"/>
      <c r="BJ109"/>
      <c r="BK109"/>
      <c r="BL109"/>
      <c r="BM109"/>
      <c r="BN109"/>
      <c r="BO109"/>
      <c r="BP109"/>
      <c r="BQ109"/>
      <c r="BR109"/>
      <c r="BS109"/>
      <c r="BT109"/>
      <c r="BU109"/>
      <c r="BV109"/>
    </row>
    <row r="110" spans="2:74" s="6" customFormat="1" ht="15">
      <c r="BI110"/>
      <c r="BJ110"/>
      <c r="BK110"/>
      <c r="BL110"/>
      <c r="BM110"/>
      <c r="BN110"/>
      <c r="BO110"/>
      <c r="BP110"/>
      <c r="BQ110"/>
      <c r="BR110"/>
      <c r="BS110"/>
      <c r="BT110"/>
      <c r="BU110"/>
      <c r="BV110"/>
    </row>
    <row r="111" spans="2:74" s="6" customFormat="1" ht="15">
      <c r="BI111"/>
      <c r="BJ111"/>
      <c r="BK111"/>
      <c r="BL111"/>
      <c r="BM111"/>
      <c r="BN111"/>
      <c r="BO111"/>
      <c r="BP111"/>
      <c r="BQ111"/>
      <c r="BR111"/>
      <c r="BS111"/>
      <c r="BT111"/>
      <c r="BU111"/>
      <c r="BV111"/>
    </row>
    <row r="112" spans="2:74" s="6" customFormat="1" ht="15">
      <c r="BI112"/>
      <c r="BJ112"/>
      <c r="BK112"/>
      <c r="BL112"/>
      <c r="BM112"/>
      <c r="BN112"/>
      <c r="BO112"/>
      <c r="BP112"/>
      <c r="BQ112"/>
      <c r="BR112"/>
      <c r="BS112"/>
      <c r="BT112"/>
      <c r="BU112"/>
      <c r="BV112"/>
    </row>
    <row r="113" spans="2:57" ht="14.65" customHeight="1">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row>
    <row r="114" spans="2:57" ht="14.65" customHeight="1">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row>
    <row r="115" spans="2:57" ht="14.65" customHeight="1">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row>
  </sheetData>
  <mergeCells count="187">
    <mergeCell ref="BA101:BE101"/>
    <mergeCell ref="AV102:AZ102"/>
    <mergeCell ref="B101:L101"/>
    <mergeCell ref="M101:V101"/>
    <mergeCell ref="W101:AF101"/>
    <mergeCell ref="AG101:AP101"/>
    <mergeCell ref="AQ101:AU101"/>
    <mergeCell ref="AG103:AP103"/>
    <mergeCell ref="AQ103:AU103"/>
    <mergeCell ref="AV103:AZ103"/>
    <mergeCell ref="BA103:BE103"/>
    <mergeCell ref="M102:V102"/>
    <mergeCell ref="W102:AF102"/>
    <mergeCell ref="AG102:AP102"/>
    <mergeCell ref="AQ102:AU102"/>
    <mergeCell ref="BA102:BE102"/>
    <mergeCell ref="W103:AF103"/>
    <mergeCell ref="B8:AB11"/>
    <mergeCell ref="B29:AB32"/>
    <mergeCell ref="AC38:BE38"/>
    <mergeCell ref="AC40:BE40"/>
    <mergeCell ref="AC39:BE39"/>
    <mergeCell ref="B66:AB69"/>
    <mergeCell ref="AE66:BE69"/>
    <mergeCell ref="B89:AB92"/>
    <mergeCell ref="AQ97:AU97"/>
    <mergeCell ref="AV97:AZ97"/>
    <mergeCell ref="M97:V97"/>
    <mergeCell ref="BA97:BE97"/>
    <mergeCell ref="B97:L97"/>
    <mergeCell ref="W97:AF97"/>
    <mergeCell ref="AG97:AP97"/>
    <mergeCell ref="B96:L96"/>
    <mergeCell ref="M96:V96"/>
    <mergeCell ref="AQ96:AU96"/>
    <mergeCell ref="AV96:AZ96"/>
    <mergeCell ref="BA96:BE96"/>
    <mergeCell ref="W96:AF96"/>
    <mergeCell ref="AG96:AP96"/>
    <mergeCell ref="K36:M37"/>
    <mergeCell ref="AE8:BE11"/>
    <mergeCell ref="B109:L109"/>
    <mergeCell ref="B108:L108"/>
    <mergeCell ref="B107:L107"/>
    <mergeCell ref="W107:AA107"/>
    <mergeCell ref="AB107:AF107"/>
    <mergeCell ref="AG107:BE107"/>
    <mergeCell ref="M108:V108"/>
    <mergeCell ref="W108:AA108"/>
    <mergeCell ref="AB108:AF108"/>
    <mergeCell ref="AG108:BE108"/>
    <mergeCell ref="AG109:BE109"/>
    <mergeCell ref="M107:V107"/>
    <mergeCell ref="M109:V109"/>
    <mergeCell ref="W109:AA109"/>
    <mergeCell ref="AB109:AF109"/>
    <mergeCell ref="B40:J40"/>
    <mergeCell ref="BA95:BE95"/>
    <mergeCell ref="AG95:AP95"/>
    <mergeCell ref="M95:V95"/>
    <mergeCell ref="W95:AF95"/>
    <mergeCell ref="B95:L95"/>
    <mergeCell ref="AX99:BA99"/>
    <mergeCell ref="B99:I99"/>
    <mergeCell ref="W98:AF98"/>
    <mergeCell ref="AG98:AP98"/>
    <mergeCell ref="B98:L98"/>
    <mergeCell ref="M98:V98"/>
    <mergeCell ref="AQ98:AU98"/>
    <mergeCell ref="J99:W99"/>
    <mergeCell ref="X99:AI99"/>
    <mergeCell ref="AJ99:AS99"/>
    <mergeCell ref="B41:J41"/>
    <mergeCell ref="K41:M41"/>
    <mergeCell ref="N41:P41"/>
    <mergeCell ref="Q41:S41"/>
    <mergeCell ref="T41:V41"/>
    <mergeCell ref="W41:Y41"/>
    <mergeCell ref="Z41:AB41"/>
    <mergeCell ref="AE89:BE92"/>
    <mergeCell ref="B106:L106"/>
    <mergeCell ref="M106:V106"/>
    <mergeCell ref="W106:AA106"/>
    <mergeCell ref="AB106:AF106"/>
    <mergeCell ref="AG106:BE106"/>
    <mergeCell ref="AE29:BE32"/>
    <mergeCell ref="N40:P40"/>
    <mergeCell ref="BA98:BE98"/>
    <mergeCell ref="BB99:BE99"/>
    <mergeCell ref="M100:V100"/>
    <mergeCell ref="N36:P37"/>
    <mergeCell ref="B100:L100"/>
    <mergeCell ref="AQ100:AU100"/>
    <mergeCell ref="AV100:AZ100"/>
    <mergeCell ref="BA100:BE100"/>
    <mergeCell ref="AV98:AZ98"/>
    <mergeCell ref="W100:AF100"/>
    <mergeCell ref="AG100:AP100"/>
    <mergeCell ref="B103:L103"/>
    <mergeCell ref="M103:V103"/>
    <mergeCell ref="AV101:AZ101"/>
    <mergeCell ref="B102:L102"/>
    <mergeCell ref="AQ95:AU95"/>
    <mergeCell ref="AV95:AZ95"/>
    <mergeCell ref="BI1:BU1"/>
    <mergeCell ref="BJ40:BU40"/>
    <mergeCell ref="BQ24:BU24"/>
    <mergeCell ref="AU24:AX24"/>
    <mergeCell ref="BB24:BE24"/>
    <mergeCell ref="B2:BE2"/>
    <mergeCell ref="B3:BE3"/>
    <mergeCell ref="H4:J4"/>
    <mergeCell ref="B5:AR5"/>
    <mergeCell ref="AN17:AQ17"/>
    <mergeCell ref="AU17:AX17"/>
    <mergeCell ref="BB17:BE17"/>
    <mergeCell ref="V14:W14"/>
    <mergeCell ref="B15:G15"/>
    <mergeCell ref="AE15:AJ15"/>
    <mergeCell ref="B35:J37"/>
    <mergeCell ref="BJ23:BU23"/>
    <mergeCell ref="I15:V15"/>
    <mergeCell ref="X15:AB15"/>
    <mergeCell ref="I16:L16"/>
    <mergeCell ref="N16:Q16"/>
    <mergeCell ref="B39:J39"/>
    <mergeCell ref="AU18:AX18"/>
    <mergeCell ref="B38:J38"/>
    <mergeCell ref="BJ21:BU21"/>
    <mergeCell ref="BB18:BE18"/>
    <mergeCell ref="AN19:AQ19"/>
    <mergeCell ref="AU19:AX19"/>
    <mergeCell ref="BB19:BE19"/>
    <mergeCell ref="AN22:AQ22"/>
    <mergeCell ref="AU22:AX22"/>
    <mergeCell ref="AC35:BE37"/>
    <mergeCell ref="BB22:BE22"/>
    <mergeCell ref="BJ22:BU22"/>
    <mergeCell ref="AN23:AQ23"/>
    <mergeCell ref="AU23:AX23"/>
    <mergeCell ref="BB23:BE23"/>
    <mergeCell ref="AN24:AQ24"/>
    <mergeCell ref="BL24:BP24"/>
    <mergeCell ref="AN18:AQ18"/>
    <mergeCell ref="AC41:BE41"/>
    <mergeCell ref="K39:M39"/>
    <mergeCell ref="N39:P39"/>
    <mergeCell ref="K35:P35"/>
    <mergeCell ref="Q35:S37"/>
    <mergeCell ref="T35:AB35"/>
    <mergeCell ref="T36:V37"/>
    <mergeCell ref="W36:Y37"/>
    <mergeCell ref="Z36:AB37"/>
    <mergeCell ref="W39:Y39"/>
    <mergeCell ref="Z39:AB39"/>
    <mergeCell ref="T40:V40"/>
    <mergeCell ref="K38:M38"/>
    <mergeCell ref="N38:P38"/>
    <mergeCell ref="Q38:S38"/>
    <mergeCell ref="W40:Y40"/>
    <mergeCell ref="Z40:AB40"/>
    <mergeCell ref="K40:M40"/>
    <mergeCell ref="Q40:S40"/>
    <mergeCell ref="BJ78:BU78"/>
    <mergeCell ref="BJ79:BU79"/>
    <mergeCell ref="BJ80:BU80"/>
    <mergeCell ref="BL81:BP81"/>
    <mergeCell ref="BQ81:BU81"/>
    <mergeCell ref="BW81:CC81"/>
    <mergeCell ref="AT99:AW99"/>
    <mergeCell ref="S16:V16"/>
    <mergeCell ref="AZ15:BE15"/>
    <mergeCell ref="AP15:AQ15"/>
    <mergeCell ref="AS15:AX15"/>
    <mergeCell ref="AL15:AO15"/>
    <mergeCell ref="BW43:CC43"/>
    <mergeCell ref="BW62:CC62"/>
    <mergeCell ref="BQ43:BU43"/>
    <mergeCell ref="BL62:BP62"/>
    <mergeCell ref="BQ62:BU62"/>
    <mergeCell ref="BW24:CC24"/>
    <mergeCell ref="Q39:S39"/>
    <mergeCell ref="T39:V39"/>
    <mergeCell ref="T38:V38"/>
    <mergeCell ref="W38:Y38"/>
    <mergeCell ref="Z38:AB38"/>
    <mergeCell ref="BL43:BP43"/>
  </mergeCells>
  <conditionalFormatting sqref="K38">
    <cfRule type="cellIs" dxfId="1372" priority="1449" operator="greaterThanOrEqual">
      <formula>$Q38</formula>
    </cfRule>
    <cfRule type="cellIs" dxfId="1371" priority="1450" operator="lessThan">
      <formula>$Q38*0.9</formula>
    </cfRule>
    <cfRule type="cellIs" dxfId="1370" priority="1451" operator="lessThan">
      <formula>$Q38</formula>
    </cfRule>
  </conditionalFormatting>
  <conditionalFormatting sqref="T38">
    <cfRule type="cellIs" dxfId="1369" priority="1446" operator="greaterThanOrEqual">
      <formula>$Q38</formula>
    </cfRule>
    <cfRule type="cellIs" dxfId="1368" priority="1447" operator="lessThan">
      <formula>$Q38*0.9</formula>
    </cfRule>
    <cfRule type="cellIs" dxfId="1367" priority="1448" operator="lessThan">
      <formula>$Q38</formula>
    </cfRule>
  </conditionalFormatting>
  <conditionalFormatting sqref="W38">
    <cfRule type="cellIs" dxfId="1366" priority="1434" operator="greaterThanOrEqual">
      <formula>$Q38</formula>
    </cfRule>
    <cfRule type="cellIs" dxfId="1365" priority="1435" operator="lessThan">
      <formula>$Q38*0.9</formula>
    </cfRule>
    <cfRule type="cellIs" dxfId="1364" priority="1436" operator="lessThan">
      <formula>$Q38</formula>
    </cfRule>
  </conditionalFormatting>
  <conditionalFormatting sqref="Z38">
    <cfRule type="cellIs" dxfId="1363" priority="1431" operator="greaterThanOrEqual">
      <formula>$Q38</formula>
    </cfRule>
    <cfRule type="cellIs" dxfId="1362" priority="1432" operator="lessThan">
      <formula>$Q38*0.9</formula>
    </cfRule>
    <cfRule type="cellIs" dxfId="1361" priority="1433" operator="lessThan">
      <formula>$Q38</formula>
    </cfRule>
  </conditionalFormatting>
  <conditionalFormatting sqref="K39">
    <cfRule type="cellIs" dxfId="1360" priority="1428" operator="greaterThanOrEqual">
      <formula>$Q39</formula>
    </cfRule>
    <cfRule type="cellIs" dxfId="1359" priority="1429" operator="lessThan">
      <formula>$Q39*0.9</formula>
    </cfRule>
    <cfRule type="cellIs" dxfId="1358" priority="1430" operator="lessThan">
      <formula>$Q39</formula>
    </cfRule>
  </conditionalFormatting>
  <conditionalFormatting sqref="T39">
    <cfRule type="cellIs" dxfId="1357" priority="1425" operator="greaterThanOrEqual">
      <formula>$Q39</formula>
    </cfRule>
    <cfRule type="cellIs" dxfId="1356" priority="1426" operator="lessThan">
      <formula>$Q39*0.9</formula>
    </cfRule>
    <cfRule type="cellIs" dxfId="1355" priority="1427" operator="lessThan">
      <formula>$Q39</formula>
    </cfRule>
  </conditionalFormatting>
  <conditionalFormatting sqref="W39">
    <cfRule type="cellIs" dxfId="1354" priority="1422" operator="greaterThanOrEqual">
      <formula>$Q39</formula>
    </cfRule>
    <cfRule type="cellIs" dxfId="1353" priority="1423" operator="lessThan">
      <formula>$Q39*0.9</formula>
    </cfRule>
    <cfRule type="cellIs" dxfId="1352" priority="1424" operator="lessThan">
      <formula>$Q39</formula>
    </cfRule>
  </conditionalFormatting>
  <conditionalFormatting sqref="Z39">
    <cfRule type="cellIs" dxfId="1351" priority="1419" operator="greaterThanOrEqual">
      <formula>$Q39</formula>
    </cfRule>
    <cfRule type="cellIs" dxfId="1350" priority="1420" operator="lessThan">
      <formula>$Q39*0.9</formula>
    </cfRule>
    <cfRule type="cellIs" dxfId="1349" priority="1421" operator="lessThan">
      <formula>$Q39</formula>
    </cfRule>
  </conditionalFormatting>
  <conditionalFormatting sqref="A1:BH6 Q38:AB39 AC88:AD88 B94:BE94 B110:BE1048576 BF35:BG38 AB42:BE43 BG39:BG41 BV15 BJ95:BV97 BJ76:BU77 BG42:BH1048576 CD1:XFD1048576 BW77:CC80 B33:BE34 B38:M39 B35:J37 BF30:BH34 AC35:BE37 B70:BE87 A67:A1048576 B93:AD93 BF39:BF1048576 B44:BE64 A30:A61 B42:H43 A20:D24 A25 B25:D28 U26:AB27 AY25:BA27 AR25:AT27 AK25:AM27 F25:F27 H25:H26 J25:L26 BV75:BV94 BW96:CC1048576 K27:L27 U25:W25">
    <cfRule type="cellIs" dxfId="1348" priority="1397" operator="equal">
      <formula>"XXX"</formula>
    </cfRule>
  </conditionalFormatting>
  <conditionalFormatting sqref="W40 T40 K40 Z40">
    <cfRule type="cellIs" dxfId="1347" priority="1394" operator="greaterThanOrEqual">
      <formula>$Q40</formula>
    </cfRule>
    <cfRule type="cellIs" dxfId="1346" priority="1395" operator="lessThan">
      <formula>$Q40*0.9</formula>
    </cfRule>
    <cfRule type="cellIs" dxfId="1345" priority="1396" operator="lessThan">
      <formula>$Q40</formula>
    </cfRule>
  </conditionalFormatting>
  <conditionalFormatting sqref="B40:M40 Q40:AB40">
    <cfRule type="cellIs" dxfId="1344" priority="1393" operator="equal">
      <formula>"XXX"</formula>
    </cfRule>
  </conditionalFormatting>
  <conditionalFormatting sqref="K40">
    <cfRule type="cellIs" dxfId="1343" priority="1390" stopIfTrue="1" operator="greaterThan">
      <formula>$Q40*1.1</formula>
    </cfRule>
    <cfRule type="cellIs" dxfId="1342" priority="1391" operator="greaterThan">
      <formula>$Q40</formula>
    </cfRule>
    <cfRule type="cellIs" dxfId="1341" priority="1392" operator="lessThan">
      <formula>$Q40</formula>
    </cfRule>
  </conditionalFormatting>
  <conditionalFormatting sqref="T40">
    <cfRule type="cellIs" dxfId="1340" priority="1387" stopIfTrue="1" operator="greaterThan">
      <formula>$Q40*1.1</formula>
    </cfRule>
    <cfRule type="cellIs" dxfId="1339" priority="1388" operator="greaterThan">
      <formula>$Q40</formula>
    </cfRule>
    <cfRule type="cellIs" dxfId="1338" priority="1389" operator="lessThan">
      <formula>$Q40</formula>
    </cfRule>
  </conditionalFormatting>
  <conditionalFormatting sqref="W40">
    <cfRule type="cellIs" dxfId="1337" priority="1384" stopIfTrue="1" operator="greaterThan">
      <formula>$Q40*1.1</formula>
    </cfRule>
    <cfRule type="cellIs" dxfId="1336" priority="1385" operator="greaterThan">
      <formula>$Q40</formula>
    </cfRule>
    <cfRule type="cellIs" dxfId="1335" priority="1386" operator="lessThan">
      <formula>$Q40</formula>
    </cfRule>
  </conditionalFormatting>
  <conditionalFormatting sqref="Z40">
    <cfRule type="cellIs" dxfId="1334" priority="1381" stopIfTrue="1" operator="greaterThan">
      <formula>$Q40*1.1</formula>
    </cfRule>
    <cfRule type="cellIs" dxfId="1333" priority="1382" operator="greaterThan">
      <formula>$Q40</formula>
    </cfRule>
    <cfRule type="cellIs" dxfId="1332" priority="1383" operator="lessThan">
      <formula>$Q40</formula>
    </cfRule>
  </conditionalFormatting>
  <conditionalFormatting sqref="A15:A19 AC15:AD15 A26:A29 F28:AD28 BF17:BH29 AC17:AD19 BF15:BH15 U24:W24 A7:A11 BF8:BH11 A12:BH14 AC16:AG16 AI16:BH16 AJ17 AI22 F24 H20:H24 J24:L24 AC20:AH20 AC7:BH7">
    <cfRule type="cellIs" dxfId="1331" priority="1380" operator="equal">
      <formula>"XXX"</formula>
    </cfRule>
  </conditionalFormatting>
  <conditionalFormatting sqref="AE28:AG28 AI28:BE28 AY22:BA24 AR22:AT24 AK22:AM24">
    <cfRule type="cellIs" dxfId="1330" priority="1379" operator="equal">
      <formula>"XXX"</formula>
    </cfRule>
  </conditionalFormatting>
  <conditionalFormatting sqref="AI65:BE65 AE65:AG65">
    <cfRule type="cellIs" dxfId="1329" priority="1366" operator="equal">
      <formula>"XXX"</formula>
    </cfRule>
  </conditionalFormatting>
  <conditionalFormatting sqref="AJ22">
    <cfRule type="cellIs" dxfId="1328" priority="1371" operator="equal">
      <formula>"XXX"</formula>
    </cfRule>
  </conditionalFormatting>
  <conditionalFormatting sqref="BB17:BE18 BB22:BE22 BB23">
    <cfRule type="cellIs" dxfId="1327" priority="1370" operator="lessThan">
      <formula>0</formula>
    </cfRule>
  </conditionalFormatting>
  <conditionalFormatting sqref="A62:A66 AD65">
    <cfRule type="cellIs" dxfId="1326" priority="1369" operator="equal">
      <formula>"XXX"</formula>
    </cfRule>
  </conditionalFormatting>
  <conditionalFormatting sqref="F65:AB65 B65:D65">
    <cfRule type="cellIs" dxfId="1325" priority="1368" operator="equal">
      <formula>"XXX"</formula>
    </cfRule>
  </conditionalFormatting>
  <conditionalFormatting sqref="F88:AB88 B88:D88">
    <cfRule type="cellIs" dxfId="1324" priority="1364" operator="equal">
      <formula>"XXX"</formula>
    </cfRule>
  </conditionalFormatting>
  <conditionalFormatting sqref="N38">
    <cfRule type="cellIs" dxfId="1323" priority="1289" operator="greaterThanOrEqual">
      <formula>$Q38</formula>
    </cfRule>
    <cfRule type="cellIs" dxfId="1322" priority="1290" operator="lessThan">
      <formula>$Q38*0.9</formula>
    </cfRule>
    <cfRule type="cellIs" dxfId="1321" priority="1291" operator="lessThan">
      <formula>$Q38</formula>
    </cfRule>
  </conditionalFormatting>
  <conditionalFormatting sqref="N39">
    <cfRule type="cellIs" dxfId="1320" priority="1286" operator="greaterThanOrEqual">
      <formula>$Q39</formula>
    </cfRule>
    <cfRule type="cellIs" dxfId="1319" priority="1287" operator="lessThan">
      <formula>$Q39*0.9</formula>
    </cfRule>
    <cfRule type="cellIs" dxfId="1318" priority="1288" operator="lessThan">
      <formula>$Q39</formula>
    </cfRule>
  </conditionalFormatting>
  <conditionalFormatting sqref="N38:P39">
    <cfRule type="cellIs" dxfId="1317" priority="1285" operator="equal">
      <formula>"XXX"</formula>
    </cfRule>
  </conditionalFormatting>
  <conditionalFormatting sqref="N40">
    <cfRule type="cellIs" dxfId="1316" priority="1282" operator="greaterThanOrEqual">
      <formula>$Q40</formula>
    </cfRule>
    <cfRule type="cellIs" dxfId="1315" priority="1283" operator="lessThan">
      <formula>$Q40*0.9</formula>
    </cfRule>
    <cfRule type="cellIs" dxfId="1314" priority="1284" operator="lessThan">
      <formula>$Q40</formula>
    </cfRule>
  </conditionalFormatting>
  <conditionalFormatting sqref="N40:P40">
    <cfRule type="cellIs" dxfId="1313" priority="1281" operator="equal">
      <formula>"XXX"</formula>
    </cfRule>
  </conditionalFormatting>
  <conditionalFormatting sqref="N40">
    <cfRule type="cellIs" dxfId="1312" priority="1278" stopIfTrue="1" operator="greaterThan">
      <formula>$Q40*1.1</formula>
    </cfRule>
    <cfRule type="cellIs" dxfId="1311" priority="1279" operator="greaterThan">
      <formula>$Q40</formula>
    </cfRule>
    <cfRule type="cellIs" dxfId="1310" priority="1280" operator="lessThan">
      <formula>$Q40</formula>
    </cfRule>
  </conditionalFormatting>
  <conditionalFormatting sqref="AU17:AX18 AU22:AX23">
    <cfRule type="cellIs" dxfId="1309" priority="1255" operator="lessThan">
      <formula>0</formula>
    </cfRule>
  </conditionalFormatting>
  <conditionalFormatting sqref="B42:H42 AB42:AC43">
    <cfRule type="cellIs" dxfId="1308" priority="1208" operator="equal">
      <formula>"XXX"</formula>
    </cfRule>
  </conditionalFormatting>
  <conditionalFormatting sqref="AC42:BE42">
    <cfRule type="cellIs" dxfId="1307" priority="1180" operator="equal">
      <formula>"XXX"</formula>
    </cfRule>
  </conditionalFormatting>
  <conditionalFormatting sqref="B43:H43">
    <cfRule type="cellIs" dxfId="1306" priority="1179" operator="equal">
      <formula>"XXX"</formula>
    </cfRule>
  </conditionalFormatting>
  <conditionalFormatting sqref="AC43:BE43">
    <cfRule type="cellIs" dxfId="1305" priority="1178" operator="equal">
      <formula>"XXX"</formula>
    </cfRule>
  </conditionalFormatting>
  <conditionalFormatting sqref="AB43">
    <cfRule type="cellIs" dxfId="1304" priority="1147" operator="equal">
      <formula>"XXX"</formula>
    </cfRule>
  </conditionalFormatting>
  <conditionalFormatting sqref="BW64:BX76">
    <cfRule type="cellIs" dxfId="1303" priority="1020" operator="equal">
      <formula>"XXX"</formula>
    </cfRule>
  </conditionalFormatting>
  <conditionalFormatting sqref="AE93:BE93">
    <cfRule type="cellIs" dxfId="1302" priority="1060" operator="equal">
      <formula>"XXX"</formula>
    </cfRule>
  </conditionalFormatting>
  <conditionalFormatting sqref="I42:AA43">
    <cfRule type="cellIs" dxfId="1301" priority="1059" operator="equal">
      <formula>"XXX"</formula>
    </cfRule>
  </conditionalFormatting>
  <conditionalFormatting sqref="BH35">
    <cfRule type="cellIs" dxfId="1300" priority="1056" operator="equal">
      <formula>"XXX"</formula>
    </cfRule>
  </conditionalFormatting>
  <conditionalFormatting sqref="BH36">
    <cfRule type="cellIs" dxfId="1299" priority="1055" operator="equal">
      <formula>"XXX"</formula>
    </cfRule>
  </conditionalFormatting>
  <conditionalFormatting sqref="BH37">
    <cfRule type="cellIs" dxfId="1298" priority="1054" operator="equal">
      <formula>"XXX"</formula>
    </cfRule>
  </conditionalFormatting>
  <conditionalFormatting sqref="BW1:BX3 BY1:CC23 BW17:BX23 BX15:BX16">
    <cfRule type="cellIs" dxfId="1297" priority="1029" operator="equal">
      <formula>"XXX"</formula>
    </cfRule>
  </conditionalFormatting>
  <conditionalFormatting sqref="BW40:BX42 BW59:BW61 BY39:CC42 BX58:CC61">
    <cfRule type="cellIs" dxfId="1296" priority="1028" operator="equal">
      <formula>"XXX"</formula>
    </cfRule>
  </conditionalFormatting>
  <conditionalFormatting sqref="BW26:BX38">
    <cfRule type="cellIs" dxfId="1295" priority="1027" operator="equal">
      <formula>"XXX"</formula>
    </cfRule>
  </conditionalFormatting>
  <conditionalFormatting sqref="BW45:BX57">
    <cfRule type="cellIs" dxfId="1294" priority="1023" operator="equal">
      <formula>"XXX"</formula>
    </cfRule>
  </conditionalFormatting>
  <conditionalFormatting sqref="I24">
    <cfRule type="cellIs" dxfId="1293" priority="997" operator="equal">
      <formula>"XXX"</formula>
    </cfRule>
  </conditionalFormatting>
  <conditionalFormatting sqref="I24">
    <cfRule type="cellIs" dxfId="1292" priority="996" operator="equal">
      <formula>$A$1</formula>
    </cfRule>
  </conditionalFormatting>
  <conditionalFormatting sqref="B7:AB7">
    <cfRule type="cellIs" dxfId="1291" priority="606" operator="equal">
      <formula>"XXX"</formula>
    </cfRule>
  </conditionalFormatting>
  <conditionalFormatting sqref="B104:BE105">
    <cfRule type="cellIs" dxfId="1290" priority="533" operator="equal">
      <formula>"XXX"</formula>
    </cfRule>
  </conditionalFormatting>
  <conditionalFormatting sqref="B95:AU95 B99:BE99 B100:AU100">
    <cfRule type="cellIs" dxfId="1289" priority="532" operator="equal">
      <formula>"XXX"</formula>
    </cfRule>
  </conditionalFormatting>
  <conditionalFormatting sqref="B106:L106">
    <cfRule type="cellIs" dxfId="1288" priority="526" operator="equal">
      <formula>"XXX"</formula>
    </cfRule>
  </conditionalFormatting>
  <conditionalFormatting sqref="AG106:BE106">
    <cfRule type="cellIs" dxfId="1287" priority="510" operator="equal">
      <formula>"XXX"</formula>
    </cfRule>
  </conditionalFormatting>
  <conditionalFormatting sqref="M106:AF106">
    <cfRule type="cellIs" dxfId="1286" priority="512" operator="equal">
      <formula>"XXX"</formula>
    </cfRule>
  </conditionalFormatting>
  <conditionalFormatting sqref="BQ31">
    <cfRule type="expression" dxfId="1285" priority="480">
      <formula>(AND($BJ31=$BX$5,LEN($BQ31)=0))</formula>
    </cfRule>
  </conditionalFormatting>
  <conditionalFormatting sqref="BR31">
    <cfRule type="expression" dxfId="1284" priority="479">
      <formula>(AND($BJ31=$BX$5,LEN($BR31)=0))</formula>
    </cfRule>
  </conditionalFormatting>
  <conditionalFormatting sqref="BQ50">
    <cfRule type="expression" dxfId="1283" priority="478">
      <formula>(AND($BJ50=$BX$5,LEN($BQ50)=0))</formula>
    </cfRule>
  </conditionalFormatting>
  <conditionalFormatting sqref="BR50">
    <cfRule type="expression" dxfId="1282" priority="477">
      <formula>(AND($BJ50=$BX$5,LEN($BR50)=0))</formula>
    </cfRule>
  </conditionalFormatting>
  <conditionalFormatting sqref="BR69">
    <cfRule type="expression" dxfId="1281" priority="476">
      <formula>(AND($BJ69=$BX$5,LEN($BQ69)=0))</formula>
    </cfRule>
  </conditionalFormatting>
  <conditionalFormatting sqref="BR69:BS69">
    <cfRule type="expression" dxfId="1280" priority="475">
      <formula>(AND($BJ69=$BX$5,LEN($BR69)=0))</formula>
    </cfRule>
  </conditionalFormatting>
  <conditionalFormatting sqref="BJ16:BV16">
    <cfRule type="expression" dxfId="1279" priority="473">
      <formula>(AND(BJ$5=$BX$5,LEN(BJ$16)=0))</formula>
    </cfRule>
  </conditionalFormatting>
  <conditionalFormatting sqref="BJ16">
    <cfRule type="expression" dxfId="1278" priority="474">
      <formula>(AND(BJ$5=$BX$5,LEN(BJ$16)=0))</formula>
    </cfRule>
  </conditionalFormatting>
  <conditionalFormatting sqref="BQ30">
    <cfRule type="expression" dxfId="1277" priority="426">
      <formula>(AND($BJ30=$BX$5,LEN($BQ30)=0))</formula>
    </cfRule>
  </conditionalFormatting>
  <conditionalFormatting sqref="BR30">
    <cfRule type="expression" dxfId="1276" priority="425">
      <formula>(AND($BJ30=$BX$5,LEN($BR30)=0))</formula>
    </cfRule>
  </conditionalFormatting>
  <conditionalFormatting sqref="BQ49">
    <cfRule type="expression" dxfId="1275" priority="424">
      <formula>(AND($BJ49=$BX$5,LEN($BQ49)=0))</formula>
    </cfRule>
  </conditionalFormatting>
  <conditionalFormatting sqref="BR49">
    <cfRule type="expression" dxfId="1274" priority="423">
      <formula>(AND($BJ49=$BX$5,LEN($BR49)=0))</formula>
    </cfRule>
  </conditionalFormatting>
  <conditionalFormatting sqref="BR68">
    <cfRule type="expression" dxfId="1273" priority="422">
      <formula>(AND($BJ68=$BX$5,LEN($BQ68)=0))</formula>
    </cfRule>
  </conditionalFormatting>
  <conditionalFormatting sqref="BR68:BS68">
    <cfRule type="expression" dxfId="1272" priority="421">
      <formula>(AND($BJ68=$BX$5,LEN($BR68)=0))</formula>
    </cfRule>
  </conditionalFormatting>
  <conditionalFormatting sqref="G24">
    <cfRule type="cellIs" dxfId="1271" priority="383" operator="equal">
      <formula>"XXX"</formula>
    </cfRule>
  </conditionalFormatting>
  <conditionalFormatting sqref="F22">
    <cfRule type="cellIs" dxfId="1270" priority="381" operator="equal">
      <formula>"XXX"</formula>
    </cfRule>
  </conditionalFormatting>
  <conditionalFormatting sqref="G22:G23">
    <cfRule type="cellIs" dxfId="1269" priority="380" operator="equal">
      <formula>"XXX"</formula>
    </cfRule>
  </conditionalFormatting>
  <conditionalFormatting sqref="G22:G23">
    <cfRule type="cellIs" dxfId="1268" priority="379" operator="notEqual">
      <formula>0</formula>
    </cfRule>
  </conditionalFormatting>
  <conditionalFormatting sqref="I26">
    <cfRule type="cellIs" dxfId="1267" priority="373" operator="equal">
      <formula>"XXX"</formula>
    </cfRule>
  </conditionalFormatting>
  <conditionalFormatting sqref="I26">
    <cfRule type="cellIs" dxfId="1266" priority="372" operator="equal">
      <formula>$A$1</formula>
    </cfRule>
  </conditionalFormatting>
  <conditionalFormatting sqref="I25">
    <cfRule type="cellIs" dxfId="1265" priority="371" operator="equal">
      <formula>$A$1</formula>
    </cfRule>
  </conditionalFormatting>
  <conditionalFormatting sqref="G25">
    <cfRule type="cellIs" dxfId="1264" priority="370" operator="equal">
      <formula>"XXX"</formula>
    </cfRule>
  </conditionalFormatting>
  <conditionalFormatting sqref="G25">
    <cfRule type="cellIs" dxfId="1263" priority="369" operator="notEqual">
      <formula>0</formula>
    </cfRule>
  </conditionalFormatting>
  <conditionalFormatting sqref="G26">
    <cfRule type="cellIs" dxfId="1262" priority="368" operator="equal">
      <formula>"XXX"</formula>
    </cfRule>
  </conditionalFormatting>
  <conditionalFormatting sqref="G26">
    <cfRule type="expression" dxfId="1261" priority="366">
      <formula>$G$25=0</formula>
    </cfRule>
    <cfRule type="cellIs" dxfId="1260" priority="367" operator="notEqual">
      <formula>0</formula>
    </cfRule>
  </conditionalFormatting>
  <conditionalFormatting sqref="BH38:BH41">
    <cfRule type="cellIs" dxfId="1259" priority="365" operator="equal">
      <formula>"XXX"</formula>
    </cfRule>
  </conditionalFormatting>
  <conditionalFormatting sqref="BW83:BX95">
    <cfRule type="cellIs" dxfId="1258" priority="333" operator="equal">
      <formula>"XXX"</formula>
    </cfRule>
  </conditionalFormatting>
  <conditionalFormatting sqref="B41:J41">
    <cfRule type="cellIs" dxfId="1257" priority="320" operator="equal">
      <formula>"XXX"</formula>
    </cfRule>
  </conditionalFormatting>
  <conditionalFormatting sqref="K41">
    <cfRule type="cellIs" dxfId="1256" priority="308" stopIfTrue="1" operator="greaterThan">
      <formula>$Q41*1.1</formula>
    </cfRule>
    <cfRule type="cellIs" dxfId="1255" priority="309" operator="greaterThan">
      <formula>$Q41</formula>
    </cfRule>
    <cfRule type="cellIs" dxfId="1254" priority="310" operator="lessThanOrEqual">
      <formula>$Q41</formula>
    </cfRule>
  </conditionalFormatting>
  <conditionalFormatting sqref="T41 W41 Z41">
    <cfRule type="cellIs" dxfId="1253" priority="305" stopIfTrue="1" operator="greaterThan">
      <formula>$Q41*1.1</formula>
    </cfRule>
    <cfRule type="cellIs" dxfId="1252" priority="306" operator="greaterThan">
      <formula>$Q41</formula>
    </cfRule>
    <cfRule type="cellIs" dxfId="1251" priority="307" operator="lessThanOrEqual">
      <formula>$Q41</formula>
    </cfRule>
  </conditionalFormatting>
  <conditionalFormatting sqref="K41:AB41">
    <cfRule type="cellIs" dxfId="1250" priority="304" operator="equal">
      <formula>"XXX"</formula>
    </cfRule>
  </conditionalFormatting>
  <conditionalFormatting sqref="N41">
    <cfRule type="cellIs" dxfId="1249" priority="301" stopIfTrue="1" operator="greaterThan">
      <formula>$Q41*1.1</formula>
    </cfRule>
    <cfRule type="cellIs" dxfId="1248" priority="302" operator="greaterThan">
      <formula>$Q41</formula>
    </cfRule>
    <cfRule type="cellIs" dxfId="1247" priority="303" operator="lessThanOrEqual">
      <formula>$Q41</formula>
    </cfRule>
  </conditionalFormatting>
  <conditionalFormatting sqref="N41">
    <cfRule type="cellIs" dxfId="1246" priority="298" stopIfTrue="1" operator="greaterThan">
      <formula>$Q41*1.1</formula>
    </cfRule>
    <cfRule type="cellIs" dxfId="1245" priority="299" operator="greaterThan">
      <formula>$Q41</formula>
    </cfRule>
    <cfRule type="cellIs" dxfId="1244" priority="300" operator="lessThanOrEqual">
      <formula>$Q41</formula>
    </cfRule>
  </conditionalFormatting>
  <conditionalFormatting sqref="BR89">
    <cfRule type="expression" dxfId="1243" priority="295">
      <formula>(AND($BJ89=$BX$5,LEN($BQ89)=0))</formula>
    </cfRule>
  </conditionalFormatting>
  <conditionalFormatting sqref="BR89:BS89">
    <cfRule type="expression" dxfId="1242" priority="294">
      <formula>(AND($BJ89=$BX$5,LEN($BR89)=0))</formula>
    </cfRule>
  </conditionalFormatting>
  <conditionalFormatting sqref="BQ32">
    <cfRule type="expression" dxfId="1241" priority="291">
      <formula>(AND($BJ32=$BX$5,LEN($BQ32)=0))</formula>
    </cfRule>
  </conditionalFormatting>
  <conditionalFormatting sqref="BR32">
    <cfRule type="expression" dxfId="1240" priority="290">
      <formula>(AND($BJ32=$BX$5,LEN($BR32)=0))</formula>
    </cfRule>
  </conditionalFormatting>
  <conditionalFormatting sqref="BQ51">
    <cfRule type="expression" dxfId="1239" priority="289">
      <formula>(AND($BJ51=$BX$5,LEN($BQ51)=0))</formula>
    </cfRule>
  </conditionalFormatting>
  <conditionalFormatting sqref="BR51">
    <cfRule type="expression" dxfId="1238" priority="288">
      <formula>(AND($BJ51=$BX$5,LEN($BR51)=0))</formula>
    </cfRule>
  </conditionalFormatting>
  <conditionalFormatting sqref="BR70">
    <cfRule type="expression" dxfId="1237" priority="287">
      <formula>(AND($BJ70=$BX$5,LEN($BQ70)=0))</formula>
    </cfRule>
  </conditionalFormatting>
  <conditionalFormatting sqref="BR70:BS70">
    <cfRule type="expression" dxfId="1236" priority="286">
      <formula>(AND($BJ70=$BX$5,LEN($BR70)=0))</formula>
    </cfRule>
  </conditionalFormatting>
  <conditionalFormatting sqref="AI88:BE88 AE88:AG88">
    <cfRule type="cellIs" dxfId="1235" priority="281" operator="equal">
      <formula>"XXX"</formula>
    </cfRule>
  </conditionalFormatting>
  <conditionalFormatting sqref="B98:BE98">
    <cfRule type="cellIs" dxfId="1234" priority="276" operator="equal">
      <formula>"XXX"</formula>
    </cfRule>
  </conditionalFormatting>
  <conditionalFormatting sqref="B97:L97 AV97:AZ97">
    <cfRule type="cellIs" dxfId="1233" priority="275" operator="equal">
      <formula>"XXX"</formula>
    </cfRule>
  </conditionalFormatting>
  <conditionalFormatting sqref="B96:L96">
    <cfRule type="cellIs" dxfId="1232" priority="274" operator="equal">
      <formula>"XXX"</formula>
    </cfRule>
  </conditionalFormatting>
  <conditionalFormatting sqref="M97:AU97">
    <cfRule type="cellIs" dxfId="1231" priority="264" operator="equal">
      <formula>"XXX"</formula>
    </cfRule>
  </conditionalFormatting>
  <conditionalFormatting sqref="M96:AF96 AQ96:AU96">
    <cfRule type="cellIs" dxfId="1230" priority="263" operator="equal">
      <formula>"XXX"</formula>
    </cfRule>
  </conditionalFormatting>
  <conditionalFormatting sqref="AG96:AP96">
    <cfRule type="cellIs" dxfId="1229" priority="262" operator="equal">
      <formula>"XXX"</formula>
    </cfRule>
  </conditionalFormatting>
  <conditionalFormatting sqref="B102:L102">
    <cfRule type="cellIs" dxfId="1228" priority="260" operator="equal">
      <formula>"XXX"</formula>
    </cfRule>
  </conditionalFormatting>
  <conditionalFormatting sqref="B103:L103 AV103:AZ103">
    <cfRule type="cellIs" dxfId="1227" priority="261" operator="equal">
      <formula>"XXX"</formula>
    </cfRule>
  </conditionalFormatting>
  <conditionalFormatting sqref="BA102:BE102">
    <cfRule type="cellIs" dxfId="1226" priority="255" operator="equal">
      <formula>"XXX"</formula>
    </cfRule>
  </conditionalFormatting>
  <conditionalFormatting sqref="BA102">
    <cfRule type="cellIs" dxfId="1225" priority="256" operator="equal">
      <formula>"Paused"</formula>
    </cfRule>
    <cfRule type="cellIs" dxfId="1224" priority="257" operator="equal">
      <formula>"Open Issue"</formula>
    </cfRule>
    <cfRule type="cellIs" dxfId="1223" priority="258" operator="equal">
      <formula>"On Track"</formula>
    </cfRule>
  </conditionalFormatting>
  <conditionalFormatting sqref="AV102:AZ102">
    <cfRule type="cellIs" dxfId="1222" priority="254" operator="equal">
      <formula>"XXX"</formula>
    </cfRule>
  </conditionalFormatting>
  <conditionalFormatting sqref="M103:AU103">
    <cfRule type="cellIs" dxfId="1221" priority="248" operator="equal">
      <formula>"XXX"</formula>
    </cfRule>
  </conditionalFormatting>
  <conditionalFormatting sqref="M102:AU102">
    <cfRule type="cellIs" dxfId="1220" priority="247" operator="equal">
      <formula>"XXX"</formula>
    </cfRule>
  </conditionalFormatting>
  <conditionalFormatting sqref="BA103:BE103">
    <cfRule type="cellIs" dxfId="1219" priority="235" operator="equal">
      <formula>"XXX"</formula>
    </cfRule>
  </conditionalFormatting>
  <conditionalFormatting sqref="BA97:BE97">
    <cfRule type="cellIs" dxfId="1218" priority="234" operator="equal">
      <formula>"XXX"</formula>
    </cfRule>
  </conditionalFormatting>
  <conditionalFormatting sqref="BQ33">
    <cfRule type="expression" dxfId="1217" priority="230">
      <formula>(AND($BJ33=$BX$5,LEN($BQ33)=0))</formula>
    </cfRule>
  </conditionalFormatting>
  <conditionalFormatting sqref="BR33">
    <cfRule type="expression" dxfId="1216" priority="229">
      <formula>(AND($BJ33=$BX$5,LEN($BR33)=0))</formula>
    </cfRule>
  </conditionalFormatting>
  <conditionalFormatting sqref="BQ52">
    <cfRule type="expression" dxfId="1215" priority="228">
      <formula>(AND($BJ52=$BX$5,LEN($BQ52)=0))</formula>
    </cfRule>
  </conditionalFormatting>
  <conditionalFormatting sqref="BR52">
    <cfRule type="expression" dxfId="1214" priority="227">
      <formula>(AND($BJ52=$BX$5,LEN($BR52)=0))</formula>
    </cfRule>
  </conditionalFormatting>
  <conditionalFormatting sqref="BR71">
    <cfRule type="expression" dxfId="1213" priority="226">
      <formula>(AND($BJ71=$BX$5,LEN($BQ71)=0))</formula>
    </cfRule>
  </conditionalFormatting>
  <conditionalFormatting sqref="BR71:BS71">
    <cfRule type="expression" dxfId="1212" priority="225">
      <formula>(AND($BJ71=$BX$5,LEN($BR71)=0))</formula>
    </cfRule>
  </conditionalFormatting>
  <conditionalFormatting sqref="BR90">
    <cfRule type="expression" dxfId="1211" priority="224">
      <formula>(AND($BJ90=$BX$5,LEN($BQ90)=0))</formula>
    </cfRule>
  </conditionalFormatting>
  <conditionalFormatting sqref="BR90:BS90">
    <cfRule type="expression" dxfId="1210" priority="223">
      <formula>(AND($BJ90=$BX$5,LEN($BR90)=0))</formula>
    </cfRule>
  </conditionalFormatting>
  <conditionalFormatting sqref="BQ34">
    <cfRule type="expression" dxfId="1209" priority="194">
      <formula>(AND($BJ34=$BX$5,LEN($BQ34)=0))</formula>
    </cfRule>
  </conditionalFormatting>
  <conditionalFormatting sqref="BR34">
    <cfRule type="expression" dxfId="1208" priority="193">
      <formula>(AND($BJ34=$BX$5,LEN($BR34)=0))</formula>
    </cfRule>
  </conditionalFormatting>
  <conditionalFormatting sqref="BQ53">
    <cfRule type="expression" dxfId="1207" priority="192">
      <formula>(AND($BJ53=$BX$5,LEN($BQ53)=0))</formula>
    </cfRule>
  </conditionalFormatting>
  <conditionalFormatting sqref="BR53">
    <cfRule type="expression" dxfId="1206" priority="191">
      <formula>(AND($BJ53=$BX$5,LEN($BR53)=0))</formula>
    </cfRule>
  </conditionalFormatting>
  <conditionalFormatting sqref="BR72">
    <cfRule type="expression" dxfId="1205" priority="190">
      <formula>(AND($BJ72=$BX$5,LEN($BQ72)=0))</formula>
    </cfRule>
  </conditionalFormatting>
  <conditionalFormatting sqref="BR72:BS72">
    <cfRule type="expression" dxfId="1204" priority="189">
      <formula>(AND($BJ72=$BX$5,LEN($BR72)=0))</formula>
    </cfRule>
  </conditionalFormatting>
  <conditionalFormatting sqref="BQ35">
    <cfRule type="expression" dxfId="1203" priority="160">
      <formula>(AND($BJ35=$BX$5,LEN($BQ35)=0))</formula>
    </cfRule>
  </conditionalFormatting>
  <conditionalFormatting sqref="BR35">
    <cfRule type="expression" dxfId="1202" priority="159">
      <formula>(AND($BJ35=$BX$5,LEN($BR35)=0))</formula>
    </cfRule>
  </conditionalFormatting>
  <conditionalFormatting sqref="BQ54">
    <cfRule type="expression" dxfId="1201" priority="158">
      <formula>(AND($BJ54=$BX$5,LEN($BQ54)=0))</formula>
    </cfRule>
  </conditionalFormatting>
  <conditionalFormatting sqref="BR54">
    <cfRule type="expression" dxfId="1200" priority="157">
      <formula>(AND($BJ54=$BX$5,LEN($BR54)=0))</formula>
    </cfRule>
  </conditionalFormatting>
  <conditionalFormatting sqref="BR73">
    <cfRule type="expression" dxfId="1199" priority="156">
      <formula>(AND($BJ73=$BX$5,LEN($BQ73)=0))</formula>
    </cfRule>
  </conditionalFormatting>
  <conditionalFormatting sqref="BR73:BS73">
    <cfRule type="expression" dxfId="1198" priority="155">
      <formula>(AND($BJ73=$BX$5,LEN($BR73)=0))</formula>
    </cfRule>
  </conditionalFormatting>
  <conditionalFormatting sqref="BQ36">
    <cfRule type="expression" dxfId="1197" priority="130">
      <formula>(AND($BJ36=$BX$5,LEN($BQ36)=0))</formula>
    </cfRule>
  </conditionalFormatting>
  <conditionalFormatting sqref="BR36">
    <cfRule type="expression" dxfId="1196" priority="129">
      <formula>(AND($BJ36=$BX$5,LEN($BR36)=0))</formula>
    </cfRule>
  </conditionalFormatting>
  <conditionalFormatting sqref="BQ55">
    <cfRule type="expression" dxfId="1195" priority="128">
      <formula>(AND($BJ55=$BX$5,LEN($BQ55)=0))</formula>
    </cfRule>
  </conditionalFormatting>
  <conditionalFormatting sqref="BR55">
    <cfRule type="expression" dxfId="1194" priority="127">
      <formula>(AND($BJ55=$BX$5,LEN($BR55)=0))</formula>
    </cfRule>
  </conditionalFormatting>
  <conditionalFormatting sqref="BR74">
    <cfRule type="expression" dxfId="1193" priority="126">
      <formula>(AND($BJ74=$BX$5,LEN($BQ74)=0))</formula>
    </cfRule>
  </conditionalFormatting>
  <conditionalFormatting sqref="BR74:BS74">
    <cfRule type="expression" dxfId="1192" priority="125">
      <formula>(AND($BJ74=$BX$5,LEN($BR74)=0))</formula>
    </cfRule>
  </conditionalFormatting>
  <conditionalFormatting sqref="AD66:AD69">
    <cfRule type="cellIs" dxfId="1191" priority="94" operator="equal">
      <formula>"XXX"</formula>
    </cfRule>
  </conditionalFormatting>
  <conditionalFormatting sqref="B66">
    <cfRule type="cellIs" dxfId="1190" priority="93" operator="equal">
      <formula>"XXX"</formula>
    </cfRule>
  </conditionalFormatting>
  <conditionalFormatting sqref="AE66">
    <cfRule type="cellIs" dxfId="1189" priority="92" operator="equal">
      <formula>"XXX"</formula>
    </cfRule>
  </conditionalFormatting>
  <conditionalFormatting sqref="AC89:AD92">
    <cfRule type="cellIs" dxfId="1188" priority="91" operator="equal">
      <formula>"XXX"</formula>
    </cfRule>
  </conditionalFormatting>
  <conditionalFormatting sqref="B89">
    <cfRule type="cellIs" dxfId="1187" priority="90" operator="equal">
      <formula>"XXX"</formula>
    </cfRule>
  </conditionalFormatting>
  <conditionalFormatting sqref="AE89">
    <cfRule type="cellIs" dxfId="1186" priority="89" operator="equal">
      <formula>"XXX"</formula>
    </cfRule>
  </conditionalFormatting>
  <conditionalFormatting sqref="BA95:BE95">
    <cfRule type="cellIs" dxfId="1185" priority="76" operator="equal">
      <formula>"XXX"</formula>
    </cfRule>
  </conditionalFormatting>
  <conditionalFormatting sqref="AV96">
    <cfRule type="cellIs" dxfId="1184" priority="75" operator="equal">
      <formula>"XXX"</formula>
    </cfRule>
  </conditionalFormatting>
  <conditionalFormatting sqref="AV96">
    <cfRule type="cellIs" dxfId="1183" priority="74" operator="equal">
      <formula>"XXX"</formula>
    </cfRule>
  </conditionalFormatting>
  <conditionalFormatting sqref="BA96">
    <cfRule type="cellIs" dxfId="1182" priority="71" operator="equal">
      <formula>"Paused"</formula>
    </cfRule>
    <cfRule type="cellIs" dxfId="1181" priority="72" operator="equal">
      <formula>"Caution"</formula>
    </cfRule>
    <cfRule type="cellIs" dxfId="1180" priority="73" operator="equal">
      <formula>"On Track"</formula>
    </cfRule>
  </conditionalFormatting>
  <conditionalFormatting sqref="BA96:BE96">
    <cfRule type="cellIs" dxfId="1179" priority="70" operator="equal">
      <formula>"""Cancelled"""</formula>
    </cfRule>
  </conditionalFormatting>
  <conditionalFormatting sqref="AV95">
    <cfRule type="cellIs" dxfId="1178" priority="68" operator="equal">
      <formula>"XXX"</formula>
    </cfRule>
  </conditionalFormatting>
  <conditionalFormatting sqref="AV95">
    <cfRule type="cellIs" dxfId="1177" priority="69" operator="equal">
      <formula>"XXX"</formula>
    </cfRule>
  </conditionalFormatting>
  <conditionalFormatting sqref="BA100:BE100">
    <cfRule type="cellIs" dxfId="1176" priority="67" operator="equal">
      <formula>"XXX"</formula>
    </cfRule>
  </conditionalFormatting>
  <conditionalFormatting sqref="BA101">
    <cfRule type="cellIs" dxfId="1175" priority="62" operator="equal">
      <formula>"Paused"</formula>
    </cfRule>
    <cfRule type="cellIs" dxfId="1174" priority="63" operator="equal">
      <formula>"Caution"</formula>
    </cfRule>
    <cfRule type="cellIs" dxfId="1173" priority="64" operator="equal">
      <formula>"On Track"</formula>
    </cfRule>
  </conditionalFormatting>
  <conditionalFormatting sqref="BA101:BE101">
    <cfRule type="cellIs" dxfId="1172" priority="61" operator="equal">
      <formula>"""Cancelled"""</formula>
    </cfRule>
  </conditionalFormatting>
  <conditionalFormatting sqref="AV100">
    <cfRule type="cellIs" dxfId="1171" priority="59" operator="equal">
      <formula>"XXX"</formula>
    </cfRule>
  </conditionalFormatting>
  <conditionalFormatting sqref="AV100">
    <cfRule type="cellIs" dxfId="1170" priority="60" operator="equal">
      <formula>"XXX"</formula>
    </cfRule>
  </conditionalFormatting>
  <conditionalFormatting sqref="X24:AB24">
    <cfRule type="cellIs" dxfId="1169" priority="58" operator="equal">
      <formula>"XXX"</formula>
    </cfRule>
  </conditionalFormatting>
  <conditionalFormatting sqref="Z16:Z21">
    <cfRule type="cellIs" dxfId="1168" priority="57" operator="equal">
      <formula>"XXX"</formula>
    </cfRule>
  </conditionalFormatting>
  <conditionalFormatting sqref="Y16:Y18 Y21">
    <cfRule type="cellIs" dxfId="1167" priority="56" operator="equal">
      <formula>"XXX"</formula>
    </cfRule>
  </conditionalFormatting>
  <conditionalFormatting sqref="Y19:Y20">
    <cfRule type="cellIs" dxfId="1166" priority="55" operator="equal">
      <formula>"XXX"</formula>
    </cfRule>
  </conditionalFormatting>
  <conditionalFormatting sqref="Y22:Y23">
    <cfRule type="cellIs" dxfId="1165" priority="54" operator="equal">
      <formula>"XXX"</formula>
    </cfRule>
  </conditionalFormatting>
  <conditionalFormatting sqref="BQ37">
    <cfRule type="expression" dxfId="1164" priority="53">
      <formula>(AND($BJ37=$BX$5,LEN($BQ37)=0))</formula>
    </cfRule>
  </conditionalFormatting>
  <conditionalFormatting sqref="BR37">
    <cfRule type="expression" dxfId="1163" priority="52">
      <formula>(AND($BJ37=$BX$5,LEN($BR37)=0))</formula>
    </cfRule>
  </conditionalFormatting>
  <conditionalFormatting sqref="BQ56">
    <cfRule type="expression" dxfId="1162" priority="51">
      <formula>(AND($BJ56=$BX$5,LEN($BQ56)=0))</formula>
    </cfRule>
  </conditionalFormatting>
  <conditionalFormatting sqref="BR56">
    <cfRule type="expression" dxfId="1161" priority="50">
      <formula>(AND($BJ56=$BX$5,LEN($BR56)=0))</formula>
    </cfRule>
  </conditionalFormatting>
  <conditionalFormatting sqref="BR75">
    <cfRule type="expression" dxfId="1160" priority="49">
      <formula>(AND($BJ75=$BX$5,LEN($BQ75)=0))</formula>
    </cfRule>
  </conditionalFormatting>
  <conditionalFormatting sqref="BR75:BS75">
    <cfRule type="expression" dxfId="1159" priority="48">
      <formula>(AND($BJ75=$BX$5,LEN($BR75)=0))</formula>
    </cfRule>
  </conditionalFormatting>
  <conditionalFormatting sqref="AC8:AD11">
    <cfRule type="cellIs" dxfId="1158" priority="33" operator="equal">
      <formula>"XXX"</formula>
    </cfRule>
  </conditionalFormatting>
  <conditionalFormatting sqref="AE8">
    <cfRule type="cellIs" dxfId="1157" priority="32" operator="equal">
      <formula>"XXX"</formula>
    </cfRule>
  </conditionalFormatting>
  <conditionalFormatting sqref="AC29:AD32">
    <cfRule type="cellIs" dxfId="1156" priority="30" operator="equal">
      <formula>"XXX"</formula>
    </cfRule>
  </conditionalFormatting>
  <conditionalFormatting sqref="AE29">
    <cfRule type="cellIs" dxfId="1155" priority="29" operator="equal">
      <formula>"XXX"</formula>
    </cfRule>
  </conditionalFormatting>
  <conditionalFormatting sqref="B109:L109">
    <cfRule type="cellIs" dxfId="1154" priority="21" operator="equal">
      <formula>"XXX"</formula>
    </cfRule>
  </conditionalFormatting>
  <conditionalFormatting sqref="B107:L107">
    <cfRule type="cellIs" dxfId="1153" priority="19" operator="equal">
      <formula>"XXX"</formula>
    </cfRule>
  </conditionalFormatting>
  <conditionalFormatting sqref="B108:L108">
    <cfRule type="cellIs" dxfId="1152" priority="20" operator="equal">
      <formula>"XXX"</formula>
    </cfRule>
  </conditionalFormatting>
  <conditionalFormatting sqref="M109:AF109">
    <cfRule type="cellIs" dxfId="1151" priority="18" operator="equal">
      <formula>"XXX"</formula>
    </cfRule>
  </conditionalFormatting>
  <conditionalFormatting sqref="M108:AF108">
    <cfRule type="cellIs" dxfId="1150" priority="17" operator="equal">
      <formula>"XXX"</formula>
    </cfRule>
  </conditionalFormatting>
  <conditionalFormatting sqref="M107:AF107">
    <cfRule type="cellIs" dxfId="1149" priority="16" operator="equal">
      <formula>"XXX"</formula>
    </cfRule>
  </conditionalFormatting>
  <conditionalFormatting sqref="AG107:BE107">
    <cfRule type="cellIs" dxfId="1148" priority="13" operator="equal">
      <formula>"XXX"</formula>
    </cfRule>
  </conditionalFormatting>
  <conditionalFormatting sqref="AG109:BE109">
    <cfRule type="cellIs" dxfId="1147" priority="15" operator="equal">
      <formula>"XXX"</formula>
    </cfRule>
  </conditionalFormatting>
  <conditionalFormatting sqref="AG108:BE108">
    <cfRule type="cellIs" dxfId="1146" priority="14" operator="equal">
      <formula>"XXX"</formula>
    </cfRule>
  </conditionalFormatting>
  <conditionalFormatting sqref="K35:AB35 Q36:AB37">
    <cfRule type="cellIs" dxfId="1145" priority="12" operator="equal">
      <formula>"XXX"</formula>
    </cfRule>
  </conditionalFormatting>
  <conditionalFormatting sqref="K36:P37">
    <cfRule type="cellIs" dxfId="1144" priority="11" operator="equal">
      <formula>"XXX"</formula>
    </cfRule>
  </conditionalFormatting>
  <conditionalFormatting sqref="B8">
    <cfRule type="cellIs" dxfId="1143" priority="10" operator="equal">
      <formula>"XXX"</formula>
    </cfRule>
  </conditionalFormatting>
  <conditionalFormatting sqref="B29">
    <cfRule type="cellIs" dxfId="1142" priority="9" operator="equal">
      <formula>"XXX"</formula>
    </cfRule>
  </conditionalFormatting>
  <conditionalFormatting sqref="AC40:BE40">
    <cfRule type="cellIs" dxfId="1141" priority="8" operator="equal">
      <formula>"XXX"</formula>
    </cfRule>
  </conditionalFormatting>
  <conditionalFormatting sqref="AC38:BE38">
    <cfRule type="cellIs" dxfId="1140" priority="7" operator="equal">
      <formula>"XXX"</formula>
    </cfRule>
  </conditionalFormatting>
  <conditionalFormatting sqref="AC39:BE39">
    <cfRule type="cellIs" dxfId="1139" priority="6" operator="equal">
      <formula>"XXX"</formula>
    </cfRule>
  </conditionalFormatting>
  <conditionalFormatting sqref="AC41:BE41">
    <cfRule type="cellIs" dxfId="1138" priority="5" operator="equal">
      <formula>"XXX"</formula>
    </cfRule>
  </conditionalFormatting>
  <conditionalFormatting sqref="AV101">
    <cfRule type="cellIs" dxfId="1137" priority="4" operator="equal">
      <formula>"XXX"</formula>
    </cfRule>
  </conditionalFormatting>
  <conditionalFormatting sqref="AV101">
    <cfRule type="cellIs" dxfId="1136" priority="3" operator="equal">
      <formula>"XXX"</formula>
    </cfRule>
  </conditionalFormatting>
  <conditionalFormatting sqref="B101:L101">
    <cfRule type="cellIs" dxfId="1135" priority="2" operator="equal">
      <formula>"XXX"</formula>
    </cfRule>
  </conditionalFormatting>
  <conditionalFormatting sqref="M101:AU101">
    <cfRule type="cellIs" dxfId="1134" priority="1" operator="equal">
      <formula>"XXX"</formula>
    </cfRule>
  </conditionalFormatting>
  <dataValidations count="7">
    <dataValidation type="list" allowBlank="1" showInputMessage="1" showErrorMessage="1" sqref="BA97:BE98" xr:uid="{D0860503-73E7-48BA-98C8-2BCAEB92F60F}">
      <formula1>"PMBOK Initiate, PMBOK Plan, PMBOK Execute, PMBOK Monitor/ Control, PMBOK Close, DMAIC Define, DMAIC Measure, DMAIC Analyze, DMAIC Improve, DMAIC Control, Placeholder, Paused"</formula1>
    </dataValidation>
    <dataValidation type="list" allowBlank="1" showInputMessage="1" showErrorMessage="1" sqref="AV97:AZ98 AV102:AZ103" xr:uid="{00000000-0002-0000-1B00-000001000000}">
      <formula1>"Grow the Top Line, Capture Cost &amp; Productivity, Lead Our People, Deliver Financial Commitments"</formula1>
    </dataValidation>
    <dataValidation type="list" allowBlank="1" showInputMessage="1" showErrorMessage="1" sqref="BA102:BE103" xr:uid="{00000000-0002-0000-1B00-000002000000}">
      <formula1>"Not Started, On Track, Open Issue, Paused, Completed"</formula1>
    </dataValidation>
    <dataValidation type="whole" operator="greaterThanOrEqual" allowBlank="1" showInputMessage="1" showErrorMessage="1" errorTitle="Positive Value" error="This value must be entered as a positive number." sqref="BJ6:BV6 BJ10:BV10 BJ8:BV8 BJ12:BV14" xr:uid="{00000000-0002-0000-1B00-000003000000}">
      <formula1>0</formula1>
    </dataValidation>
    <dataValidation type="whole" operator="lessThan" allowBlank="1" showInputMessage="1" showErrorMessage="1" errorTitle="Negative Value" error="This value must be entered as a negative number." sqref="BJ7:BV7 BJ9:BV9 BJ11:BV11" xr:uid="{00000000-0002-0000-1B00-000004000000}">
      <formula1>0</formula1>
    </dataValidation>
    <dataValidation type="list" allowBlank="1" showInputMessage="1" showErrorMessage="1" sqref="BA96:BE96 BA101:BE101" xr:uid="{E15E615D-DD94-4D5D-B1E7-FBBF8E3A7213}">
      <formula1>"Not Started, On Track, Caution, Paused, Cancelled"</formula1>
    </dataValidation>
    <dataValidation type="list" allowBlank="1" showInputMessage="1" showErrorMessage="1" sqref="AV96:AZ96 AV101:AZ101" xr:uid="{19209E3A-5BD1-4D0F-8B1F-1EEDA55DB764}">
      <formula1>"Project, Process Improvement, RPA, Dashboarding"</formula1>
    </dataValidation>
  </dataValidations>
  <printOptions horizontalCentered="1"/>
  <pageMargins left="0.25" right="0.25" top="0.25" bottom="0.5" header="0.3" footer="0.3"/>
  <pageSetup scale="66" orientation="landscape" r:id="rId1"/>
  <headerFooter>
    <oddFooter>&amp;R&amp;F | &amp;A
Printed &amp;D @ &amp;T
&amp;P</oddFooter>
  </headerFooter>
  <rowBreaks count="2" manualBreakCount="2">
    <brk id="44" max="57" man="1"/>
    <brk id="93"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1372" operator="equal" id="{983DAD6E-4AC1-461D-866A-8FF18BF6CEE2}">
            <xm:f>AR!$A$1</xm:f>
            <x14:dxf>
              <font>
                <color theme="0"/>
              </font>
            </x14:dxf>
          </x14:cfRule>
          <xm:sqref>J24:J26</xm:sqref>
        </x14:conditionalFormatting>
      </x14:conditionalFormatting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4">
    <tabColor rgb="FF00B050"/>
  </sheetPr>
  <dimension ref="A1:CC133"/>
  <sheetViews>
    <sheetView showGridLines="0" topLeftCell="A29" zoomScaleNormal="100" workbookViewId="0">
      <selection activeCell="B38" sqref="B38:AB43"/>
    </sheetView>
  </sheetViews>
  <sheetFormatPr defaultColWidth="3.28515625" defaultRowHeight="14.65" customHeight="1"/>
  <cols>
    <col min="1" max="59" width="3.28515625" style="6"/>
    <col min="60" max="60" width="4.28515625" style="6" bestFit="1" customWidth="1"/>
    <col min="61" max="61" width="14.85546875" customWidth="1"/>
    <col min="62" max="73" width="12.7109375" customWidth="1"/>
    <col min="74" max="74" width="9.42578125" bestFit="1" customWidth="1"/>
    <col min="75" max="75" width="15.7109375" style="6" bestFit="1" customWidth="1"/>
    <col min="76" max="76" width="8.5703125" style="6" bestFit="1" customWidth="1"/>
    <col min="77" max="77" width="11.28515625" style="6" bestFit="1" customWidth="1"/>
    <col min="78" max="78" width="8.28515625" style="6" bestFit="1" customWidth="1"/>
    <col min="79" max="79" width="10.42578125" style="6" bestFit="1" customWidth="1"/>
    <col min="80" max="80" width="4.7109375" style="6" bestFit="1" customWidth="1"/>
    <col min="81" max="81" width="5.28515625" style="6" bestFit="1" customWidth="1"/>
    <col min="82" max="16384" width="3.28515625" style="6"/>
  </cols>
  <sheetData>
    <row r="1" spans="2:76" ht="14.65" customHeight="1">
      <c r="BI1" s="1525" t="s">
        <v>581</v>
      </c>
      <c r="BJ1" s="1525"/>
      <c r="BK1" s="1525"/>
      <c r="BL1" s="1525"/>
      <c r="BM1" s="1525"/>
      <c r="BN1" s="1525"/>
      <c r="BO1" s="1525"/>
      <c r="BP1" s="1525"/>
      <c r="BQ1" s="1525"/>
      <c r="BR1" s="1525"/>
      <c r="BS1" s="1525"/>
      <c r="BT1" s="1525"/>
      <c r="BU1" s="1525"/>
    </row>
    <row r="2" spans="2:76" ht="14.65" customHeight="1">
      <c r="B2" s="1494" t="s">
        <v>109</v>
      </c>
      <c r="C2" s="1494"/>
      <c r="D2" s="1494"/>
      <c r="E2" s="1494"/>
      <c r="F2" s="1494"/>
      <c r="G2" s="1494"/>
      <c r="H2" s="1494"/>
      <c r="I2" s="1494"/>
      <c r="J2" s="1494"/>
      <c r="K2" s="1494"/>
      <c r="L2" s="1494"/>
      <c r="M2" s="1494"/>
      <c r="N2" s="1494"/>
      <c r="O2" s="1494"/>
      <c r="P2" s="1494"/>
      <c r="Q2" s="1494"/>
      <c r="R2" s="1494"/>
      <c r="S2" s="1494"/>
      <c r="T2" s="1494"/>
      <c r="U2" s="1494"/>
      <c r="V2" s="1494"/>
      <c r="W2" s="1494"/>
      <c r="X2" s="1494"/>
      <c r="Y2" s="1494"/>
      <c r="Z2" s="1494"/>
      <c r="AA2" s="1494"/>
      <c r="AB2" s="1494"/>
      <c r="AC2" s="1494"/>
      <c r="AD2" s="1494"/>
      <c r="AE2" s="1494"/>
      <c r="AF2" s="1494"/>
      <c r="AG2" s="1494"/>
      <c r="AH2" s="1494"/>
      <c r="AI2" s="1494"/>
      <c r="AJ2" s="1494"/>
      <c r="AK2" s="1494"/>
      <c r="AL2" s="1494"/>
      <c r="AM2" s="1494"/>
      <c r="AN2" s="1494"/>
      <c r="AO2" s="1494"/>
      <c r="AP2" s="1494"/>
      <c r="AQ2" s="1494"/>
      <c r="AR2" s="1494"/>
      <c r="AS2" s="1494"/>
      <c r="AT2" s="1494"/>
      <c r="AU2" s="1494"/>
      <c r="AV2" s="1494"/>
      <c r="AW2" s="1494"/>
      <c r="AX2" s="1494"/>
      <c r="AY2" s="1494"/>
      <c r="AZ2" s="1494"/>
      <c r="BA2" s="1494"/>
      <c r="BB2" s="1494"/>
      <c r="BC2" s="1494"/>
      <c r="BD2" s="1494"/>
      <c r="BE2" s="1494"/>
      <c r="BI2" s="68" t="s">
        <v>169</v>
      </c>
    </row>
    <row r="3" spans="2:76" ht="14.65" customHeight="1">
      <c r="B3" s="1495" t="s">
        <v>110</v>
      </c>
      <c r="C3" s="1495"/>
      <c r="D3" s="1495"/>
      <c r="E3" s="1495"/>
      <c r="F3" s="1495"/>
      <c r="G3" s="1495"/>
      <c r="H3" s="1495"/>
      <c r="I3" s="1495"/>
      <c r="J3" s="1495"/>
      <c r="K3" s="1495"/>
      <c r="L3" s="1495"/>
      <c r="M3" s="1495"/>
      <c r="N3" s="1495"/>
      <c r="O3" s="1495"/>
      <c r="P3" s="1495"/>
      <c r="Q3" s="1495"/>
      <c r="R3" s="1495"/>
      <c r="S3" s="1495"/>
      <c r="T3" s="1495"/>
      <c r="U3" s="1495"/>
      <c r="V3" s="1495"/>
      <c r="W3" s="1495"/>
      <c r="X3" s="1495"/>
      <c r="Y3" s="1495"/>
      <c r="Z3" s="1495"/>
      <c r="AA3" s="1495"/>
      <c r="AB3" s="1495"/>
      <c r="AC3" s="1495"/>
      <c r="AD3" s="1495"/>
      <c r="AE3" s="1495"/>
      <c r="AF3" s="1495"/>
      <c r="AG3" s="1495"/>
      <c r="AH3" s="1495"/>
      <c r="AI3" s="1495"/>
      <c r="AJ3" s="1495"/>
      <c r="AK3" s="1495"/>
      <c r="AL3" s="1495"/>
      <c r="AM3" s="1495"/>
      <c r="AN3" s="1495"/>
      <c r="AO3" s="1495"/>
      <c r="AP3" s="1495"/>
      <c r="AQ3" s="1495"/>
      <c r="AR3" s="1495"/>
      <c r="AS3" s="1495"/>
      <c r="AT3" s="1495"/>
      <c r="AU3" s="1495"/>
      <c r="AV3" s="1495"/>
      <c r="AW3" s="1495"/>
      <c r="AX3" s="1495"/>
      <c r="AY3" s="1495"/>
      <c r="AZ3" s="1495"/>
      <c r="BA3" s="1495"/>
      <c r="BB3" s="1495"/>
      <c r="BC3" s="1495"/>
      <c r="BD3" s="1495"/>
      <c r="BE3" s="1495"/>
      <c r="BI3" s="4" t="s">
        <v>261</v>
      </c>
    </row>
    <row r="4" spans="2:76" ht="14.65" customHeight="1">
      <c r="B4" s="40"/>
      <c r="C4" s="8"/>
      <c r="D4" s="9"/>
      <c r="E4" s="10"/>
      <c r="F4" s="10"/>
      <c r="G4" s="10"/>
      <c r="H4" s="1496"/>
      <c r="I4" s="1496"/>
      <c r="J4" s="1496"/>
      <c r="K4" s="41"/>
      <c r="L4" s="41"/>
      <c r="M4" s="41"/>
      <c r="N4" s="41"/>
      <c r="O4" s="41"/>
      <c r="P4" s="57"/>
      <c r="Q4" s="39"/>
      <c r="BI4" s="74" t="s">
        <v>23</v>
      </c>
      <c r="BJ4" s="74" t="s">
        <v>504</v>
      </c>
      <c r="BK4" s="74" t="s">
        <v>505</v>
      </c>
      <c r="BL4" s="74" t="s">
        <v>506</v>
      </c>
      <c r="BM4" s="74" t="s">
        <v>507</v>
      </c>
      <c r="BN4" s="74" t="s">
        <v>508</v>
      </c>
      <c r="BO4" s="74" t="s">
        <v>509</v>
      </c>
      <c r="BP4" s="74" t="s">
        <v>510</v>
      </c>
      <c r="BQ4" s="74" t="s">
        <v>511</v>
      </c>
      <c r="BR4" s="74" t="s">
        <v>512</v>
      </c>
      <c r="BS4" s="74" t="s">
        <v>513</v>
      </c>
      <c r="BT4" s="74" t="s">
        <v>514</v>
      </c>
      <c r="BU4" s="74" t="s">
        <v>515</v>
      </c>
      <c r="BV4" s="74" t="s">
        <v>516</v>
      </c>
      <c r="BX4" s="151" t="s">
        <v>262</v>
      </c>
    </row>
    <row r="5" spans="2:76" ht="14.65" customHeight="1">
      <c r="B5" s="1497" t="str">
        <f>MyHRT1!BI1</f>
        <v>MyHR Tier 1</v>
      </c>
      <c r="C5" s="1498"/>
      <c r="D5" s="1498"/>
      <c r="E5" s="1498"/>
      <c r="F5" s="1498"/>
      <c r="G5" s="1498"/>
      <c r="H5" s="1498"/>
      <c r="I5" s="1498"/>
      <c r="J5" s="1498"/>
      <c r="K5" s="1498"/>
      <c r="L5" s="1498"/>
      <c r="M5" s="1498"/>
      <c r="N5" s="1498"/>
      <c r="O5" s="1498"/>
      <c r="P5" s="1498"/>
      <c r="Q5" s="1498"/>
      <c r="R5" s="1498"/>
      <c r="S5" s="1498"/>
      <c r="T5" s="1498"/>
      <c r="U5" s="1498"/>
      <c r="V5" s="1498"/>
      <c r="W5" s="1498"/>
      <c r="X5" s="1498"/>
      <c r="Y5" s="1498"/>
      <c r="Z5" s="1498"/>
      <c r="AA5" s="1498"/>
      <c r="AB5" s="1498"/>
      <c r="AC5" s="1498"/>
      <c r="AD5" s="1498"/>
      <c r="AE5" s="1498"/>
      <c r="AF5" s="1498"/>
      <c r="AG5" s="1498"/>
      <c r="AH5" s="1498"/>
      <c r="AI5" s="1498"/>
      <c r="AJ5" s="1498"/>
      <c r="AK5" s="1498"/>
      <c r="AL5" s="1498"/>
      <c r="AM5" s="1498"/>
      <c r="AN5" s="1498"/>
      <c r="AO5" s="1498"/>
      <c r="AP5" s="1498"/>
      <c r="AQ5" s="1498"/>
      <c r="AR5" s="1498"/>
      <c r="AS5" s="715"/>
      <c r="AT5" s="715"/>
      <c r="AU5" s="715"/>
      <c r="AV5" s="715"/>
      <c r="AW5" s="715"/>
      <c r="AX5" s="715"/>
      <c r="AY5" s="715"/>
      <c r="AZ5" s="715"/>
      <c r="BA5" s="715"/>
      <c r="BB5" s="715"/>
      <c r="BC5" s="715"/>
      <c r="BD5" s="715"/>
      <c r="BE5" s="716" t="str">
        <f>Cover!M34</f>
        <v>OCT FY-24</v>
      </c>
      <c r="BI5" s="74" t="s">
        <v>37</v>
      </c>
      <c r="BJ5" s="74">
        <v>-1</v>
      </c>
      <c r="BK5" s="74">
        <v>1</v>
      </c>
      <c r="BL5" s="74">
        <v>2</v>
      </c>
      <c r="BM5" s="74">
        <v>3</v>
      </c>
      <c r="BN5" s="74">
        <v>4</v>
      </c>
      <c r="BO5" s="74">
        <v>5</v>
      </c>
      <c r="BP5" s="74">
        <v>6</v>
      </c>
      <c r="BQ5" s="74">
        <v>7</v>
      </c>
      <c r="BR5" s="74">
        <v>8</v>
      </c>
      <c r="BS5" s="74">
        <v>9</v>
      </c>
      <c r="BT5" s="74">
        <v>10</v>
      </c>
      <c r="BU5" s="74">
        <v>11</v>
      </c>
      <c r="BV5" s="74">
        <v>12</v>
      </c>
      <c r="BX5" s="68">
        <f>Cover!M36</f>
        <v>1</v>
      </c>
    </row>
    <row r="6" spans="2:76" ht="14.65" customHeight="1">
      <c r="BI6" s="68" t="s">
        <v>263</v>
      </c>
      <c r="BJ6" s="717">
        <v>7</v>
      </c>
      <c r="BK6" s="718">
        <f>BJ14-BJ13</f>
        <v>8</v>
      </c>
      <c r="BL6" s="718">
        <f>BK14-BK13</f>
        <v>20</v>
      </c>
      <c r="BM6" s="718">
        <f>BL14-BL13</f>
        <v>20</v>
      </c>
      <c r="BN6" s="718">
        <f>BM14-BM13</f>
        <v>20</v>
      </c>
      <c r="BO6" s="718">
        <f>BN14-BN13</f>
        <v>20</v>
      </c>
      <c r="BP6" s="718">
        <f t="shared" ref="BP6:BV6" si="0">BO14-BO13</f>
        <v>20</v>
      </c>
      <c r="BQ6" s="718">
        <f t="shared" si="0"/>
        <v>20</v>
      </c>
      <c r="BR6" s="718">
        <f t="shared" si="0"/>
        <v>20</v>
      </c>
      <c r="BS6" s="718">
        <f t="shared" si="0"/>
        <v>20</v>
      </c>
      <c r="BT6" s="718">
        <f t="shared" si="0"/>
        <v>20</v>
      </c>
      <c r="BU6" s="718">
        <f t="shared" si="0"/>
        <v>20</v>
      </c>
      <c r="BV6" s="718">
        <f t="shared" si="0"/>
        <v>20</v>
      </c>
      <c r="BX6" s="68"/>
    </row>
    <row r="7" spans="2:76" ht="14.65" customHeight="1">
      <c r="B7" s="45" t="s">
        <v>582</v>
      </c>
      <c r="C7" s="11"/>
      <c r="D7" s="11"/>
      <c r="E7" s="11"/>
      <c r="F7" s="11"/>
      <c r="G7" s="11"/>
      <c r="H7" s="11"/>
      <c r="I7" s="11"/>
      <c r="J7" s="11"/>
      <c r="K7" s="11"/>
      <c r="L7" s="11"/>
      <c r="M7" s="11"/>
      <c r="N7" s="11"/>
      <c r="O7" s="11"/>
      <c r="P7" s="11"/>
      <c r="Q7" s="11"/>
      <c r="R7" s="11"/>
      <c r="S7" s="11"/>
      <c r="T7" s="11"/>
      <c r="U7" s="11"/>
      <c r="V7" s="11"/>
      <c r="W7" s="11"/>
      <c r="X7" s="11"/>
      <c r="Y7" s="11"/>
      <c r="Z7" s="11"/>
      <c r="AA7" s="11"/>
      <c r="AB7" s="11"/>
      <c r="AE7" s="45" t="s">
        <v>265</v>
      </c>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I7" s="68" t="s">
        <v>266</v>
      </c>
      <c r="BJ7" s="717"/>
      <c r="BK7" s="717"/>
      <c r="BL7" s="717"/>
      <c r="BM7" s="717"/>
      <c r="BN7" s="717"/>
      <c r="BO7" s="717"/>
      <c r="BP7" s="717"/>
      <c r="BQ7" s="717"/>
      <c r="BR7" s="717"/>
      <c r="BS7" s="717"/>
      <c r="BT7" s="717"/>
      <c r="BU7" s="717"/>
      <c r="BV7" s="717"/>
      <c r="BX7" s="68"/>
    </row>
    <row r="8" spans="2:76" ht="14.65" customHeight="1">
      <c r="B8" s="1510" t="s">
        <v>583</v>
      </c>
      <c r="C8" s="1511"/>
      <c r="D8" s="1511"/>
      <c r="E8" s="1511"/>
      <c r="F8" s="1511"/>
      <c r="G8" s="1511"/>
      <c r="H8" s="1511"/>
      <c r="I8" s="1511"/>
      <c r="J8" s="1511"/>
      <c r="K8" s="1511"/>
      <c r="L8" s="1511"/>
      <c r="M8" s="1511"/>
      <c r="N8" s="1511"/>
      <c r="O8" s="1511"/>
      <c r="P8" s="1511"/>
      <c r="Q8" s="1511"/>
      <c r="R8" s="1511"/>
      <c r="S8" s="1511"/>
      <c r="T8" s="1511"/>
      <c r="U8" s="1511"/>
      <c r="V8" s="1511"/>
      <c r="W8" s="1511"/>
      <c r="X8" s="1511"/>
      <c r="Y8" s="1511"/>
      <c r="Z8" s="1511"/>
      <c r="AA8" s="1511"/>
      <c r="AB8" s="1512"/>
      <c r="AE8" s="1510"/>
      <c r="AF8" s="1511"/>
      <c r="AG8" s="1511"/>
      <c r="AH8" s="1511"/>
      <c r="AI8" s="1511"/>
      <c r="AJ8" s="1511"/>
      <c r="AK8" s="1511"/>
      <c r="AL8" s="1511"/>
      <c r="AM8" s="1511"/>
      <c r="AN8" s="1511"/>
      <c r="AO8" s="1511"/>
      <c r="AP8" s="1511"/>
      <c r="AQ8" s="1511"/>
      <c r="AR8" s="1511"/>
      <c r="AS8" s="1511"/>
      <c r="AT8" s="1511"/>
      <c r="AU8" s="1511"/>
      <c r="AV8" s="1511"/>
      <c r="AW8" s="1511"/>
      <c r="AX8" s="1511"/>
      <c r="AY8" s="1511"/>
      <c r="AZ8" s="1511"/>
      <c r="BA8" s="1511"/>
      <c r="BB8" s="1511"/>
      <c r="BC8" s="1511"/>
      <c r="BD8" s="1511"/>
      <c r="BE8" s="1512"/>
      <c r="BI8" s="68" t="s">
        <v>269</v>
      </c>
      <c r="BJ8" s="717">
        <v>1</v>
      </c>
      <c r="BK8" s="717"/>
      <c r="BL8" s="717"/>
      <c r="BM8" s="717"/>
      <c r="BN8" s="717"/>
      <c r="BO8" s="717"/>
      <c r="BP8" s="717"/>
      <c r="BQ8" s="717"/>
      <c r="BR8" s="717"/>
      <c r="BS8" s="717"/>
      <c r="BT8" s="717"/>
      <c r="BU8" s="717"/>
      <c r="BV8" s="717"/>
      <c r="BX8" s="68"/>
    </row>
    <row r="9" spans="2:76" ht="14.65" customHeight="1">
      <c r="B9" s="1513"/>
      <c r="C9" s="1514"/>
      <c r="D9" s="1514"/>
      <c r="E9" s="1514"/>
      <c r="F9" s="1514"/>
      <c r="G9" s="1514"/>
      <c r="H9" s="1514"/>
      <c r="I9" s="1514"/>
      <c r="J9" s="1514"/>
      <c r="K9" s="1514"/>
      <c r="L9" s="1514"/>
      <c r="M9" s="1514"/>
      <c r="N9" s="1514"/>
      <c r="O9" s="1514"/>
      <c r="P9" s="1514"/>
      <c r="Q9" s="1514"/>
      <c r="R9" s="1514"/>
      <c r="S9" s="1514"/>
      <c r="T9" s="1514"/>
      <c r="U9" s="1514"/>
      <c r="V9" s="1514"/>
      <c r="W9" s="1514"/>
      <c r="X9" s="1514"/>
      <c r="Y9" s="1514"/>
      <c r="Z9" s="1514"/>
      <c r="AA9" s="1514"/>
      <c r="AB9" s="1515"/>
      <c r="AE9" s="1513"/>
      <c r="AF9" s="1514"/>
      <c r="AG9" s="1514"/>
      <c r="AH9" s="1514"/>
      <c r="AI9" s="1514"/>
      <c r="AJ9" s="1514"/>
      <c r="AK9" s="1514"/>
      <c r="AL9" s="1514"/>
      <c r="AM9" s="1514"/>
      <c r="AN9" s="1514"/>
      <c r="AO9" s="1514"/>
      <c r="AP9" s="1514"/>
      <c r="AQ9" s="1514"/>
      <c r="AR9" s="1514"/>
      <c r="AS9" s="1514"/>
      <c r="AT9" s="1514"/>
      <c r="AU9" s="1514"/>
      <c r="AV9" s="1514"/>
      <c r="AW9" s="1514"/>
      <c r="AX9" s="1514"/>
      <c r="AY9" s="1514"/>
      <c r="AZ9" s="1514"/>
      <c r="BA9" s="1514"/>
      <c r="BB9" s="1514"/>
      <c r="BC9" s="1514"/>
      <c r="BD9" s="1514"/>
      <c r="BE9" s="1515"/>
      <c r="BI9" s="68" t="s">
        <v>270</v>
      </c>
      <c r="BJ9" s="717"/>
      <c r="BK9" s="717"/>
      <c r="BL9" s="717"/>
      <c r="BM9" s="717"/>
      <c r="BN9" s="717"/>
      <c r="BO9" s="717"/>
      <c r="BP9" s="717"/>
      <c r="BQ9" s="717"/>
      <c r="BR9" s="717"/>
      <c r="BS9" s="717"/>
      <c r="BT9" s="717"/>
      <c r="BU9" s="717"/>
      <c r="BV9" s="717"/>
      <c r="BX9" s="68"/>
    </row>
    <row r="10" spans="2:76" ht="14.65" customHeight="1">
      <c r="B10" s="1513"/>
      <c r="C10" s="1514"/>
      <c r="D10" s="1514"/>
      <c r="E10" s="1514"/>
      <c r="F10" s="1514"/>
      <c r="G10" s="1514"/>
      <c r="H10" s="1514"/>
      <c r="I10" s="1514"/>
      <c r="J10" s="1514"/>
      <c r="K10" s="1514"/>
      <c r="L10" s="1514"/>
      <c r="M10" s="1514"/>
      <c r="N10" s="1514"/>
      <c r="O10" s="1514"/>
      <c r="P10" s="1514"/>
      <c r="Q10" s="1514"/>
      <c r="R10" s="1514"/>
      <c r="S10" s="1514"/>
      <c r="T10" s="1514"/>
      <c r="U10" s="1514"/>
      <c r="V10" s="1514"/>
      <c r="W10" s="1514"/>
      <c r="X10" s="1514"/>
      <c r="Y10" s="1514"/>
      <c r="Z10" s="1514"/>
      <c r="AA10" s="1514"/>
      <c r="AB10" s="1515"/>
      <c r="AE10" s="1513"/>
      <c r="AF10" s="1514"/>
      <c r="AG10" s="1514"/>
      <c r="AH10" s="1514"/>
      <c r="AI10" s="1514"/>
      <c r="AJ10" s="1514"/>
      <c r="AK10" s="1514"/>
      <c r="AL10" s="1514"/>
      <c r="AM10" s="1514"/>
      <c r="AN10" s="1514"/>
      <c r="AO10" s="1514"/>
      <c r="AP10" s="1514"/>
      <c r="AQ10" s="1514"/>
      <c r="AR10" s="1514"/>
      <c r="AS10" s="1514"/>
      <c r="AT10" s="1514"/>
      <c r="AU10" s="1514"/>
      <c r="AV10" s="1514"/>
      <c r="AW10" s="1514"/>
      <c r="AX10" s="1514"/>
      <c r="AY10" s="1514"/>
      <c r="AZ10" s="1514"/>
      <c r="BA10" s="1514"/>
      <c r="BB10" s="1514"/>
      <c r="BC10" s="1514"/>
      <c r="BD10" s="1514"/>
      <c r="BE10" s="1515"/>
      <c r="BI10" s="68" t="s">
        <v>271</v>
      </c>
      <c r="BJ10" s="717"/>
      <c r="BK10" s="717">
        <v>12</v>
      </c>
      <c r="BL10" s="717"/>
      <c r="BM10" s="717"/>
      <c r="BN10" s="717"/>
      <c r="BO10" s="717"/>
      <c r="BP10" s="717"/>
      <c r="BQ10" s="717"/>
      <c r="BR10" s="717"/>
      <c r="BS10" s="717"/>
      <c r="BT10" s="717"/>
      <c r="BU10" s="717"/>
      <c r="BV10" s="717"/>
      <c r="BX10" s="68"/>
    </row>
    <row r="11" spans="2:76" ht="14.65" customHeight="1">
      <c r="B11" s="1516"/>
      <c r="C11" s="1517"/>
      <c r="D11" s="1517"/>
      <c r="E11" s="1517"/>
      <c r="F11" s="1517"/>
      <c r="G11" s="1517"/>
      <c r="H11" s="1517"/>
      <c r="I11" s="1517"/>
      <c r="J11" s="1517"/>
      <c r="K11" s="1517"/>
      <c r="L11" s="1517"/>
      <c r="M11" s="1517"/>
      <c r="N11" s="1517"/>
      <c r="O11" s="1517"/>
      <c r="P11" s="1517"/>
      <c r="Q11" s="1517"/>
      <c r="R11" s="1517"/>
      <c r="S11" s="1517"/>
      <c r="T11" s="1517"/>
      <c r="U11" s="1517"/>
      <c r="V11" s="1517"/>
      <c r="W11" s="1517"/>
      <c r="X11" s="1517"/>
      <c r="Y11" s="1517"/>
      <c r="Z11" s="1517"/>
      <c r="AA11" s="1517"/>
      <c r="AB11" s="1518"/>
      <c r="AE11" s="1516"/>
      <c r="AF11" s="1517"/>
      <c r="AG11" s="1517"/>
      <c r="AH11" s="1517"/>
      <c r="AI11" s="1517"/>
      <c r="AJ11" s="1517"/>
      <c r="AK11" s="1517"/>
      <c r="AL11" s="1517"/>
      <c r="AM11" s="1517"/>
      <c r="AN11" s="1517"/>
      <c r="AO11" s="1517"/>
      <c r="AP11" s="1517"/>
      <c r="AQ11" s="1517"/>
      <c r="AR11" s="1517"/>
      <c r="AS11" s="1517"/>
      <c r="AT11" s="1517"/>
      <c r="AU11" s="1517"/>
      <c r="AV11" s="1517"/>
      <c r="AW11" s="1517"/>
      <c r="AX11" s="1517"/>
      <c r="AY11" s="1517"/>
      <c r="AZ11" s="1517"/>
      <c r="BA11" s="1517"/>
      <c r="BB11" s="1517"/>
      <c r="BC11" s="1517"/>
      <c r="BD11" s="1517"/>
      <c r="BE11" s="1518"/>
      <c r="BI11" s="68" t="s">
        <v>272</v>
      </c>
      <c r="BJ11" s="717"/>
      <c r="BK11" s="717"/>
      <c r="BL11" s="717"/>
      <c r="BM11" s="717"/>
      <c r="BN11" s="717"/>
      <c r="BO11" s="717"/>
      <c r="BP11" s="717"/>
      <c r="BQ11" s="717"/>
      <c r="BR11" s="717"/>
      <c r="BS11" s="717"/>
      <c r="BT11" s="717"/>
      <c r="BU11" s="717"/>
      <c r="BV11" s="717"/>
      <c r="BX11" s="68"/>
    </row>
    <row r="12" spans="2:76" ht="14.65" customHeight="1">
      <c r="BI12" s="68" t="s">
        <v>273</v>
      </c>
      <c r="BJ12" s="717"/>
      <c r="BK12" s="717"/>
      <c r="BL12" s="717"/>
      <c r="BM12" s="717"/>
      <c r="BN12" s="717"/>
      <c r="BO12" s="717"/>
      <c r="BP12" s="717"/>
      <c r="BQ12" s="717"/>
      <c r="BR12" s="717"/>
      <c r="BS12" s="717"/>
      <c r="BT12" s="717"/>
      <c r="BU12" s="717"/>
      <c r="BV12" s="717"/>
      <c r="BX12" s="68"/>
    </row>
    <row r="13" spans="2:76" ht="14.65" customHeight="1">
      <c r="B13" s="45" t="s">
        <v>14</v>
      </c>
      <c r="C13" s="46"/>
      <c r="D13" s="46"/>
      <c r="E13" s="46"/>
      <c r="F13" s="11"/>
      <c r="G13" s="11"/>
      <c r="H13" s="11"/>
      <c r="I13" s="11"/>
      <c r="J13" s="11"/>
      <c r="K13" s="11"/>
      <c r="L13" s="11"/>
      <c r="M13" s="11"/>
      <c r="N13" s="11"/>
      <c r="O13" s="11"/>
      <c r="P13" s="11"/>
      <c r="Q13" s="11"/>
      <c r="R13" s="11"/>
      <c r="S13" s="11"/>
      <c r="T13" s="11"/>
      <c r="U13" s="11"/>
      <c r="V13" s="11"/>
      <c r="W13" s="11"/>
      <c r="X13" s="11"/>
      <c r="Y13" s="11"/>
      <c r="Z13" s="11"/>
      <c r="AA13" s="11"/>
      <c r="AB13" s="11"/>
      <c r="AE13" s="60" t="s">
        <v>59</v>
      </c>
      <c r="AF13" s="61"/>
      <c r="AG13" s="62"/>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I13" s="68" t="s">
        <v>274</v>
      </c>
      <c r="BJ13" s="717"/>
      <c r="BK13" s="717"/>
      <c r="BL13" s="717"/>
      <c r="BM13" s="717"/>
      <c r="BN13" s="717"/>
      <c r="BO13" s="717"/>
      <c r="BP13" s="717"/>
      <c r="BQ13" s="717"/>
      <c r="BR13" s="717"/>
      <c r="BS13" s="717"/>
      <c r="BT13" s="717"/>
      <c r="BU13" s="717"/>
      <c r="BV13" s="717"/>
      <c r="BX13" s="68"/>
    </row>
    <row r="14" spans="2:76" ht="14.65" customHeight="1">
      <c r="B14" s="64"/>
      <c r="C14" s="64"/>
      <c r="D14" s="64"/>
      <c r="E14" s="64"/>
      <c r="F14" s="64"/>
      <c r="G14" s="64"/>
      <c r="H14" s="64"/>
      <c r="I14" s="67"/>
      <c r="J14" s="67"/>
      <c r="K14" s="88"/>
      <c r="L14" s="64"/>
      <c r="M14" s="64"/>
      <c r="N14" s="65"/>
      <c r="O14" s="64"/>
      <c r="P14" s="64"/>
      <c r="Q14" s="64"/>
      <c r="R14" s="64"/>
      <c r="S14" s="64"/>
      <c r="T14" s="64"/>
      <c r="U14" s="64"/>
      <c r="V14" s="1529"/>
      <c r="W14" s="1529"/>
      <c r="X14" s="64"/>
      <c r="Y14" s="64"/>
      <c r="Z14" s="64"/>
      <c r="AA14" s="64"/>
      <c r="AB14" s="64"/>
      <c r="AE14" s="89"/>
      <c r="AF14" s="64"/>
      <c r="AG14" s="64"/>
      <c r="AH14" s="64"/>
      <c r="AI14" s="64"/>
      <c r="AJ14" s="64"/>
      <c r="AK14" s="90"/>
      <c r="AL14" s="90"/>
      <c r="AM14" s="90"/>
      <c r="AN14" s="90"/>
      <c r="AO14" s="91"/>
      <c r="AP14" s="92"/>
      <c r="AQ14" s="92"/>
      <c r="AR14" s="92"/>
      <c r="AS14" s="90"/>
      <c r="AT14" s="91"/>
      <c r="AU14" s="90"/>
      <c r="AV14" s="90"/>
      <c r="AW14" s="90"/>
      <c r="AX14" s="64"/>
      <c r="AY14" s="64"/>
      <c r="AZ14" s="64"/>
      <c r="BA14" s="64"/>
      <c r="BB14" s="64"/>
      <c r="BC14" s="64"/>
      <c r="BD14" s="64"/>
      <c r="BE14" s="64"/>
      <c r="BI14" s="68" t="s">
        <v>41</v>
      </c>
      <c r="BJ14" s="143">
        <f t="shared" ref="BJ14:BO14" si="1">SUM(BJ6:BJ13)</f>
        <v>8</v>
      </c>
      <c r="BK14" s="143">
        <f t="shared" si="1"/>
        <v>20</v>
      </c>
      <c r="BL14" s="143">
        <f t="shared" si="1"/>
        <v>20</v>
      </c>
      <c r="BM14" s="143">
        <f t="shared" si="1"/>
        <v>20</v>
      </c>
      <c r="BN14" s="143">
        <f t="shared" si="1"/>
        <v>20</v>
      </c>
      <c r="BO14" s="143">
        <f t="shared" si="1"/>
        <v>20</v>
      </c>
      <c r="BP14" s="143">
        <f t="shared" ref="BP14:BV14" si="2">SUM(BP6:BP13)</f>
        <v>20</v>
      </c>
      <c r="BQ14" s="143">
        <f t="shared" si="2"/>
        <v>20</v>
      </c>
      <c r="BR14" s="143">
        <f t="shared" si="2"/>
        <v>20</v>
      </c>
      <c r="BS14" s="143">
        <f t="shared" si="2"/>
        <v>20</v>
      </c>
      <c r="BT14" s="143">
        <f t="shared" si="2"/>
        <v>20</v>
      </c>
      <c r="BU14" s="143">
        <f t="shared" si="2"/>
        <v>20</v>
      </c>
      <c r="BV14" s="143">
        <f t="shared" si="2"/>
        <v>20</v>
      </c>
      <c r="BX14" s="68"/>
    </row>
    <row r="15" spans="2:76" ht="14.65" customHeight="1">
      <c r="B15" s="1519" t="s">
        <v>185</v>
      </c>
      <c r="C15" s="1519"/>
      <c r="D15" s="1519"/>
      <c r="E15" s="1519"/>
      <c r="F15" s="1519"/>
      <c r="G15" s="1519"/>
      <c r="I15" s="1519" t="s">
        <v>275</v>
      </c>
      <c r="J15" s="1531"/>
      <c r="K15" s="1531"/>
      <c r="L15" s="1531"/>
      <c r="M15" s="1531"/>
      <c r="N15" s="1531"/>
      <c r="O15" s="1531"/>
      <c r="P15" s="1531"/>
      <c r="Q15" s="1531"/>
      <c r="R15" s="1531"/>
      <c r="S15" s="1531"/>
      <c r="T15" s="1531"/>
      <c r="U15" s="1531"/>
      <c r="V15" s="1531"/>
      <c r="W15" s="172"/>
      <c r="X15" s="1532" t="s">
        <v>360</v>
      </c>
      <c r="Y15" s="1136"/>
      <c r="Z15" s="1136"/>
      <c r="AA15" s="1136"/>
      <c r="AB15" s="1136"/>
      <c r="AE15" s="1519" t="s">
        <v>277</v>
      </c>
      <c r="AF15" s="1519"/>
      <c r="AG15" s="1519"/>
      <c r="AH15" s="1519"/>
      <c r="AI15" s="1519"/>
      <c r="AJ15" s="1519"/>
      <c r="AK15" s="68"/>
      <c r="AL15" s="1129" t="s">
        <v>62</v>
      </c>
      <c r="AM15" s="1129"/>
      <c r="AN15" s="1129"/>
      <c r="AO15" s="1129"/>
      <c r="AP15" s="1519" t="str">
        <f>CONCATENATE(Cover!M36,"+",12-Cover!M36)</f>
        <v>1+11</v>
      </c>
      <c r="AQ15" s="1519"/>
      <c r="AR15" s="68"/>
      <c r="AS15" s="1519" t="s">
        <v>278</v>
      </c>
      <c r="AT15" s="1519"/>
      <c r="AU15" s="1519"/>
      <c r="AV15" s="1519"/>
      <c r="AW15" s="1519"/>
      <c r="AX15" s="1519"/>
      <c r="AY15" s="68"/>
      <c r="AZ15" s="1519" t="s">
        <v>279</v>
      </c>
      <c r="BA15" s="1519"/>
      <c r="BB15" s="1519"/>
      <c r="BC15" s="1519"/>
      <c r="BD15" s="1519"/>
      <c r="BE15" s="1519"/>
      <c r="BV15" s="6"/>
    </row>
    <row r="16" spans="2:76" ht="14.65" customHeight="1">
      <c r="E16" s="78" t="s">
        <v>263</v>
      </c>
      <c r="G16" s="77">
        <f>SUMIF(BJ4:BV4,BE5,BJ6:BV6)</f>
        <v>0</v>
      </c>
      <c r="I16" s="1522" t="s">
        <v>280</v>
      </c>
      <c r="J16" s="1523"/>
      <c r="K16" s="1523"/>
      <c r="L16" s="1524"/>
      <c r="N16" s="1522" t="s">
        <v>281</v>
      </c>
      <c r="O16" s="1523"/>
      <c r="P16" s="1523"/>
      <c r="Q16" s="1524"/>
      <c r="S16" s="1522" t="s">
        <v>282</v>
      </c>
      <c r="T16" s="1523"/>
      <c r="U16" s="1523"/>
      <c r="V16" s="1524"/>
      <c r="X16" s="183" t="s">
        <v>361</v>
      </c>
      <c r="Y16" s="235"/>
      <c r="Z16" s="236"/>
      <c r="AA16" s="183"/>
      <c r="AB16" s="183"/>
      <c r="AE16" s="68"/>
      <c r="AF16" s="68"/>
      <c r="AG16" s="68"/>
      <c r="AI16" s="68"/>
      <c r="AJ16" s="103" t="s">
        <v>61</v>
      </c>
      <c r="AK16" s="68"/>
      <c r="AL16" s="68"/>
      <c r="AM16" s="68"/>
      <c r="AN16" s="68"/>
      <c r="AO16" s="68"/>
      <c r="AP16" s="68"/>
      <c r="AQ16" s="68"/>
      <c r="AR16" s="68"/>
      <c r="AS16" s="68"/>
      <c r="AT16" s="68"/>
      <c r="AU16" s="68"/>
      <c r="AV16" s="68"/>
      <c r="AW16" s="68"/>
      <c r="AX16" s="68"/>
      <c r="AY16" s="68"/>
      <c r="AZ16" s="68"/>
      <c r="BA16" s="68"/>
      <c r="BB16" s="68"/>
      <c r="BC16" s="68"/>
      <c r="BD16" s="68"/>
      <c r="BE16" s="68"/>
      <c r="BI16" s="68" t="s">
        <v>284</v>
      </c>
      <c r="BJ16" s="719"/>
      <c r="BK16" s="719">
        <v>0</v>
      </c>
      <c r="BL16" s="719"/>
      <c r="BM16" s="719"/>
      <c r="BN16" s="719"/>
      <c r="BO16" s="719"/>
      <c r="BP16" s="719"/>
      <c r="BQ16" s="719"/>
      <c r="BR16" s="719"/>
      <c r="BS16" s="719"/>
      <c r="BT16" s="719"/>
      <c r="BU16" s="719"/>
      <c r="BV16" s="719"/>
    </row>
    <row r="17" spans="2:81" ht="14.65" customHeight="1">
      <c r="E17" s="78" t="s">
        <v>285</v>
      </c>
      <c r="G17" s="77">
        <f>V20</f>
        <v>0</v>
      </c>
      <c r="I17" s="79"/>
      <c r="J17" s="78" t="s">
        <v>266</v>
      </c>
      <c r="K17" s="77">
        <f>SUMIF(BJ4:BV4,BE5,BJ7:BV7)</f>
        <v>0</v>
      </c>
      <c r="L17" s="80"/>
      <c r="N17" s="79"/>
      <c r="O17" s="78" t="s">
        <v>286</v>
      </c>
      <c r="P17" s="77">
        <f>SUMIF(BJ4:BV4,BE5,BJ9:BV9)</f>
        <v>0</v>
      </c>
      <c r="Q17" s="80"/>
      <c r="S17" s="79"/>
      <c r="T17" s="78" t="s">
        <v>286</v>
      </c>
      <c r="U17" s="77">
        <f>SUMIF(BJ4:BV4,BE5,BJ11:BV11)</f>
        <v>0</v>
      </c>
      <c r="V17" s="85"/>
      <c r="X17" s="183" t="s">
        <v>287</v>
      </c>
      <c r="Y17" s="235"/>
      <c r="Z17" s="236"/>
      <c r="AA17" s="183">
        <f>SUMIF(Admin4!$B$5:$B$298,"10200",Admin4!$C$5:$C$298)</f>
        <v>0</v>
      </c>
      <c r="AB17" s="183"/>
      <c r="AE17" s="68"/>
      <c r="AF17" s="68"/>
      <c r="AG17" s="68"/>
      <c r="AI17" s="68"/>
      <c r="AJ17" s="97" t="s">
        <v>63</v>
      </c>
      <c r="AK17" s="68"/>
      <c r="AL17" s="68"/>
      <c r="AM17" s="68"/>
      <c r="AN17" s="1530" t="e">
        <f>SUMIF(Admin3!C8:O8,AR!BE5,Admin3!#REF!)</f>
        <v>#REF!</v>
      </c>
      <c r="AO17" s="1530"/>
      <c r="AP17" s="1530"/>
      <c r="AQ17" s="1530"/>
      <c r="AR17" s="68"/>
      <c r="AS17" s="68"/>
      <c r="AT17" s="68"/>
      <c r="AU17" s="1530" t="e">
        <f>SUMIF(Admin3!C8:O8,AR!BE5,Admin3!#REF!)-SUMIF(Admin3!C8:O8,AR!BE5,Admin3!#REF!)</f>
        <v>#REF!</v>
      </c>
      <c r="AV17" s="1530"/>
      <c r="AW17" s="1530"/>
      <c r="AX17" s="1530"/>
      <c r="AY17" s="68"/>
      <c r="AZ17" s="68"/>
      <c r="BA17" s="68"/>
      <c r="BB17" s="1530" t="e">
        <f>SUMIF(Admin3!C8:O8,AR!BE5,Admin3!#REF!)-SUMIF(Admin3!C8:O8,AR!BE5,Admin3!#REF!)</f>
        <v>#REF!</v>
      </c>
      <c r="BC17" s="1530"/>
      <c r="BD17" s="1530"/>
      <c r="BE17" s="1530"/>
    </row>
    <row r="18" spans="2:81" ht="14.65" customHeight="1">
      <c r="E18" s="78" t="s">
        <v>240</v>
      </c>
      <c r="G18" s="77">
        <f>SUMIF(BJ4:BV4,BE5,BJ13:BV13)</f>
        <v>0</v>
      </c>
      <c r="I18" s="81"/>
      <c r="J18" s="82" t="s">
        <v>288</v>
      </c>
      <c r="K18" s="83">
        <f>SUMIF(BJ4:BV4,BE5,BJ8:BV8)</f>
        <v>0</v>
      </c>
      <c r="L18" s="84"/>
      <c r="N18" s="81"/>
      <c r="O18" s="82" t="s">
        <v>289</v>
      </c>
      <c r="P18" s="83">
        <f>SUMIF(BJ4:BV4,BE5,BJ10:BV10)</f>
        <v>0</v>
      </c>
      <c r="Q18" s="84"/>
      <c r="S18" s="81"/>
      <c r="T18" s="82" t="s">
        <v>289</v>
      </c>
      <c r="U18" s="83">
        <f>SUMIF(BJ4:BV4,BE5,BJ12:BV12)</f>
        <v>0</v>
      </c>
      <c r="V18" s="86"/>
      <c r="X18" s="183"/>
      <c r="Y18" s="235"/>
      <c r="Z18" s="236"/>
      <c r="AA18" s="183"/>
      <c r="AB18" s="183"/>
      <c r="AE18" s="68"/>
      <c r="AF18" s="68"/>
      <c r="AG18" s="68"/>
      <c r="AH18" s="68"/>
      <c r="AI18" s="94"/>
      <c r="AJ18" s="97" t="s">
        <v>64</v>
      </c>
      <c r="AK18" s="68"/>
      <c r="AL18" s="68"/>
      <c r="AM18" s="68"/>
      <c r="AN18" s="1530" t="e">
        <f>SUMIF(Admin3!C8:O8,AR!BE5,Admin3!#REF!)</f>
        <v>#REF!</v>
      </c>
      <c r="AO18" s="1530"/>
      <c r="AP18" s="1530"/>
      <c r="AQ18" s="1530"/>
      <c r="AR18" s="68"/>
      <c r="AS18" s="68"/>
      <c r="AT18" s="68"/>
      <c r="AU18" s="1530" t="e">
        <f>SUMIF(Admin3!C8:O8,AR!BE5,Admin3!#REF!)-SUMIF(Admin3!C8:O8,AR!BE5,Admin3!#REF!)</f>
        <v>#REF!</v>
      </c>
      <c r="AV18" s="1530"/>
      <c r="AW18" s="1530"/>
      <c r="AX18" s="1530"/>
      <c r="AY18" s="68"/>
      <c r="AZ18" s="68"/>
      <c r="BA18" s="68"/>
      <c r="BB18" s="1530" t="e">
        <f>SUMIF(Admin3!C8:O8,AR!BE5,Admin3!#REF!)-SUMIF(Admin3!C8:O8,AR!BE5,Admin3!#REF!)</f>
        <v>#REF!</v>
      </c>
      <c r="BC18" s="1530"/>
      <c r="BD18" s="1530"/>
      <c r="BE18" s="1530"/>
    </row>
    <row r="19" spans="2:81" ht="14.65" customHeight="1" thickBot="1">
      <c r="E19" s="78" t="s">
        <v>41</v>
      </c>
      <c r="G19" s="93">
        <f>SUM(G16:G18)</f>
        <v>0</v>
      </c>
      <c r="I19" s="94"/>
      <c r="J19" s="94"/>
      <c r="K19" s="94"/>
      <c r="L19" s="94"/>
      <c r="M19" s="94"/>
      <c r="N19" s="94"/>
      <c r="O19" s="94"/>
      <c r="P19" s="94"/>
      <c r="Q19" s="94"/>
      <c r="R19" s="94"/>
      <c r="S19" s="94"/>
      <c r="T19" s="94"/>
      <c r="U19" s="94"/>
      <c r="V19" s="94"/>
      <c r="W19" s="94"/>
      <c r="X19" s="183" t="s">
        <v>290</v>
      </c>
      <c r="Y19" s="235"/>
      <c r="Z19" s="236"/>
      <c r="AA19" s="237"/>
      <c r="AB19" s="237"/>
      <c r="AE19" s="68"/>
      <c r="AF19" s="68"/>
      <c r="AG19" s="68"/>
      <c r="AH19" s="68"/>
      <c r="AJ19" s="97" t="s">
        <v>65</v>
      </c>
      <c r="AN19" s="1533" t="e">
        <f>SUM(AN17:AQ18)</f>
        <v>#REF!</v>
      </c>
      <c r="AO19" s="1533"/>
      <c r="AP19" s="1533"/>
      <c r="AQ19" s="1533"/>
      <c r="AU19" s="1533" t="e">
        <f>SUM(AU17:AX18)</f>
        <v>#REF!</v>
      </c>
      <c r="AV19" s="1533"/>
      <c r="AW19" s="1533"/>
      <c r="AX19" s="1533"/>
      <c r="BB19" s="1533" t="e">
        <f>SUM(BB17:BE18)</f>
        <v>#REF!</v>
      </c>
      <c r="BC19" s="1533"/>
      <c r="BD19" s="1533"/>
      <c r="BE19" s="1533"/>
    </row>
    <row r="20" spans="2:81" ht="14.65" customHeight="1" thickTop="1" thickBot="1">
      <c r="B20" s="44"/>
      <c r="C20" s="44"/>
      <c r="D20" s="44"/>
      <c r="E20" s="78" t="s">
        <v>39</v>
      </c>
      <c r="G20" s="77">
        <f t="array" ref="G20">SUM(IF((Admin2!$C$6:$O$6=BE5)*(Admin2!$Q$9:$Q$83=BI2)*(Admin2!$B$9:$B$83="Annual Plan"),Admin2!$C$9:$O$83,0))</f>
        <v>0</v>
      </c>
      <c r="H20" s="94"/>
      <c r="I20" s="6" t="s">
        <v>284</v>
      </c>
      <c r="K20" s="94"/>
      <c r="L20" s="94"/>
      <c r="M20" s="144">
        <f>SUMIF(BJ4:BV4,BE5,BJ16:BV16)</f>
        <v>0</v>
      </c>
      <c r="T20" s="145" t="s">
        <v>291</v>
      </c>
      <c r="U20" s="94"/>
      <c r="V20" s="144">
        <f>SUM(K17:K18,P17:P18,U17:U18)</f>
        <v>0</v>
      </c>
      <c r="X20" s="183" t="s">
        <v>287</v>
      </c>
      <c r="Y20" s="235"/>
      <c r="Z20" s="236"/>
      <c r="AA20" s="183">
        <f>SUMIF(Admin4!$B$5:$B$298,"10200",Admin4!$D$5:$D$298)</f>
        <v>0</v>
      </c>
      <c r="AB20" s="183"/>
      <c r="AC20" s="94"/>
      <c r="AD20" s="94"/>
      <c r="AE20" s="65"/>
      <c r="AF20" s="65"/>
      <c r="AG20" s="65"/>
      <c r="AH20" s="65"/>
      <c r="BI20" s="4" t="s">
        <v>245</v>
      </c>
      <c r="BJ20" s="3"/>
      <c r="BK20" s="3"/>
      <c r="BL20" s="3"/>
      <c r="BM20" s="3"/>
      <c r="BN20" s="3"/>
      <c r="BO20" s="3"/>
      <c r="BP20" s="3"/>
      <c r="BQ20" s="3"/>
      <c r="BR20" s="3"/>
      <c r="BS20" s="3"/>
      <c r="BT20" s="3"/>
      <c r="BU20" s="3"/>
    </row>
    <row r="21" spans="2:81" ht="14.65" customHeight="1" thickTop="1" thickBot="1">
      <c r="B21" s="44"/>
      <c r="C21" s="44"/>
      <c r="D21" s="44"/>
      <c r="E21" s="78" t="s">
        <v>40</v>
      </c>
      <c r="F21" s="94"/>
      <c r="G21" s="93">
        <f t="array" ref="G21">SUM(IF((Admin2!$C$6:$O$6=BE5)*(Admin2!$Q$9:$Q$83=BI2)*(Admin2!$B$9:$B$83="Forecast"),Admin2!$C$9:$O$83,0))</f>
        <v>0</v>
      </c>
      <c r="H21" s="94"/>
      <c r="X21" s="183"/>
      <c r="Y21" s="235"/>
      <c r="Z21" s="236"/>
      <c r="AA21" s="183"/>
      <c r="AB21" s="183"/>
      <c r="AE21" s="64"/>
      <c r="AF21" s="64"/>
      <c r="AG21" s="64"/>
      <c r="AH21" s="64"/>
      <c r="AI21" s="68"/>
      <c r="AJ21" s="103" t="s">
        <v>23</v>
      </c>
      <c r="AK21" s="68"/>
      <c r="AL21" s="68"/>
      <c r="AM21" s="68"/>
      <c r="AN21" s="68"/>
      <c r="AO21" s="68"/>
      <c r="AP21" s="68"/>
      <c r="AQ21" s="68"/>
      <c r="AR21" s="68"/>
      <c r="AS21" s="68"/>
      <c r="AT21" s="68"/>
      <c r="AU21" s="68"/>
      <c r="AV21" s="68"/>
      <c r="AW21" s="68"/>
      <c r="AX21" s="68"/>
      <c r="AY21" s="68"/>
      <c r="AZ21" s="68"/>
      <c r="BA21" s="68"/>
      <c r="BB21" s="68"/>
      <c r="BC21" s="68"/>
      <c r="BD21" s="68"/>
      <c r="BE21" s="68"/>
      <c r="BI21" s="1" t="s">
        <v>292</v>
      </c>
      <c r="BJ21" s="1526" t="s">
        <v>584</v>
      </c>
      <c r="BK21" s="1526"/>
      <c r="BL21" s="1526"/>
      <c r="BM21" s="1526"/>
      <c r="BN21" s="1526"/>
      <c r="BO21" s="1526"/>
      <c r="BP21" s="1526"/>
      <c r="BQ21" s="1526"/>
      <c r="BR21" s="1526"/>
      <c r="BS21" s="1526"/>
      <c r="BT21" s="1526"/>
      <c r="BU21" s="1526"/>
    </row>
    <row r="22" spans="2:81" ht="14.65" customHeight="1" thickTop="1" thickBot="1">
      <c r="B22" s="44"/>
      <c r="C22" s="44"/>
      <c r="D22" s="44"/>
      <c r="E22" s="78" t="s">
        <v>294</v>
      </c>
      <c r="F22" s="94"/>
      <c r="G22" s="93">
        <f>$G$20-$G$19</f>
        <v>0</v>
      </c>
      <c r="H22" s="94"/>
      <c r="I22" s="236"/>
      <c r="J22" s="236"/>
      <c r="K22" s="236"/>
      <c r="L22" s="236"/>
      <c r="M22" s="236"/>
      <c r="N22" s="236"/>
      <c r="O22" s="236"/>
      <c r="P22" s="236"/>
      <c r="Q22" s="236"/>
      <c r="R22" s="236"/>
      <c r="S22" s="236"/>
      <c r="T22" s="236"/>
      <c r="U22" s="236"/>
      <c r="V22" s="236"/>
      <c r="W22" s="94"/>
      <c r="X22" s="183" t="s">
        <v>295</v>
      </c>
      <c r="Y22" s="235"/>
      <c r="Z22" s="236"/>
      <c r="AA22" s="237"/>
      <c r="AB22" s="238"/>
      <c r="AE22" s="64"/>
      <c r="AF22" s="64"/>
      <c r="AG22" s="64"/>
      <c r="AH22" s="64"/>
      <c r="AI22" s="68"/>
      <c r="AJ22" s="97" t="s">
        <v>63</v>
      </c>
      <c r="AK22" s="68"/>
      <c r="AL22" s="68"/>
      <c r="AM22" s="68"/>
      <c r="AN22" s="1530" t="e">
        <f>SUMIF(Admin3!C8:O8,AR!BE5,Admin3!#REF!)</f>
        <v>#REF!</v>
      </c>
      <c r="AO22" s="1530"/>
      <c r="AP22" s="1530"/>
      <c r="AQ22" s="1530"/>
      <c r="AR22" s="68"/>
      <c r="AS22" s="68"/>
      <c r="AT22" s="68"/>
      <c r="AU22" s="1530" t="e">
        <f>SUMIF(Admin3!C8:O8,AR!BE5,Admin3!#REF!)-SUMIF(Admin3!C8:O8,AR!BE5,Admin3!#REF!)</f>
        <v>#REF!</v>
      </c>
      <c r="AV22" s="1530"/>
      <c r="AW22" s="1530"/>
      <c r="AX22" s="1530"/>
      <c r="AY22" s="68"/>
      <c r="AZ22" s="68"/>
      <c r="BA22" s="68"/>
      <c r="BB22" s="1530" t="e">
        <f>SUMIF(Admin3!C8:O8,AR!BE5,Admin3!#REF!)-SUMIF(Admin3!C8:O8,AR!BE5,Admin3!#REF!)</f>
        <v>#REF!</v>
      </c>
      <c r="BC22" s="1530"/>
      <c r="BD22" s="1530"/>
      <c r="BE22" s="1530"/>
      <c r="BI22" s="54" t="s">
        <v>296</v>
      </c>
      <c r="BJ22" s="1527" t="s">
        <v>461</v>
      </c>
      <c r="BK22" s="1527"/>
      <c r="BL22" s="1527"/>
      <c r="BM22" s="1527"/>
      <c r="BN22" s="1527"/>
      <c r="BO22" s="1527"/>
      <c r="BP22" s="1527"/>
      <c r="BQ22" s="1527"/>
      <c r="BR22" s="1527"/>
      <c r="BS22" s="1527"/>
      <c r="BT22" s="1527"/>
      <c r="BU22" s="1527"/>
    </row>
    <row r="23" spans="2:81" ht="14.65" customHeight="1" thickTop="1" thickBot="1">
      <c r="B23" s="44"/>
      <c r="C23" s="44"/>
      <c r="D23" s="44"/>
      <c r="E23" s="78" t="s">
        <v>298</v>
      </c>
      <c r="F23" s="94"/>
      <c r="G23" s="93">
        <f>$G$21-$G$19</f>
        <v>0</v>
      </c>
      <c r="H23" s="94"/>
      <c r="I23" s="236"/>
      <c r="J23" s="236"/>
      <c r="K23" s="236"/>
      <c r="L23" s="236"/>
      <c r="M23" s="236"/>
      <c r="N23" s="236"/>
      <c r="O23" s="236"/>
      <c r="P23" s="236"/>
      <c r="Q23" s="236"/>
      <c r="R23" s="236"/>
      <c r="S23" s="236"/>
      <c r="T23" s="236"/>
      <c r="U23" s="236"/>
      <c r="V23" s="236"/>
      <c r="W23" s="94"/>
      <c r="X23" s="183" t="s">
        <v>299</v>
      </c>
      <c r="Y23" s="235"/>
      <c r="Z23" s="236"/>
      <c r="AA23" s="183">
        <f>COUNTIF(Admin4!$L$5:$L$305,"000010200")</f>
        <v>0</v>
      </c>
      <c r="AB23" s="238"/>
      <c r="AE23" s="64"/>
      <c r="AF23" s="64"/>
      <c r="AG23" s="64"/>
      <c r="AH23" s="64"/>
      <c r="AI23" s="64"/>
      <c r="AJ23" s="97" t="s">
        <v>64</v>
      </c>
      <c r="AK23" s="68"/>
      <c r="AL23" s="68"/>
      <c r="AM23" s="68"/>
      <c r="AN23" s="1530" t="e">
        <f>SUMIF(Admin3!C8:O8,AR!BE5,Admin3!#REF!)</f>
        <v>#REF!</v>
      </c>
      <c r="AO23" s="1530"/>
      <c r="AP23" s="1530"/>
      <c r="AQ23" s="1530"/>
      <c r="AR23" s="68"/>
      <c r="AS23" s="68"/>
      <c r="AT23" s="68"/>
      <c r="AU23" s="1530" t="e">
        <f>SUMIF(Admin3!C8:O8,AR!BE5,Admin3!#REF!)-SUMIF(Admin3!C8:O8,AR!BE5,Admin3!#REF!)</f>
        <v>#REF!</v>
      </c>
      <c r="AV23" s="1530"/>
      <c r="AW23" s="1530"/>
      <c r="AX23" s="1530"/>
      <c r="AY23" s="68"/>
      <c r="AZ23" s="68"/>
      <c r="BA23" s="68"/>
      <c r="BB23" s="1530" t="e">
        <f>SUMIF(Admin3!C8:O8,AR!BE5,Admin3!#REF!)-SUMIF(Admin3!C8:O8,AR!BE5,Admin3!#REF!)</f>
        <v>#REF!</v>
      </c>
      <c r="BC23" s="1530"/>
      <c r="BD23" s="1530"/>
      <c r="BE23" s="1530"/>
      <c r="BI23" s="1" t="s">
        <v>300</v>
      </c>
      <c r="BJ23" s="1527" t="s">
        <v>585</v>
      </c>
      <c r="BK23" s="1527"/>
      <c r="BL23" s="1527"/>
      <c r="BM23" s="1527"/>
      <c r="BN23" s="1527"/>
      <c r="BO23" s="1527"/>
      <c r="BP23" s="1527"/>
      <c r="BQ23" s="1527"/>
      <c r="BR23" s="1527"/>
      <c r="BS23" s="1527"/>
      <c r="BT23" s="1527"/>
      <c r="BU23" s="1527"/>
    </row>
    <row r="24" spans="2:81" ht="14.65" customHeight="1" thickTop="1" thickBot="1">
      <c r="B24" s="44"/>
      <c r="C24" s="44"/>
      <c r="D24" s="44"/>
      <c r="E24" s="78"/>
      <c r="F24" s="94"/>
      <c r="G24" s="94"/>
      <c r="H24" s="94"/>
      <c r="I24" s="96" t="str">
        <f>IF(G24&lt;&gt;0,"Ending headcount per Kronos/HCMS.","")</f>
        <v/>
      </c>
      <c r="J24" s="96"/>
      <c r="K24" s="94"/>
      <c r="L24" s="94"/>
      <c r="U24" s="94"/>
      <c r="V24" s="94"/>
      <c r="W24" s="94"/>
      <c r="X24" s="239"/>
      <c r="Y24" s="239"/>
      <c r="Z24" s="240"/>
      <c r="AA24" s="239"/>
      <c r="AB24" s="241"/>
      <c r="AE24" s="64"/>
      <c r="AF24" s="64"/>
      <c r="AG24" s="64"/>
      <c r="AH24" s="64"/>
      <c r="AI24" s="64"/>
      <c r="AJ24" s="97" t="s">
        <v>65</v>
      </c>
      <c r="AK24" s="68"/>
      <c r="AL24" s="68"/>
      <c r="AM24" s="68"/>
      <c r="AN24" s="1533" t="e">
        <f>SUM(AN22:AQ23)</f>
        <v>#REF!</v>
      </c>
      <c r="AO24" s="1533"/>
      <c r="AP24" s="1533"/>
      <c r="AQ24" s="1533"/>
      <c r="AR24" s="68"/>
      <c r="AS24" s="68"/>
      <c r="AT24" s="68"/>
      <c r="AU24" s="1533" t="e">
        <f>SUM(AU22:AX23)</f>
        <v>#REF!</v>
      </c>
      <c r="AV24" s="1533"/>
      <c r="AW24" s="1533"/>
      <c r="AX24" s="1533"/>
      <c r="AY24" s="68"/>
      <c r="AZ24" s="68"/>
      <c r="BA24" s="68"/>
      <c r="BB24" s="1533" t="e">
        <f>SUM(BB22:BE23)</f>
        <v>#REF!</v>
      </c>
      <c r="BC24" s="1533"/>
      <c r="BD24" s="1533"/>
      <c r="BE24" s="1533"/>
      <c r="BI24" s="2"/>
      <c r="BJ24" s="2"/>
      <c r="BK24" s="2"/>
      <c r="BL24" s="1490" t="s">
        <v>487</v>
      </c>
      <c r="BM24" s="1491"/>
      <c r="BN24" s="1491"/>
      <c r="BO24" s="1491"/>
      <c r="BP24" s="1521"/>
      <c r="BQ24" s="1490" t="s">
        <v>522</v>
      </c>
      <c r="BR24" s="1491"/>
      <c r="BS24" s="1491"/>
      <c r="BT24" s="1491"/>
      <c r="BU24" s="1492"/>
      <c r="BW24" s="1490" t="s">
        <v>303</v>
      </c>
      <c r="BX24" s="1491"/>
      <c r="BY24" s="1491"/>
      <c r="BZ24" s="1491"/>
      <c r="CA24" s="1491"/>
      <c r="CB24" s="1491"/>
      <c r="CC24" s="1492"/>
    </row>
    <row r="25" spans="2:81" ht="14.65" customHeight="1" thickTop="1">
      <c r="B25" s="44"/>
      <c r="C25" s="44"/>
      <c r="D25" s="44"/>
      <c r="E25" s="78"/>
      <c r="F25" s="94"/>
      <c r="G25" s="95">
        <f>G26-SUM($G$16:$G$17)</f>
        <v>0</v>
      </c>
      <c r="H25" s="94"/>
      <c r="I25" s="96" t="str">
        <f>IF(G25&lt;&gt;0,"There is a variance in reported ending EEs.","")</f>
        <v/>
      </c>
      <c r="J25" s="96"/>
      <c r="K25" s="94"/>
      <c r="L25" s="94"/>
      <c r="U25" s="94"/>
      <c r="V25" s="94"/>
      <c r="W25" s="94"/>
      <c r="X25" s="94"/>
      <c r="Y25" s="94"/>
      <c r="Z25" s="97"/>
      <c r="AA25" s="94"/>
      <c r="AB25" s="98"/>
      <c r="AE25" s="64"/>
      <c r="AF25" s="64"/>
      <c r="AG25" s="64"/>
      <c r="AH25" s="64"/>
      <c r="AI25" s="64"/>
      <c r="AJ25" s="97"/>
      <c r="AK25" s="68"/>
      <c r="AL25" s="68"/>
      <c r="AM25" s="68"/>
      <c r="AN25" s="221"/>
      <c r="AO25" s="221"/>
      <c r="AP25" s="221"/>
      <c r="AQ25" s="221"/>
      <c r="AR25" s="68"/>
      <c r="AS25" s="68"/>
      <c r="AT25" s="68"/>
      <c r="AU25" s="221"/>
      <c r="AV25" s="221"/>
      <c r="AW25" s="221"/>
      <c r="AX25" s="221"/>
      <c r="AY25" s="68"/>
      <c r="AZ25" s="68"/>
      <c r="BA25" s="68"/>
      <c r="BB25" s="221"/>
      <c r="BC25" s="221"/>
      <c r="BD25" s="221"/>
      <c r="BE25" s="221"/>
      <c r="BI25" s="720" t="s">
        <v>23</v>
      </c>
      <c r="BJ25" s="720" t="s">
        <v>37</v>
      </c>
      <c r="BK25" s="720" t="s">
        <v>304</v>
      </c>
      <c r="BL25" s="721" t="s">
        <v>305</v>
      </c>
      <c r="BM25" s="721" t="s">
        <v>306</v>
      </c>
      <c r="BN25" s="721" t="s">
        <v>488</v>
      </c>
      <c r="BO25" s="135" t="s">
        <v>489</v>
      </c>
      <c r="BP25" s="721" t="s">
        <v>490</v>
      </c>
      <c r="BQ25" s="721" t="s">
        <v>305</v>
      </c>
      <c r="BR25" s="721" t="s">
        <v>523</v>
      </c>
      <c r="BS25" s="721" t="s">
        <v>524</v>
      </c>
      <c r="BT25" s="135" t="s">
        <v>525</v>
      </c>
      <c r="BU25" s="721" t="s">
        <v>526</v>
      </c>
      <c r="BW25" s="164" t="s">
        <v>314</v>
      </c>
      <c r="BX25" s="164" t="s">
        <v>23</v>
      </c>
      <c r="BY25" s="168" t="s">
        <v>315</v>
      </c>
      <c r="BZ25" s="164" t="s">
        <v>122</v>
      </c>
      <c r="CA25" s="164" t="s">
        <v>316</v>
      </c>
      <c r="CB25" s="164" t="s">
        <v>317</v>
      </c>
      <c r="CC25" s="164" t="s">
        <v>318</v>
      </c>
    </row>
    <row r="26" spans="2:81" ht="14.65" customHeight="1">
      <c r="B26" s="44"/>
      <c r="C26" s="44"/>
      <c r="D26" s="44"/>
      <c r="E26" s="78"/>
      <c r="F26" s="94"/>
      <c r="G26" s="95">
        <f t="array" ref="G26">SUM(IF((Admin2!$C$6:$O$6=$BE$5)*(Admin2!$Q$9:$Q$83=$BI$2)*(Admin2!$B$9:$B$83="Ending EEs"),Admin2!$C$9:$O$83,0))</f>
        <v>0</v>
      </c>
      <c r="H26" s="94"/>
      <c r="I26" s="96" t="str">
        <f>IF(G26&lt;&gt;0,"Ending headcount per Kronos/HCMS.","")</f>
        <v/>
      </c>
      <c r="J26" s="96"/>
      <c r="K26" s="94"/>
      <c r="L26" s="94"/>
      <c r="U26" s="94"/>
      <c r="V26" s="94"/>
      <c r="W26" s="94"/>
      <c r="X26" s="94"/>
      <c r="Y26" s="94"/>
      <c r="Z26" s="97"/>
      <c r="AA26" s="94"/>
      <c r="AB26" s="98"/>
      <c r="AE26" s="64"/>
      <c r="AF26" s="64"/>
      <c r="AG26" s="64"/>
      <c r="AH26" s="64"/>
      <c r="AI26" s="64"/>
      <c r="AJ26" s="97"/>
      <c r="AK26" s="68"/>
      <c r="AL26" s="68"/>
      <c r="AM26" s="68"/>
      <c r="AN26" s="221"/>
      <c r="AO26" s="221"/>
      <c r="AP26" s="221"/>
      <c r="AQ26" s="221"/>
      <c r="AR26" s="68"/>
      <c r="AS26" s="68"/>
      <c r="AT26" s="68"/>
      <c r="AU26" s="221"/>
      <c r="AV26" s="221"/>
      <c r="AW26" s="221"/>
      <c r="AX26" s="221"/>
      <c r="AY26" s="68"/>
      <c r="AZ26" s="68"/>
      <c r="BA26" s="68"/>
      <c r="BB26" s="221"/>
      <c r="BC26" s="221"/>
      <c r="BD26" s="221"/>
      <c r="BE26" s="221"/>
      <c r="BI26" s="722" t="s">
        <v>319</v>
      </c>
      <c r="BJ26" s="722">
        <v>1</v>
      </c>
      <c r="BK26" s="722" t="s">
        <v>320</v>
      </c>
      <c r="BL26" s="726">
        <f>BM26*BN26</f>
        <v>0</v>
      </c>
      <c r="BM26" s="756"/>
      <c r="BN26" s="736"/>
      <c r="BO26" s="139">
        <f>IF(SUM(BM26:BM28=0),0,SUM(BL26:BL28)/SUM(BM26:BM28))</f>
        <v>0</v>
      </c>
      <c r="BP26" s="736">
        <v>0.9</v>
      </c>
      <c r="BQ26" s="726">
        <f>BR26*BS26</f>
        <v>0.29047200000000001</v>
      </c>
      <c r="BR26" s="737">
        <v>0.29399999999999998</v>
      </c>
      <c r="BS26" s="757">
        <f>4.94/5</f>
        <v>0.9880000000000001</v>
      </c>
      <c r="BT26" s="139">
        <f>IF(SUM(BR26:BR28=0),0,SUM(BQ26:BQ28)/SUM(BR26:BR28))</f>
        <v>0.9880000000000001</v>
      </c>
      <c r="BU26" s="736">
        <v>0.9</v>
      </c>
      <c r="BX26" s="666" t="str">
        <f t="shared" ref="BX26:BX37" si="3">TEXT(CONCATENATE(CC26,"/01/20",CB26),"MMM")</f>
        <v>Oct</v>
      </c>
      <c r="BY26" s="728">
        <f>IF(CB26=$CB38,SUMIF($BI26:$BI37,$BX26,$BR26:$BR37),SUMIF($BI26:$BI37,$BX26,$BM26:$BM37))</f>
        <v>0</v>
      </c>
      <c r="BZ26" s="736">
        <f>IF(IF(CB26=CB38,SUMIF(BI26:BI37,$BX26,BU26:BU37),SUMIF(BI26:BI37,$BX26,BP26:BP37))=0,NA(),IF(CB26=CB38,SUMIF(BI26:BI37,$BX26,BU26:BU37),SUMIF(BI26:BI37,$BX26,BP26:BP37)))</f>
        <v>0.9</v>
      </c>
      <c r="CA26" s="739" t="e">
        <f>IF(IF(CB26=CB38,SUMIF(BI26:BI37,$BX26,BS26:BS37),SUMIF(BI26:BI37,$BX26,BN26:BN37))=0,NA(),IF(CB26=CB38,SUMIF(BI26:BI37,$BX26,BS26:BS37),SUMIF(BI26:BI37,$BX26,BN26:BN37)))</f>
        <v>#N/A</v>
      </c>
      <c r="CB26" s="730">
        <v>20</v>
      </c>
      <c r="CC26" s="730">
        <f t="shared" ref="CC26:CC36" si="4">IF(CC27-1&lt;1,CC27+11,CC27-1)</f>
        <v>10</v>
      </c>
    </row>
    <row r="27" spans="2:81" ht="14.65" customHeight="1">
      <c r="B27" s="44"/>
      <c r="C27" s="44"/>
      <c r="D27" s="44"/>
      <c r="E27" s="78"/>
      <c r="F27" s="94"/>
      <c r="G27" s="44"/>
      <c r="H27" s="94"/>
      <c r="I27" s="96"/>
      <c r="J27" s="96"/>
      <c r="K27" s="94"/>
      <c r="L27" s="94"/>
      <c r="U27" s="94"/>
      <c r="V27" s="94"/>
      <c r="W27" s="94"/>
      <c r="X27" s="94"/>
      <c r="Y27" s="94"/>
      <c r="Z27" s="97"/>
      <c r="AA27" s="94"/>
      <c r="AB27" s="98"/>
      <c r="AE27" s="64"/>
      <c r="AF27" s="64"/>
      <c r="AG27" s="64"/>
      <c r="AH27" s="64"/>
      <c r="AI27" s="64"/>
      <c r="AJ27" s="97"/>
      <c r="AK27" s="68"/>
      <c r="AL27" s="68"/>
      <c r="AM27" s="68"/>
      <c r="AN27" s="221"/>
      <c r="AO27" s="221"/>
      <c r="AP27" s="221"/>
      <c r="AQ27" s="221"/>
      <c r="AR27" s="68"/>
      <c r="AS27" s="68"/>
      <c r="AT27" s="68"/>
      <c r="AU27" s="221"/>
      <c r="AV27" s="221"/>
      <c r="AW27" s="221"/>
      <c r="AX27" s="221"/>
      <c r="AY27" s="68"/>
      <c r="AZ27" s="68"/>
      <c r="BA27" s="68"/>
      <c r="BB27" s="221"/>
      <c r="BC27" s="221"/>
      <c r="BD27" s="221"/>
      <c r="BE27" s="221"/>
      <c r="BI27" s="722" t="s">
        <v>321</v>
      </c>
      <c r="BJ27" s="722">
        <v>2</v>
      </c>
      <c r="BK27" s="722" t="s">
        <v>320</v>
      </c>
      <c r="BL27" s="726">
        <f t="shared" ref="BL27:BL37" si="5">BM27*BN27</f>
        <v>0</v>
      </c>
      <c r="BM27" s="756"/>
      <c r="BN27" s="736"/>
      <c r="BP27" s="736">
        <v>0.9</v>
      </c>
      <c r="BQ27" s="726">
        <f t="shared" ref="BQ27:BQ37" si="6">BR27*BS27</f>
        <v>0</v>
      </c>
      <c r="BR27" s="758"/>
      <c r="BS27" s="759"/>
      <c r="BU27" s="736">
        <v>0.9</v>
      </c>
      <c r="BX27" s="666" t="str">
        <f t="shared" si="3"/>
        <v>Nov</v>
      </c>
      <c r="BY27" s="728">
        <f>IF(CB27=$CB38,SUMIF($BI26:$BI37,$BX27,$BR26:$BR37),SUMIF($BI26:$BI37,$BX27,$BM26:$BM37))</f>
        <v>0</v>
      </c>
      <c r="BZ27" s="736">
        <f>IF(IF(CB27=CB38,SUMIF(BI26:BI37,$BX27,BU26:BU37),SUMIF(BI26:BI37,$BX27,BP26:BP37))=0,NA(),IF(CB27=CB38,SUMIF(BI26:BI37,$BX27,BU26:BU37),SUMIF(BI26:BI37,$BX27,BP26:BP37)))</f>
        <v>0.9</v>
      </c>
      <c r="CA27" s="739" t="e">
        <f>IF(IF(CB27=CB38,SUMIF(BI26:BI37,$BX27,BS26:BS37),SUMIF(BI26:BI37,$BX27,BN26:BN37))=0,NA(),IF(CB27=CB38,SUMIF(BI26:BI37,$BX27,BS26:BS37),SUMIF(BI26:BI37,$BX27,BN26:BN37)))</f>
        <v>#N/A</v>
      </c>
      <c r="CB27" s="730">
        <v>20</v>
      </c>
      <c r="CC27" s="730">
        <f t="shared" si="4"/>
        <v>11</v>
      </c>
    </row>
    <row r="28" spans="2:81" ht="14.65" customHeight="1">
      <c r="B28" s="44" t="s">
        <v>242</v>
      </c>
      <c r="C28" s="44"/>
      <c r="D28" s="44"/>
      <c r="E28" s="87"/>
      <c r="F28" s="94"/>
      <c r="G28" s="94"/>
      <c r="H28" s="94"/>
      <c r="I28" s="94"/>
      <c r="J28" s="94"/>
      <c r="K28" s="94"/>
      <c r="L28" s="94"/>
      <c r="M28" s="94"/>
      <c r="N28" s="94"/>
      <c r="O28" s="94"/>
      <c r="P28" s="94"/>
      <c r="Q28" s="94"/>
      <c r="R28" s="94"/>
      <c r="S28" s="94"/>
      <c r="T28" s="94"/>
      <c r="U28" s="94"/>
      <c r="V28" s="94"/>
      <c r="W28" s="94"/>
      <c r="X28" s="94"/>
      <c r="Y28" s="94"/>
      <c r="Z28" s="94"/>
      <c r="AA28" s="94"/>
      <c r="AB28" s="94"/>
      <c r="AE28" s="44" t="s">
        <v>242</v>
      </c>
      <c r="AF28" s="44"/>
      <c r="AG28" s="44"/>
      <c r="AH28" s="87"/>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I28" s="722" t="s">
        <v>322</v>
      </c>
      <c r="BJ28" s="722">
        <v>3</v>
      </c>
      <c r="BK28" s="722" t="s">
        <v>320</v>
      </c>
      <c r="BL28" s="726">
        <f t="shared" si="5"/>
        <v>0</v>
      </c>
      <c r="BM28" s="756"/>
      <c r="BN28" s="736"/>
      <c r="BP28" s="736">
        <v>0.9</v>
      </c>
      <c r="BQ28" s="726">
        <f t="shared" si="6"/>
        <v>0</v>
      </c>
      <c r="BR28" s="758"/>
      <c r="BS28" s="759"/>
      <c r="BU28" s="736">
        <v>0.9</v>
      </c>
      <c r="BX28" s="666" t="str">
        <f t="shared" si="3"/>
        <v>Dec</v>
      </c>
      <c r="BY28" s="728">
        <f>IF(CB28=$CB38,SUMIF($BI26:$BI37,$BX28,$BR26:$BR37),SUMIF($BI26:$BI37,$BX28,$BM26:$BM37))</f>
        <v>0</v>
      </c>
      <c r="BZ28" s="736">
        <f>IF(IF(CB28=CB38,SUMIF(BI26:BI37,$BX28,BU26:BU37),SUMIF(BI26:BI37,$BX28,BP26:BP37))=0,NA(),IF(CB28=CB38,SUMIF(BI26:BI37,$BX28,BU26:BU37),SUMIF(BI26:BI37,$BX28,BP26:BP37)))</f>
        <v>0.9</v>
      </c>
      <c r="CA28" s="739" t="e">
        <f>IF(IF(CB28=CB38,SUMIF(BI26:BI37,$BX28,BS26:BS37),SUMIF(BI26:BI37,$BX28,BN26:BN37))=0,NA(),IF(CB28=CB38,SUMIF(BI26:BI37,$BX28,BS26:BS37),SUMIF(BI26:BI37,$BX28,BN26:BN37)))</f>
        <v>#N/A</v>
      </c>
      <c r="CB28" s="730">
        <v>20</v>
      </c>
      <c r="CC28" s="730">
        <f t="shared" si="4"/>
        <v>12</v>
      </c>
    </row>
    <row r="29" spans="2:81" ht="14.65" customHeight="1">
      <c r="B29" s="1510"/>
      <c r="C29" s="1511"/>
      <c r="D29" s="1511"/>
      <c r="E29" s="1511"/>
      <c r="F29" s="1511"/>
      <c r="G29" s="1511"/>
      <c r="H29" s="1511"/>
      <c r="I29" s="1511"/>
      <c r="J29" s="1511"/>
      <c r="K29" s="1511"/>
      <c r="L29" s="1511"/>
      <c r="M29" s="1511"/>
      <c r="N29" s="1511"/>
      <c r="O29" s="1511"/>
      <c r="P29" s="1511"/>
      <c r="Q29" s="1511"/>
      <c r="R29" s="1511"/>
      <c r="S29" s="1511"/>
      <c r="T29" s="1511"/>
      <c r="U29" s="1511"/>
      <c r="V29" s="1511"/>
      <c r="W29" s="1511"/>
      <c r="X29" s="1511"/>
      <c r="Y29" s="1511"/>
      <c r="Z29" s="1511"/>
      <c r="AA29" s="1511"/>
      <c r="AB29" s="1512"/>
      <c r="AE29" s="1510"/>
      <c r="AF29" s="1511"/>
      <c r="AG29" s="1511"/>
      <c r="AH29" s="1511"/>
      <c r="AI29" s="1511"/>
      <c r="AJ29" s="1511"/>
      <c r="AK29" s="1511"/>
      <c r="AL29" s="1511"/>
      <c r="AM29" s="1511"/>
      <c r="AN29" s="1511"/>
      <c r="AO29" s="1511"/>
      <c r="AP29" s="1511"/>
      <c r="AQ29" s="1511"/>
      <c r="AR29" s="1511"/>
      <c r="AS29" s="1511"/>
      <c r="AT29" s="1511"/>
      <c r="AU29" s="1511"/>
      <c r="AV29" s="1511"/>
      <c r="AW29" s="1511"/>
      <c r="AX29" s="1511"/>
      <c r="AY29" s="1511"/>
      <c r="AZ29" s="1511"/>
      <c r="BA29" s="1511"/>
      <c r="BB29" s="1511"/>
      <c r="BC29" s="1511"/>
      <c r="BD29" s="1511"/>
      <c r="BE29" s="1512"/>
      <c r="BI29" s="722" t="s">
        <v>323</v>
      </c>
      <c r="BJ29" s="722">
        <v>4</v>
      </c>
      <c r="BK29" s="722" t="s">
        <v>324</v>
      </c>
      <c r="BL29" s="726">
        <f t="shared" si="5"/>
        <v>0</v>
      </c>
      <c r="BM29" s="756"/>
      <c r="BN29" s="736"/>
      <c r="BO29" s="139">
        <f>IF(SUM(BM29:BM31=0),0,SUM(BL29:BL31)/SUM(BM29:BM31))</f>
        <v>0</v>
      </c>
      <c r="BP29" s="736">
        <v>0.9</v>
      </c>
      <c r="BQ29" s="726">
        <f t="shared" si="6"/>
        <v>0</v>
      </c>
      <c r="BR29" s="758"/>
      <c r="BS29" s="755"/>
      <c r="BT29" s="139">
        <f>IF(SUM(BR29:BR31=0),0,SUM(BQ29:BQ31)/SUM(BR29:BR31))</f>
        <v>0</v>
      </c>
      <c r="BU29" s="736">
        <v>0.9</v>
      </c>
      <c r="BX29" s="666" t="str">
        <f t="shared" si="3"/>
        <v>Jan</v>
      </c>
      <c r="BY29" s="728">
        <f>IF(CB29=$CB38,SUMIF($BI26:$BI37,$BX29,$BR26:$BR37),SUMIF($BI26:$BI37,$BX29,$BM26:$BM37))</f>
        <v>0</v>
      </c>
      <c r="BZ29" s="736">
        <f>IF(IF(CB29=CB38,SUMIF(BI26:BI37,$BX29,BU26:BU37),SUMIF(BI26:BI37,$BX29,BP26:BP37))=0,NA(),IF(CB29=CB38,SUMIF(BI26:BI37,$BX29,BU26:BU37),SUMIF(BI26:BI37,$BX29,BP26:BP37)))</f>
        <v>0.9</v>
      </c>
      <c r="CA29" s="739" t="e">
        <f>IF(IF(CB29=CB38,SUMIF(BI26:BI37,$BX29,BS26:BS37),SUMIF(BI26:BI37,$BX29,BN26:BN37))=0,NA(),IF(CB29=CB38,SUMIF(BI26:BI37,$BX29,BS26:BS37),SUMIF(BI26:BI37,$BX29,BN26:BN37)))</f>
        <v>#N/A</v>
      </c>
      <c r="CB29" s="730">
        <v>20</v>
      </c>
      <c r="CC29" s="730">
        <f t="shared" si="4"/>
        <v>1</v>
      </c>
    </row>
    <row r="30" spans="2:81" ht="14.65" customHeight="1">
      <c r="B30" s="1513"/>
      <c r="C30" s="1514"/>
      <c r="D30" s="1514"/>
      <c r="E30" s="1514"/>
      <c r="F30" s="1514"/>
      <c r="G30" s="1514"/>
      <c r="H30" s="1514"/>
      <c r="I30" s="1514"/>
      <c r="J30" s="1514"/>
      <c r="K30" s="1514"/>
      <c r="L30" s="1514"/>
      <c r="M30" s="1514"/>
      <c r="N30" s="1514"/>
      <c r="O30" s="1514"/>
      <c r="P30" s="1514"/>
      <c r="Q30" s="1514"/>
      <c r="R30" s="1514"/>
      <c r="S30" s="1514"/>
      <c r="T30" s="1514"/>
      <c r="U30" s="1514"/>
      <c r="V30" s="1514"/>
      <c r="W30" s="1514"/>
      <c r="X30" s="1514"/>
      <c r="Y30" s="1514"/>
      <c r="Z30" s="1514"/>
      <c r="AA30" s="1514"/>
      <c r="AB30" s="1515"/>
      <c r="AE30" s="1513"/>
      <c r="AF30" s="1514"/>
      <c r="AG30" s="1514"/>
      <c r="AH30" s="1514"/>
      <c r="AI30" s="1514"/>
      <c r="AJ30" s="1514"/>
      <c r="AK30" s="1514"/>
      <c r="AL30" s="1514"/>
      <c r="AM30" s="1514"/>
      <c r="AN30" s="1514"/>
      <c r="AO30" s="1514"/>
      <c r="AP30" s="1514"/>
      <c r="AQ30" s="1514"/>
      <c r="AR30" s="1514"/>
      <c r="AS30" s="1514"/>
      <c r="AT30" s="1514"/>
      <c r="AU30" s="1514"/>
      <c r="AV30" s="1514"/>
      <c r="AW30" s="1514"/>
      <c r="AX30" s="1514"/>
      <c r="AY30" s="1514"/>
      <c r="AZ30" s="1514"/>
      <c r="BA30" s="1514"/>
      <c r="BB30" s="1514"/>
      <c r="BC30" s="1514"/>
      <c r="BD30" s="1514"/>
      <c r="BE30" s="1515"/>
      <c r="BI30" s="722" t="s">
        <v>325</v>
      </c>
      <c r="BJ30" s="722">
        <v>5</v>
      </c>
      <c r="BK30" s="722" t="s">
        <v>324</v>
      </c>
      <c r="BL30" s="726">
        <f t="shared" si="5"/>
        <v>0</v>
      </c>
      <c r="BM30" s="756"/>
      <c r="BN30" s="736"/>
      <c r="BP30" s="736">
        <v>0.9</v>
      </c>
      <c r="BQ30" s="726">
        <f t="shared" si="6"/>
        <v>0</v>
      </c>
      <c r="BR30" s="758"/>
      <c r="BS30" s="755"/>
      <c r="BU30" s="736">
        <v>0.9</v>
      </c>
      <c r="BX30" s="666" t="str">
        <f t="shared" si="3"/>
        <v>Feb</v>
      </c>
      <c r="BY30" s="728">
        <f>IF(CB30=$CB38,SUMIF($BI26:$BI37,$BX30,$BR26:$BR37),SUMIF($BI26:$BI37,$BX30,$BM26:$BM37))</f>
        <v>0</v>
      </c>
      <c r="BZ30" s="736">
        <f>IF(IF(CB30=CB38,SUMIF(BI26:BI37,$BX30,BU26:BU37),SUMIF(BI26:BI37,$BX30,BP26:BP37))=0,NA(),IF(CB30=CB38,SUMIF(BI26:BI37,$BX30,BU26:BU37),SUMIF(BI26:BI37,$BX30,BP26:BP37)))</f>
        <v>0.9</v>
      </c>
      <c r="CA30" s="739" t="e">
        <f>IF(IF(CB30=CB38,SUMIF(BI26:BI37,$BX30,BS26:BS37),SUMIF(BI26:BI37,$BX30,BN26:BN37))=0,NA(),IF(CB30=CB38,SUMIF(BI26:BI37,$BX30,BS26:BS37),SUMIF(BI26:BI37,$BX30,BN26:BN37)))</f>
        <v>#N/A</v>
      </c>
      <c r="CB30" s="730">
        <v>20</v>
      </c>
      <c r="CC30" s="730">
        <f t="shared" si="4"/>
        <v>2</v>
      </c>
    </row>
    <row r="31" spans="2:81" ht="14.65" customHeight="1">
      <c r="B31" s="1513"/>
      <c r="C31" s="1514"/>
      <c r="D31" s="1514"/>
      <c r="E31" s="1514"/>
      <c r="F31" s="1514"/>
      <c r="G31" s="1514"/>
      <c r="H31" s="1514"/>
      <c r="I31" s="1514"/>
      <c r="J31" s="1514"/>
      <c r="K31" s="1514"/>
      <c r="L31" s="1514"/>
      <c r="M31" s="1514"/>
      <c r="N31" s="1514"/>
      <c r="O31" s="1514"/>
      <c r="P31" s="1514"/>
      <c r="Q31" s="1514"/>
      <c r="R31" s="1514"/>
      <c r="S31" s="1514"/>
      <c r="T31" s="1514"/>
      <c r="U31" s="1514"/>
      <c r="V31" s="1514"/>
      <c r="W31" s="1514"/>
      <c r="X31" s="1514"/>
      <c r="Y31" s="1514"/>
      <c r="Z31" s="1514"/>
      <c r="AA31" s="1514"/>
      <c r="AB31" s="1515"/>
      <c r="AE31" s="1513"/>
      <c r="AF31" s="1514"/>
      <c r="AG31" s="1514"/>
      <c r="AH31" s="1514"/>
      <c r="AI31" s="1514"/>
      <c r="AJ31" s="1514"/>
      <c r="AK31" s="1514"/>
      <c r="AL31" s="1514"/>
      <c r="AM31" s="1514"/>
      <c r="AN31" s="1514"/>
      <c r="AO31" s="1514"/>
      <c r="AP31" s="1514"/>
      <c r="AQ31" s="1514"/>
      <c r="AR31" s="1514"/>
      <c r="AS31" s="1514"/>
      <c r="AT31" s="1514"/>
      <c r="AU31" s="1514"/>
      <c r="AV31" s="1514"/>
      <c r="AW31" s="1514"/>
      <c r="AX31" s="1514"/>
      <c r="AY31" s="1514"/>
      <c r="AZ31" s="1514"/>
      <c r="BA31" s="1514"/>
      <c r="BB31" s="1514"/>
      <c r="BC31" s="1514"/>
      <c r="BD31" s="1514"/>
      <c r="BE31" s="1515"/>
      <c r="BI31" s="722" t="s">
        <v>326</v>
      </c>
      <c r="BJ31" s="722">
        <v>6</v>
      </c>
      <c r="BK31" s="722" t="s">
        <v>324</v>
      </c>
      <c r="BL31" s="726">
        <f t="shared" si="5"/>
        <v>0</v>
      </c>
      <c r="BM31" s="756"/>
      <c r="BN31" s="736"/>
      <c r="BP31" s="736">
        <v>0.9</v>
      </c>
      <c r="BQ31" s="726">
        <f t="shared" si="6"/>
        <v>0</v>
      </c>
      <c r="BR31" s="758"/>
      <c r="BS31" s="755"/>
      <c r="BU31" s="736">
        <v>0.9</v>
      </c>
      <c r="BX31" s="666" t="str">
        <f t="shared" si="3"/>
        <v>Mar</v>
      </c>
      <c r="BY31" s="728">
        <f>IF(CB31=$CB38,SUMIF($BI26:$BI37,$BX31,$BR26:$BR37),SUMIF($BI26:$BI37,$BX31,$BM26:$BM37))</f>
        <v>0</v>
      </c>
      <c r="BZ31" s="736">
        <f>IF(IF(CB31=CB38,SUMIF(BI26:BI37,$BX31,BU26:BU37),SUMIF(BI26:BI37,$BX31,BP26:BP37))=0,NA(),IF(CB31=CB38,SUMIF(BI26:BI37,$BX31,BU26:BU37),SUMIF(BI26:BI37,$BX31,BP26:BP37)))</f>
        <v>0.9</v>
      </c>
      <c r="CA31" s="739" t="e">
        <f>IF(IF(CB31=CB38,SUMIF(BI26:BI37,$BX31,BS26:BS37),SUMIF(BI26:BI37,$BX31,BN26:BN37))=0,NA(),IF(CB31=CB38,SUMIF(BI26:BI37,$BX31,BS26:BS37),SUMIF(BI26:BI37,$BX31,BN26:BN37)))</f>
        <v>#N/A</v>
      </c>
      <c r="CB31" s="730">
        <v>20</v>
      </c>
      <c r="CC31" s="730">
        <f t="shared" si="4"/>
        <v>3</v>
      </c>
    </row>
    <row r="32" spans="2:81" ht="14.65" customHeight="1">
      <c r="B32" s="1516"/>
      <c r="C32" s="1517"/>
      <c r="D32" s="1517"/>
      <c r="E32" s="1517"/>
      <c r="F32" s="1517"/>
      <c r="G32" s="1517"/>
      <c r="H32" s="1517"/>
      <c r="I32" s="1517"/>
      <c r="J32" s="1517"/>
      <c r="K32" s="1517"/>
      <c r="L32" s="1517"/>
      <c r="M32" s="1517"/>
      <c r="N32" s="1517"/>
      <c r="O32" s="1517"/>
      <c r="P32" s="1517"/>
      <c r="Q32" s="1517"/>
      <c r="R32" s="1517"/>
      <c r="S32" s="1517"/>
      <c r="T32" s="1517"/>
      <c r="U32" s="1517"/>
      <c r="V32" s="1517"/>
      <c r="W32" s="1517"/>
      <c r="X32" s="1517"/>
      <c r="Y32" s="1517"/>
      <c r="Z32" s="1517"/>
      <c r="AA32" s="1517"/>
      <c r="AB32" s="1518"/>
      <c r="AE32" s="1516"/>
      <c r="AF32" s="1517"/>
      <c r="AG32" s="1517"/>
      <c r="AH32" s="1517"/>
      <c r="AI32" s="1517"/>
      <c r="AJ32" s="1517"/>
      <c r="AK32" s="1517"/>
      <c r="AL32" s="1517"/>
      <c r="AM32" s="1517"/>
      <c r="AN32" s="1517"/>
      <c r="AO32" s="1517"/>
      <c r="AP32" s="1517"/>
      <c r="AQ32" s="1517"/>
      <c r="AR32" s="1517"/>
      <c r="AS32" s="1517"/>
      <c r="AT32" s="1517"/>
      <c r="AU32" s="1517"/>
      <c r="AV32" s="1517"/>
      <c r="AW32" s="1517"/>
      <c r="AX32" s="1517"/>
      <c r="AY32" s="1517"/>
      <c r="AZ32" s="1517"/>
      <c r="BA32" s="1517"/>
      <c r="BB32" s="1517"/>
      <c r="BC32" s="1517"/>
      <c r="BD32" s="1517"/>
      <c r="BE32" s="1518"/>
      <c r="BI32" s="722" t="s">
        <v>327</v>
      </c>
      <c r="BJ32" s="722">
        <v>7</v>
      </c>
      <c r="BK32" s="722" t="s">
        <v>328</v>
      </c>
      <c r="BL32" s="726">
        <f t="shared" si="5"/>
        <v>0.31139596799999997</v>
      </c>
      <c r="BM32" s="756">
        <v>0.32572799999999996</v>
      </c>
      <c r="BN32" s="736">
        <v>0.95600000000000007</v>
      </c>
      <c r="BO32" s="139">
        <f>IF(SUM(BM32:BM34=0),0,SUM(BL32:BL34)/SUM(BM32:BM34))</f>
        <v>0.90055839889037548</v>
      </c>
      <c r="BP32" s="736">
        <v>0.9</v>
      </c>
      <c r="BQ32" s="726">
        <f t="shared" si="6"/>
        <v>0</v>
      </c>
      <c r="BR32" s="737"/>
      <c r="BS32" s="760"/>
      <c r="BT32" s="139">
        <f>IF(SUM(BR32:BR34=0),0,SUM(BQ32:BQ34)/SUM(BR32:BR34))</f>
        <v>0</v>
      </c>
      <c r="BU32" s="736">
        <v>0.9</v>
      </c>
      <c r="BX32" s="666" t="str">
        <f t="shared" si="3"/>
        <v>Apr</v>
      </c>
      <c r="BY32" s="728">
        <f>IF(CB32=$CB38,SUMIF($BI26:$BI37,$BX32,$BR26:$BR37),SUMIF($BI26:$BI37,$BX32,$BM26:$BM37))</f>
        <v>0.32572799999999996</v>
      </c>
      <c r="BZ32" s="736">
        <f>IF(IF(CB32=CB38,SUMIF(BI26:BI37,$BX32,BU26:BU37),SUMIF(BI26:BI37,$BX32,BP26:BP37))=0,NA(),IF(CB32=CB38,SUMIF(BI26:BI37,$BX32,BU26:BU37),SUMIF(BI26:BI37,$BX32,BP26:BP37)))</f>
        <v>0.9</v>
      </c>
      <c r="CA32" s="739">
        <f>IF(IF(CB32=CB38,SUMIF(BI26:BI37,$BX32,BS26:BS37),SUMIF(BI26:BI37,$BX32,BN26:BN37))=0,NA(),IF(CB32=CB38,SUMIF(BI26:BI37,$BX32,BS26:BS37),SUMIF(BI26:BI37,$BX32,BN26:BN37)))</f>
        <v>0.95600000000000007</v>
      </c>
      <c r="CB32" s="730">
        <v>20</v>
      </c>
      <c r="CC32" s="730">
        <f t="shared" si="4"/>
        <v>4</v>
      </c>
    </row>
    <row r="33" spans="1:81" ht="14.65" customHeight="1">
      <c r="BI33" s="722" t="s">
        <v>329</v>
      </c>
      <c r="BJ33" s="722">
        <v>8</v>
      </c>
      <c r="BK33" s="722" t="s">
        <v>328</v>
      </c>
      <c r="BL33" s="726">
        <f t="shared" si="5"/>
        <v>0.25484699999999999</v>
      </c>
      <c r="BM33" s="756">
        <v>0.29981999999999998</v>
      </c>
      <c r="BN33" s="736">
        <v>0.85</v>
      </c>
      <c r="BP33" s="736">
        <v>0.9</v>
      </c>
      <c r="BQ33" s="726">
        <f t="shared" si="6"/>
        <v>0</v>
      </c>
      <c r="BR33" s="737"/>
      <c r="BS33" s="760"/>
      <c r="BU33" s="736">
        <v>0.9</v>
      </c>
      <c r="BX33" s="666" t="str">
        <f t="shared" si="3"/>
        <v>May</v>
      </c>
      <c r="BY33" s="728">
        <f>IF(CB33=$CB38,SUMIF($BI26:$BI37,$BX33,$BR26:$BR37),SUMIF($BI26:$BI37,$BX33,$BM26:$BM37))</f>
        <v>0.29981999999999998</v>
      </c>
      <c r="BZ33" s="736">
        <f>IF(IF(CB33=CB38,SUMIF(BI26:BI37,$BX33,BU26:BU37),SUMIF(BI26:BI37,$BX33,BP26:BP37))=0,NA(),IF(CB33=CB38,SUMIF(BI26:BI37,$BX33,BU26:BU37),SUMIF(BI26:BI37,$BX33,BP26:BP37)))</f>
        <v>0.9</v>
      </c>
      <c r="CA33" s="739">
        <f>IF(IF(CB33=CB38,SUMIF(BI26:BI37,$BX33,BS26:BS37),SUMIF(BI26:BI37,$BX33,BN26:BN37))=0,NA(),IF(CB33=CB38,SUMIF(BI26:BI37,$BX33,BS26:BS37),SUMIF(BI26:BI37,$BX33,BN26:BN37)))</f>
        <v>0.85</v>
      </c>
      <c r="CB33" s="730">
        <v>20</v>
      </c>
      <c r="CC33" s="730">
        <f t="shared" si="4"/>
        <v>5</v>
      </c>
    </row>
    <row r="34" spans="1:81" ht="14.65" customHeight="1">
      <c r="B34" s="12" t="s">
        <v>330</v>
      </c>
      <c r="C34" s="13"/>
      <c r="D34" s="13"/>
      <c r="E34" s="13"/>
      <c r="F34" s="13"/>
      <c r="G34" s="17"/>
      <c r="H34" s="17"/>
      <c r="I34" s="17"/>
      <c r="J34" s="17"/>
      <c r="K34" s="17"/>
      <c r="L34" s="18"/>
      <c r="M34" s="13"/>
      <c r="N34" s="13"/>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I34" s="722" t="s">
        <v>331</v>
      </c>
      <c r="BJ34" s="722">
        <v>9</v>
      </c>
      <c r="BK34" s="722" t="s">
        <v>328</v>
      </c>
      <c r="BL34" s="726">
        <f t="shared" si="5"/>
        <v>0.20509070400000001</v>
      </c>
      <c r="BM34" s="756">
        <v>0.230958</v>
      </c>
      <c r="BN34" s="736">
        <v>0.88800000000000012</v>
      </c>
      <c r="BP34" s="736">
        <v>0.9</v>
      </c>
      <c r="BQ34" s="726">
        <f t="shared" si="6"/>
        <v>0</v>
      </c>
      <c r="BR34" s="737"/>
      <c r="BS34" s="760"/>
      <c r="BU34" s="736">
        <v>0.9</v>
      </c>
      <c r="BX34" s="666" t="str">
        <f t="shared" si="3"/>
        <v>Jun</v>
      </c>
      <c r="BY34" s="728">
        <f>IF(CB34=$CB38,SUMIF($BI26:$BI37,$BX34,$BR26:$BR37),SUMIF($BI26:$BI37,$BX34,$BM26:$BM37))</f>
        <v>0.230958</v>
      </c>
      <c r="BZ34" s="736">
        <f>IF(IF(CB34=CB38,SUMIF(BI26:BI37,$BX34,BU26:BU37),SUMIF(BI26:BI37,$BX34,BP26:BP37))=0,NA(),IF(CB34=CB38,SUMIF(BI26:BI37,$BX34,BU26:BU37),SUMIF(BI26:BI37,$BX34,BP26:BP37)))</f>
        <v>0.9</v>
      </c>
      <c r="CA34" s="739">
        <f>IF(IF(CB34=CB38,SUMIF(BI26:BI37,$BX34,BS26:BS37),SUMIF(BI26:BI37,$BX34,BN26:BN37))=0,NA(),IF(CB34=CB38,SUMIF(BI26:BI37,$BX34,BS26:BS37),SUMIF(BI26:BI37,$BX34,BN26:BN37)))</f>
        <v>0.88800000000000012</v>
      </c>
      <c r="CB34" s="730">
        <v>20</v>
      </c>
      <c r="CC34" s="730">
        <f t="shared" si="4"/>
        <v>6</v>
      </c>
    </row>
    <row r="35" spans="1:81" s="43" customFormat="1" ht="12.75" customHeight="1">
      <c r="B35" s="1499" t="s">
        <v>332</v>
      </c>
      <c r="C35" s="1499"/>
      <c r="D35" s="1499"/>
      <c r="E35" s="1499"/>
      <c r="F35" s="1499"/>
      <c r="G35" s="1499"/>
      <c r="H35" s="1499"/>
      <c r="I35" s="1499"/>
      <c r="J35" s="1499"/>
      <c r="K35" s="1499" t="s">
        <v>528</v>
      </c>
      <c r="L35" s="1499"/>
      <c r="M35" s="1499"/>
      <c r="N35" s="1499"/>
      <c r="O35" s="1499"/>
      <c r="P35" s="1499"/>
      <c r="Q35" s="1500" t="s">
        <v>529</v>
      </c>
      <c r="R35" s="1500"/>
      <c r="S35" s="1500"/>
      <c r="T35" s="1499" t="s">
        <v>530</v>
      </c>
      <c r="U35" s="1499"/>
      <c r="V35" s="1499"/>
      <c r="W35" s="1499"/>
      <c r="X35" s="1499"/>
      <c r="Y35" s="1499"/>
      <c r="Z35" s="1499"/>
      <c r="AA35" s="1499"/>
      <c r="AB35" s="1499"/>
      <c r="AC35" s="1501" t="s">
        <v>336</v>
      </c>
      <c r="AD35" s="1502"/>
      <c r="AE35" s="1502"/>
      <c r="AF35" s="1502"/>
      <c r="AG35" s="1502"/>
      <c r="AH35" s="1502"/>
      <c r="AI35" s="1502"/>
      <c r="AJ35" s="1502"/>
      <c r="AK35" s="1502"/>
      <c r="AL35" s="1502"/>
      <c r="AM35" s="1502"/>
      <c r="AN35" s="1502"/>
      <c r="AO35" s="1502"/>
      <c r="AP35" s="1502"/>
      <c r="AQ35" s="1502"/>
      <c r="AR35" s="1502"/>
      <c r="AS35" s="1502"/>
      <c r="AT35" s="1502"/>
      <c r="AU35" s="1502"/>
      <c r="AV35" s="1502"/>
      <c r="AW35" s="1502"/>
      <c r="AX35" s="1502"/>
      <c r="AY35" s="1502"/>
      <c r="AZ35" s="1502"/>
      <c r="BA35" s="1502"/>
      <c r="BB35" s="1502"/>
      <c r="BC35" s="1502"/>
      <c r="BD35" s="1502"/>
      <c r="BE35" s="1503"/>
      <c r="BI35" s="722" t="s">
        <v>337</v>
      </c>
      <c r="BJ35" s="722">
        <v>10</v>
      </c>
      <c r="BK35" s="722" t="s">
        <v>338</v>
      </c>
      <c r="BL35" s="726">
        <f t="shared" si="5"/>
        <v>0.28773799999999999</v>
      </c>
      <c r="BM35" s="756">
        <v>0.31900000000000001</v>
      </c>
      <c r="BN35" s="736">
        <v>0.90199999999999991</v>
      </c>
      <c r="BO35" s="139">
        <f>IF(SUM(BM35:BM37=0),0,SUM(BL35:BL37)/SUM(BM35:BM37))</f>
        <v>0.91946226212466164</v>
      </c>
      <c r="BP35" s="736">
        <v>0.9</v>
      </c>
      <c r="BQ35" s="726">
        <f t="shared" si="6"/>
        <v>0</v>
      </c>
      <c r="BR35" s="737"/>
      <c r="BS35" s="760"/>
      <c r="BT35" s="139">
        <f>IF(SUM(BR35:BR37=0),0,SUM(BQ35:BQ37)/SUM(BR35:BR37))</f>
        <v>0</v>
      </c>
      <c r="BU35" s="736">
        <v>0.9</v>
      </c>
      <c r="BV35"/>
      <c r="BW35" s="6"/>
      <c r="BX35" s="666" t="str">
        <f t="shared" si="3"/>
        <v>Jul</v>
      </c>
      <c r="BY35" s="728">
        <f>IF(CB35=$CB38,SUMIF($BI26:$BI37,$BX35,$BR26:$BR37),SUMIF($BI26:$BI37,$BX35,$BM26:$BM37))</f>
        <v>0.31900000000000001</v>
      </c>
      <c r="BZ35" s="736">
        <f>IF(IF(CB35=CB38,SUMIF(BI26:BI37,$BX35,BU26:BU37),SUMIF(BI26:BI37,$BX35,BP26:BP37))=0,NA(),IF(CB35=CB38,SUMIF(BI26:BI37,$BX35,BU26:BU37),SUMIF(BI26:BI37,$BX35,BP26:BP37)))</f>
        <v>0.9</v>
      </c>
      <c r="CA35" s="739">
        <f>IF(IF(CB35=CB38,SUMIF(BI26:BI37,$BX35,BS26:BS37),SUMIF(BI26:BI37,$BX35,BN26:BN37))=0,NA(),IF(CB35=CB38,SUMIF(BI26:BI37,$BX35,BS26:BS37),SUMIF(BI26:BI37,$BX35,BN26:BN37)))</f>
        <v>0.90199999999999991</v>
      </c>
      <c r="CB35" s="730">
        <v>20</v>
      </c>
      <c r="CC35" s="730">
        <f t="shared" si="4"/>
        <v>7</v>
      </c>
    </row>
    <row r="36" spans="1:81" s="43" customFormat="1" ht="14.25" customHeight="1">
      <c r="B36" s="1499"/>
      <c r="C36" s="1499"/>
      <c r="D36" s="1499"/>
      <c r="E36" s="1499"/>
      <c r="F36" s="1499"/>
      <c r="G36" s="1499"/>
      <c r="H36" s="1499"/>
      <c r="I36" s="1499"/>
      <c r="J36" s="1499"/>
      <c r="K36" s="1499" t="s">
        <v>23</v>
      </c>
      <c r="L36" s="1499"/>
      <c r="M36" s="1499"/>
      <c r="N36" s="1499" t="s">
        <v>339</v>
      </c>
      <c r="O36" s="1499"/>
      <c r="P36" s="1499"/>
      <c r="Q36" s="1500"/>
      <c r="R36" s="1500"/>
      <c r="S36" s="1500"/>
      <c r="T36" s="1500" t="s">
        <v>340</v>
      </c>
      <c r="U36" s="1500"/>
      <c r="V36" s="1500"/>
      <c r="W36" s="1500" t="s">
        <v>341</v>
      </c>
      <c r="X36" s="1500"/>
      <c r="Y36" s="1500"/>
      <c r="Z36" s="1500" t="s">
        <v>342</v>
      </c>
      <c r="AA36" s="1500"/>
      <c r="AB36" s="1500"/>
      <c r="AC36" s="1504"/>
      <c r="AD36" s="1505"/>
      <c r="AE36" s="1505"/>
      <c r="AF36" s="1505"/>
      <c r="AG36" s="1505"/>
      <c r="AH36" s="1505"/>
      <c r="AI36" s="1505"/>
      <c r="AJ36" s="1505"/>
      <c r="AK36" s="1505"/>
      <c r="AL36" s="1505"/>
      <c r="AM36" s="1505"/>
      <c r="AN36" s="1505"/>
      <c r="AO36" s="1505"/>
      <c r="AP36" s="1505"/>
      <c r="AQ36" s="1505"/>
      <c r="AR36" s="1505"/>
      <c r="AS36" s="1505"/>
      <c r="AT36" s="1505"/>
      <c r="AU36" s="1505"/>
      <c r="AV36" s="1505"/>
      <c r="AW36" s="1505"/>
      <c r="AX36" s="1505"/>
      <c r="AY36" s="1505"/>
      <c r="AZ36" s="1505"/>
      <c r="BA36" s="1505"/>
      <c r="BB36" s="1505"/>
      <c r="BC36" s="1505"/>
      <c r="BD36" s="1505"/>
      <c r="BE36" s="1506"/>
      <c r="BI36" s="722" t="s">
        <v>343</v>
      </c>
      <c r="BJ36" s="722">
        <v>11</v>
      </c>
      <c r="BK36" s="722" t="s">
        <v>338</v>
      </c>
      <c r="BL36" s="726">
        <f t="shared" si="5"/>
        <v>0.28110047999999999</v>
      </c>
      <c r="BM36" s="756">
        <v>0.32016</v>
      </c>
      <c r="BN36" s="736">
        <v>0.87799999999999989</v>
      </c>
      <c r="BO36"/>
      <c r="BP36" s="736">
        <v>0.9</v>
      </c>
      <c r="BQ36" s="726">
        <f t="shared" si="6"/>
        <v>0</v>
      </c>
      <c r="BR36" s="737"/>
      <c r="BS36" s="760"/>
      <c r="BT36"/>
      <c r="BU36" s="736">
        <v>0.9</v>
      </c>
      <c r="BV36"/>
      <c r="BW36" s="6"/>
      <c r="BX36" s="666" t="str">
        <f t="shared" si="3"/>
        <v>Aug</v>
      </c>
      <c r="BY36" s="728">
        <f>IF(CB36=$CB38,SUMIF($BI26:$BI37,$BX36,$BR26:$BR37),SUMIF($BI26:$BI37,$BX36,$BM26:$BM37))</f>
        <v>0.32016</v>
      </c>
      <c r="BZ36" s="736">
        <f>IF(IF(CB36=CB38,SUMIF(BI26:BI37,$BX36,BU26:BU37),SUMIF(BI26:BI37,$BX36,BP26:BP37))=0,NA(),IF(CB36=CB38,SUMIF(BI26:BI37,$BX36,BU26:BU37),SUMIF(BI26:BI37,$BX36,BP26:BP37)))</f>
        <v>0.9</v>
      </c>
      <c r="CA36" s="739">
        <f>IF(IF(CB36=CB38,SUMIF(BI26:BI37,$BX36,BS26:BS37),SUMIF(BI26:BI37,$BX36,BN26:BN37))=0,NA(),IF(CB36=CB38,SUMIF(BI26:BI37,$BX36,BS26:BS37),SUMIF(BI26:BI37,$BX36,BN26:BN37)))</f>
        <v>0.87799999999999989</v>
      </c>
      <c r="CB36" s="730">
        <v>20</v>
      </c>
      <c r="CC36" s="730">
        <f t="shared" si="4"/>
        <v>8</v>
      </c>
    </row>
    <row r="37" spans="1:81" s="43" customFormat="1" ht="15.75" customHeight="1">
      <c r="B37" s="1499"/>
      <c r="C37" s="1499"/>
      <c r="D37" s="1499"/>
      <c r="E37" s="1499"/>
      <c r="F37" s="1499"/>
      <c r="G37" s="1499"/>
      <c r="H37" s="1499"/>
      <c r="I37" s="1499"/>
      <c r="J37" s="1499"/>
      <c r="K37" s="1499"/>
      <c r="L37" s="1499"/>
      <c r="M37" s="1499"/>
      <c r="N37" s="1499"/>
      <c r="O37" s="1499"/>
      <c r="P37" s="1499"/>
      <c r="Q37" s="1500"/>
      <c r="R37" s="1500"/>
      <c r="S37" s="1500"/>
      <c r="T37" s="1500"/>
      <c r="U37" s="1500"/>
      <c r="V37" s="1500"/>
      <c r="W37" s="1500"/>
      <c r="X37" s="1500"/>
      <c r="Y37" s="1500"/>
      <c r="Z37" s="1500"/>
      <c r="AA37" s="1500"/>
      <c r="AB37" s="1500"/>
      <c r="AC37" s="1507"/>
      <c r="AD37" s="1508"/>
      <c r="AE37" s="1508"/>
      <c r="AF37" s="1508"/>
      <c r="AG37" s="1508"/>
      <c r="AH37" s="1508"/>
      <c r="AI37" s="1508"/>
      <c r="AJ37" s="1508"/>
      <c r="AK37" s="1508"/>
      <c r="AL37" s="1508"/>
      <c r="AM37" s="1508"/>
      <c r="AN37" s="1508"/>
      <c r="AO37" s="1508"/>
      <c r="AP37" s="1508"/>
      <c r="AQ37" s="1508"/>
      <c r="AR37" s="1508"/>
      <c r="AS37" s="1508"/>
      <c r="AT37" s="1508"/>
      <c r="AU37" s="1508"/>
      <c r="AV37" s="1508"/>
      <c r="AW37" s="1508"/>
      <c r="AX37" s="1508"/>
      <c r="AY37" s="1508"/>
      <c r="AZ37" s="1508"/>
      <c r="BA37" s="1508"/>
      <c r="BB37" s="1508"/>
      <c r="BC37" s="1508"/>
      <c r="BD37" s="1508"/>
      <c r="BE37" s="1509"/>
      <c r="BI37" s="722" t="s">
        <v>344</v>
      </c>
      <c r="BJ37" s="722">
        <v>12</v>
      </c>
      <c r="BK37" s="722" t="s">
        <v>338</v>
      </c>
      <c r="BL37" s="726">
        <f t="shared" si="5"/>
        <v>0.28732799999999997</v>
      </c>
      <c r="BM37" s="756">
        <v>0.29199999999999998</v>
      </c>
      <c r="BN37" s="736">
        <v>0.98399999999999999</v>
      </c>
      <c r="BO37"/>
      <c r="BP37" s="736">
        <v>0.9</v>
      </c>
      <c r="BQ37" s="726">
        <f t="shared" si="6"/>
        <v>0</v>
      </c>
      <c r="BR37" s="737"/>
      <c r="BS37" s="760"/>
      <c r="BT37"/>
      <c r="BU37" s="736">
        <v>0.9</v>
      </c>
      <c r="BV37"/>
      <c r="BW37" s="6"/>
      <c r="BX37" s="666" t="str">
        <f t="shared" si="3"/>
        <v>Sep</v>
      </c>
      <c r="BY37" s="728">
        <f>IF(CB37=$CB38,SUMIF($BI26:$BI37,$BX37,$BR26:$BR37),SUMIF($BI26:$BI37,$BX37,$BM26:$BM37))</f>
        <v>0.29199999999999998</v>
      </c>
      <c r="BZ37" s="736">
        <f>IF(IF(CB37=CB38,SUMIF(BI26:BI37,$BX37,BU26:BU37),SUMIF(BI26:BI37,$BX37,BP26:BP37))=0,NA(),IF(CB37=CB38,SUMIF(BI26:BI37,$BX37,BU26:BU37),SUMIF(BI26:BI37,$BX37,BP26:BP37)))</f>
        <v>0.9</v>
      </c>
      <c r="CA37" s="739">
        <f>IF(IF(CB37=CB38,SUMIF(BI26:BI37,$BX37,BS26:BS37),SUMIF(BI26:BI37,$BX37,BN26:BN37))=0,NA(),IF(CB37=CB38,SUMIF(BI26:BI37,$BX37,BS26:BS37),SUMIF(BI26:BI37,$BX37,BN26:BN37)))</f>
        <v>0.98399999999999999</v>
      </c>
      <c r="CB37" s="730">
        <v>20</v>
      </c>
      <c r="CC37" s="730">
        <f>IF(CC38-1&lt;1,CC38+11,CC38-1)</f>
        <v>9</v>
      </c>
    </row>
    <row r="38" spans="1:81" ht="46.9" customHeight="1">
      <c r="B38" s="1614" t="s">
        <v>463</v>
      </c>
      <c r="C38" s="1614"/>
      <c r="D38" s="1614"/>
      <c r="E38" s="1614"/>
      <c r="F38" s="1614"/>
      <c r="G38" s="1614"/>
      <c r="H38" s="1614"/>
      <c r="I38" s="1614"/>
      <c r="J38" s="1614"/>
      <c r="K38" s="1608">
        <f>SUMIF(MyHRT1!$BJ$26:$BJ$37,Cover!$M$36,MyHRT1!$BN$26:$BN$37)</f>
        <v>0</v>
      </c>
      <c r="L38" s="1608"/>
      <c r="M38" s="1608"/>
      <c r="N38" s="1608">
        <f>SUMIF(MyHRT1!$BK$26:$BK$37,Cover!$M$35,MyHRT1!$BO$26:$BO$37)</f>
        <v>0</v>
      </c>
      <c r="O38" s="1608"/>
      <c r="P38" s="1608"/>
      <c r="Q38" s="1609">
        <f>SUMIF(MyHRT1!$BJ$26:$BJ$37,Cover!$M$36,MyHRT1!$BU$26:$BU$37)</f>
        <v>0.9</v>
      </c>
      <c r="R38" s="1609"/>
      <c r="S38" s="1609"/>
      <c r="T38" s="1608">
        <f>IF(Cover!$M$36=1,SUMIF($BJ$26:$BJ$37,12,$BN$26:$BN$37),SUMIF(MyHRT1!$BJ$26:$BJ$37,Cover!$M$36-1,MyHRT1!$BS$26:$BS$37))</f>
        <v>0.98399999999999999</v>
      </c>
      <c r="U38" s="1608"/>
      <c r="V38" s="1608"/>
      <c r="W38" s="1608">
        <f>SUMIF(MyHRT1!$BJ$26:$BJ$37,Cover!$M$36,MyHRT1!$BS$26:$BS$37)</f>
        <v>0.9880000000000001</v>
      </c>
      <c r="X38" s="1608"/>
      <c r="Y38" s="1608"/>
      <c r="Z38" s="1608">
        <f>SUMIF(MyHRT1!$BK$26:$BK$37,Cover!$M$35,MyHRT1!$BT$26:$BT$37)</f>
        <v>0.9880000000000001</v>
      </c>
      <c r="AA38" s="1608"/>
      <c r="AB38" s="1608"/>
      <c r="AC38" s="1543" t="s">
        <v>586</v>
      </c>
      <c r="AD38" s="1544"/>
      <c r="AE38" s="1544"/>
      <c r="AF38" s="1544"/>
      <c r="AG38" s="1544"/>
      <c r="AH38" s="1544"/>
      <c r="AI38" s="1544"/>
      <c r="AJ38" s="1544"/>
      <c r="AK38" s="1544"/>
      <c r="AL38" s="1544"/>
      <c r="AM38" s="1544"/>
      <c r="AN38" s="1544"/>
      <c r="AO38" s="1544"/>
      <c r="AP38" s="1544"/>
      <c r="AQ38" s="1544"/>
      <c r="AR38" s="1544"/>
      <c r="AS38" s="1544"/>
      <c r="AT38" s="1544"/>
      <c r="AU38" s="1544"/>
      <c r="AV38" s="1544"/>
      <c r="AW38" s="1544"/>
      <c r="AX38" s="1544"/>
      <c r="AY38" s="1544"/>
      <c r="AZ38" s="1544"/>
      <c r="BA38" s="1544"/>
      <c r="BB38" s="1544"/>
      <c r="BC38" s="1544"/>
      <c r="BD38" s="1544"/>
      <c r="BE38" s="1545"/>
      <c r="BH38" s="160">
        <f>IF(Q38=0,4,IF(W38=0,0,IF(Q38="","",IF(W38&gt;=Q38,1,IF(W38&lt;Q38*0.9,3,2)))))</f>
        <v>1</v>
      </c>
      <c r="BJ38" s="2"/>
      <c r="BK38" s="2"/>
      <c r="BL38" s="2"/>
      <c r="BM38" s="2"/>
      <c r="BN38" s="2"/>
      <c r="BO38" s="2"/>
      <c r="BP38" s="2"/>
      <c r="BQ38" s="2"/>
      <c r="BR38" s="2"/>
      <c r="BS38" s="2"/>
      <c r="BT38" s="2"/>
      <c r="BW38" s="667" t="str">
        <f>Cover!$M$34</f>
        <v>OCT FY-24</v>
      </c>
      <c r="BX38" s="666" t="str">
        <f>TEXT(CONCATENATE(CC38,"/01/20",CB38),"MMM")</f>
        <v>Oct</v>
      </c>
      <c r="BY38" s="728">
        <f>SUMIF($BI26:$BI37,$BX38,$BR26:$BR37)</f>
        <v>0.29399999999999998</v>
      </c>
      <c r="BZ38" s="736">
        <f>IF(IF(CB38=CB38,SUMIF(BI26:BI37,$BX38,BU26:BU37),SUMIF(BI26:BI37,$BX38,BP26:BP37))=0,NA(),IF(CB38=CB38,SUMIF(BI26:BI37,$BX38,BU26:BU37),SUMIF(BI26:BI37,$BX38,BP26:BP37)))</f>
        <v>0.9</v>
      </c>
      <c r="CA38" s="739">
        <f>IF(SUMIF($BI26:$BI37,$BX38,$BS26:$BS37)=0,NA(),SUMIF($BI26:$BI37,$BX38,$BS26:$BS37))</f>
        <v>0.9880000000000001</v>
      </c>
      <c r="CB38" s="730">
        <v>21</v>
      </c>
      <c r="CC38" s="730">
        <f>MONTH(DATEVALUE(LEFT(BW38,3)&amp;" 1"))</f>
        <v>10</v>
      </c>
    </row>
    <row r="39" spans="1:81" ht="46.9" customHeight="1">
      <c r="B39" s="1541" t="s">
        <v>465</v>
      </c>
      <c r="C39" s="1542"/>
      <c r="D39" s="1542"/>
      <c r="E39" s="1542"/>
      <c r="F39" s="1542"/>
      <c r="G39" s="1542"/>
      <c r="H39" s="1542"/>
      <c r="I39" s="1542"/>
      <c r="J39" s="1542"/>
      <c r="K39" s="1633">
        <f>SUMIF(MyHRT1!$BJ$45:$BJ$56,Cover!$M$36,MyHRT1!$BN$45:$BN$56)</f>
        <v>0</v>
      </c>
      <c r="L39" s="1633"/>
      <c r="M39" s="1633"/>
      <c r="N39" s="1633">
        <f>SUMIF(MyHRT1!$BK$45:$BK$56,Cover!$M$35,MyHRT1!$BO$45:$BO$56)</f>
        <v>0</v>
      </c>
      <c r="O39" s="1633"/>
      <c r="P39" s="1633"/>
      <c r="Q39" s="1634">
        <f>SUMIF(MyHRT1!$BJ$45:$BJ$56,Cover!$M$36,MyHRT1!$BU$45:$BU$56)</f>
        <v>6.9444444444444447E-4</v>
      </c>
      <c r="R39" s="1634"/>
      <c r="S39" s="1634"/>
      <c r="T39" s="1633">
        <f>IF(Cover!$M$36=1,SUMIF($BJ$45:$BJ$56,12,$BN$45:$BN$56),SUMIF(MyHRT1!$BJ$45:$BJ$56,Cover!$M$36-1,MyHRT1!$BS$45:$BS$56))</f>
        <v>1.8518518518518518E-4</v>
      </c>
      <c r="U39" s="1633"/>
      <c r="V39" s="1633"/>
      <c r="W39" s="1633">
        <f>SUMIF(MyHRT1!$BJ$45:$BJ$56,Cover!$M$36,MyHRT1!$BS$45:$BS$56)</f>
        <v>1.273148148148148E-4</v>
      </c>
      <c r="X39" s="1633"/>
      <c r="Y39" s="1633"/>
      <c r="Z39" s="1633">
        <f>SUMIF(MyHRT1!$BK$45:$BK$56,Cover!$M$35,MyHRT1!$BT$45:$BT$56)</f>
        <v>1.273148148148148E-4</v>
      </c>
      <c r="AA39" s="1633"/>
      <c r="AB39" s="1633"/>
      <c r="AC39" s="1635" t="s">
        <v>587</v>
      </c>
      <c r="AD39" s="1636"/>
      <c r="AE39" s="1636"/>
      <c r="AF39" s="1636"/>
      <c r="AG39" s="1636"/>
      <c r="AH39" s="1636"/>
      <c r="AI39" s="1636"/>
      <c r="AJ39" s="1636"/>
      <c r="AK39" s="1636"/>
      <c r="AL39" s="1636"/>
      <c r="AM39" s="1636"/>
      <c r="AN39" s="1636"/>
      <c r="AO39" s="1636"/>
      <c r="AP39" s="1636"/>
      <c r="AQ39" s="1636"/>
      <c r="AR39" s="1636"/>
      <c r="AS39" s="1636"/>
      <c r="AT39" s="1636"/>
      <c r="AU39" s="1636"/>
      <c r="AV39" s="1636"/>
      <c r="AW39" s="1636"/>
      <c r="AX39" s="1636"/>
      <c r="AY39" s="1636"/>
      <c r="AZ39" s="1636"/>
      <c r="BA39" s="1636"/>
      <c r="BB39" s="1636"/>
      <c r="BC39" s="1636"/>
      <c r="BD39" s="1636"/>
      <c r="BE39" s="1637"/>
      <c r="BH39" s="160">
        <f>IF(Q39=0,4,IF(W39=0,0,IF(Q39="","",IF(W39&lt;=Q39,1,IF(W39&gt;Q39*1.1,3,2)))))</f>
        <v>1</v>
      </c>
    </row>
    <row r="40" spans="1:81" customFormat="1" ht="46.9" customHeight="1">
      <c r="A40" s="6"/>
      <c r="B40" s="1614" t="s">
        <v>467</v>
      </c>
      <c r="C40" s="1618"/>
      <c r="D40" s="1618"/>
      <c r="E40" s="1618"/>
      <c r="F40" s="1618"/>
      <c r="G40" s="1618"/>
      <c r="H40" s="1618"/>
      <c r="I40" s="1618"/>
      <c r="J40" s="1618"/>
      <c r="K40" s="1608">
        <f>SUMIF(MyHRT1!$BJ$64:$BJ$75,Cover!$M$36,MyHRT1!$BN$64:$BN$75)</f>
        <v>0</v>
      </c>
      <c r="L40" s="1608"/>
      <c r="M40" s="1608"/>
      <c r="N40" s="1608">
        <f>SUMIF(MyHRT1!$BK$64:$BK$75,Cover!$M$35,MyHRT1!$BO$64:$BO$75)</f>
        <v>0</v>
      </c>
      <c r="O40" s="1608"/>
      <c r="P40" s="1608"/>
      <c r="Q40" s="1638">
        <f>SUMIF(MyHRT1!$BJ$64:$BJ$75,Cover!$M$36,MyHRT1!$BU$64:$BU$75)</f>
        <v>0.05</v>
      </c>
      <c r="R40" s="1638"/>
      <c r="S40" s="1638"/>
      <c r="T40" s="1608">
        <f>IF(Cover!$M$36=1,SUMIF($BJ$64:$BJ$75,12,$BN$64:$BN$75),SUMIF(MyHRT1!$BJ$64:$BJ$75,Cover!$M$36-1,MyHRT1!$BS$64:$BS$75))</f>
        <v>9.976839479779084E-3</v>
      </c>
      <c r="U40" s="1608"/>
      <c r="V40" s="1608"/>
      <c r="W40" s="1608">
        <f>SUMIF(MyHRT1!$BJ$64:$BJ$75,Cover!$M$36,MyHRT1!$BS$64:$BS$75)</f>
        <v>7.4477989094294452E-3</v>
      </c>
      <c r="X40" s="1608"/>
      <c r="Y40" s="1608"/>
      <c r="Z40" s="1608">
        <f>SUMIF(MyHRT1!$BK$64:$BK$75,Cover!$M$35,MyHRT1!$BT$64:$BT$75)</f>
        <v>7.4477989094294452E-3</v>
      </c>
      <c r="AA40" s="1608"/>
      <c r="AB40" s="1608"/>
      <c r="AC40" s="1543" t="s">
        <v>588</v>
      </c>
      <c r="AD40" s="1544"/>
      <c r="AE40" s="1544"/>
      <c r="AF40" s="1544"/>
      <c r="AG40" s="1544"/>
      <c r="AH40" s="1544"/>
      <c r="AI40" s="1544"/>
      <c r="AJ40" s="1544"/>
      <c r="AK40" s="1544"/>
      <c r="AL40" s="1544"/>
      <c r="AM40" s="1544"/>
      <c r="AN40" s="1544"/>
      <c r="AO40" s="1544"/>
      <c r="AP40" s="1544"/>
      <c r="AQ40" s="1544"/>
      <c r="AR40" s="1544"/>
      <c r="AS40" s="1544"/>
      <c r="AT40" s="1544"/>
      <c r="AU40" s="1544"/>
      <c r="AV40" s="1544"/>
      <c r="AW40" s="1544"/>
      <c r="AX40" s="1544"/>
      <c r="AY40" s="1544"/>
      <c r="AZ40" s="1544"/>
      <c r="BA40" s="1544"/>
      <c r="BB40" s="1544"/>
      <c r="BC40" s="1544"/>
      <c r="BD40" s="1544"/>
      <c r="BE40" s="1545"/>
      <c r="BF40" s="6"/>
      <c r="BH40" s="160">
        <f>IF(Q40=0,4,IF(W40=0,0,IF(Q40="","",IF(W40&lt;=Q40,1,IF(W40&gt;Q40*1.1,3,2)))))</f>
        <v>1</v>
      </c>
      <c r="BI40" s="1" t="s">
        <v>292</v>
      </c>
      <c r="BJ40" s="1526" t="s">
        <v>465</v>
      </c>
      <c r="BK40" s="1526"/>
      <c r="BL40" s="1526"/>
      <c r="BM40" s="1526"/>
      <c r="BN40" s="1526"/>
      <c r="BO40" s="1526"/>
      <c r="BP40" s="1526"/>
      <c r="BQ40" s="1526"/>
      <c r="BR40" s="1526"/>
      <c r="BS40" s="1526"/>
      <c r="BT40" s="1526"/>
      <c r="BU40" s="1526"/>
      <c r="BW40" s="6"/>
      <c r="BX40" s="6"/>
    </row>
    <row r="41" spans="1:81" ht="46.9" customHeight="1">
      <c r="B41" s="1541" t="s">
        <v>160</v>
      </c>
      <c r="C41" s="1542"/>
      <c r="D41" s="1542"/>
      <c r="E41" s="1542"/>
      <c r="F41" s="1542"/>
      <c r="G41" s="1542"/>
      <c r="H41" s="1542"/>
      <c r="I41" s="1542"/>
      <c r="J41" s="1542"/>
      <c r="K41" s="1633">
        <f>SUMIF(MyHRT1!$BJ$83:$BJ$94,Cover!$M$36,MyHRT1!$BN$83:$BN$94)</f>
        <v>0</v>
      </c>
      <c r="L41" s="1633"/>
      <c r="M41" s="1633"/>
      <c r="N41" s="1633">
        <f>SUMIF(MyHRT1!$BK$83:$BK$94,Cover!$M$35,MyHRT1!$BO$83:$BO$94)</f>
        <v>0</v>
      </c>
      <c r="O41" s="1633"/>
      <c r="P41" s="1633"/>
      <c r="Q41" s="1634">
        <f>SUMIF(MyHRT1!$BJ$83:$BJ$94,Cover!$M$36,MyHRT1!$BU$83:$BU$94)</f>
        <v>3.472222222222222E-3</v>
      </c>
      <c r="R41" s="1634"/>
      <c r="S41" s="1634"/>
      <c r="T41" s="1633">
        <f>IF(Cover!$M$36=1,SUMIF($BJ$83:$BJ$94,12,$BN$83:$BN$94),SUMIF(MyHRT1!$BJ$83:$BJ$94,Cover!$M$36-1,MyHRT1!$BS$83:$BS$94))</f>
        <v>2.9282407407407412E-3</v>
      </c>
      <c r="U41" s="1633"/>
      <c r="V41" s="1633"/>
      <c r="W41" s="1633">
        <f>SUMIF(MyHRT1!$BJ$83:$BJ$94,Cover!$M$36,MyHRT1!$BS$83:$BS$94)</f>
        <v>2.8472222222222219E-3</v>
      </c>
      <c r="X41" s="1633"/>
      <c r="Y41" s="1633"/>
      <c r="Z41" s="1633">
        <f>SUMIF(MyHRT1!$BK$83:$BK$94,Cover!$M$35,MyHRT1!$BT$83:$BT$94)</f>
        <v>2.8472222222222219E-3</v>
      </c>
      <c r="AA41" s="1633"/>
      <c r="AB41" s="1633"/>
      <c r="AC41" s="1635" t="s">
        <v>589</v>
      </c>
      <c r="AD41" s="1636"/>
      <c r="AE41" s="1636"/>
      <c r="AF41" s="1636"/>
      <c r="AG41" s="1636"/>
      <c r="AH41" s="1636"/>
      <c r="AI41" s="1636"/>
      <c r="AJ41" s="1636"/>
      <c r="AK41" s="1636"/>
      <c r="AL41" s="1636"/>
      <c r="AM41" s="1636"/>
      <c r="AN41" s="1636"/>
      <c r="AO41" s="1636"/>
      <c r="AP41" s="1636"/>
      <c r="AQ41" s="1636"/>
      <c r="AR41" s="1636"/>
      <c r="AS41" s="1636"/>
      <c r="AT41" s="1636"/>
      <c r="AU41" s="1636"/>
      <c r="AV41" s="1636"/>
      <c r="AW41" s="1636"/>
      <c r="AX41" s="1636"/>
      <c r="AY41" s="1636"/>
      <c r="AZ41" s="1636"/>
      <c r="BA41" s="1636"/>
      <c r="BB41" s="1636"/>
      <c r="BC41" s="1636"/>
      <c r="BD41" s="1636"/>
      <c r="BE41" s="1637"/>
      <c r="BH41" s="160">
        <f>IF(Q41=0,4,IF(W41=0,0,IF(Q41="","",IF(W41&lt;=Q41,1,IF(W41&gt;Q41*1.1,3,2)))))</f>
        <v>1</v>
      </c>
      <c r="BI41" s="54" t="s">
        <v>296</v>
      </c>
      <c r="BJ41" s="165" t="s">
        <v>590</v>
      </c>
      <c r="BK41" s="165"/>
      <c r="BL41" s="165"/>
      <c r="BM41" s="165"/>
      <c r="BN41" s="165"/>
      <c r="BO41" s="165"/>
      <c r="BP41" s="165"/>
      <c r="BQ41" s="165"/>
      <c r="BR41" s="165"/>
      <c r="BS41" s="165"/>
      <c r="BT41" s="165"/>
      <c r="BU41" s="165"/>
      <c r="BW41"/>
      <c r="BX41"/>
    </row>
    <row r="42" spans="1:81" ht="37.5" customHeight="1" thickBot="1">
      <c r="A42"/>
      <c r="B42" s="1614" t="s">
        <v>464</v>
      </c>
      <c r="C42" s="1618"/>
      <c r="D42" s="1618"/>
      <c r="E42" s="1618"/>
      <c r="F42" s="1618"/>
      <c r="G42" s="1618"/>
      <c r="H42" s="1618"/>
      <c r="I42" s="1618"/>
      <c r="J42" s="1618"/>
      <c r="K42" s="1639">
        <f>SUMIF(MyHRT1!$BJ$102:$BJ$113,Cover!$M$36,MyHRT1!$BN$102:$BN$113)</f>
        <v>0</v>
      </c>
      <c r="L42" s="1639"/>
      <c r="M42" s="1639"/>
      <c r="N42" s="1639">
        <f>SUMIF(MyHRT1!$BK$102:$BK$113,Cover!$M$35,MyHRT1!$BO$102:$BO$113)</f>
        <v>0</v>
      </c>
      <c r="O42" s="1639"/>
      <c r="P42" s="1639"/>
      <c r="Q42" s="1638">
        <f>SUMIF(MyHRT1!$BJ$102:$BJ$113,Cover!$M$36,MyHRT1!$BU$102:$BU$113)</f>
        <v>0.3</v>
      </c>
      <c r="R42" s="1638"/>
      <c r="S42" s="1638"/>
      <c r="T42" s="1608">
        <f>IF(Cover!$M$36=1,SUMIF($BJ$102:$BJ$113,12,$BN$102:$BN$113),SUMIF(MyHRT1!$BJ$102:$BJ$113,Cover!$M$36-1,MyHRT1!$BS$102:$BS$113))</f>
        <v>9.6000000000000002E-2</v>
      </c>
      <c r="U42" s="1608"/>
      <c r="V42" s="1608"/>
      <c r="W42" s="1608">
        <f>SUMIF(MyHRT1!$BJ$102:$BJ$113,Cover!$M$36,MyHRT1!$BS$102:$BS$113)</f>
        <v>0.23</v>
      </c>
      <c r="X42" s="1608"/>
      <c r="Y42" s="1608"/>
      <c r="Z42" s="1640">
        <f>SUMIF(MyHRT1!$BK$102:$BK$113,Cover!$M$35,MyHRT1!$BT$102:$BT$113)</f>
        <v>0.23</v>
      </c>
      <c r="AA42" s="1640"/>
      <c r="AB42" s="1640"/>
      <c r="AC42" s="1543" t="s">
        <v>591</v>
      </c>
      <c r="AD42" s="1544"/>
      <c r="AE42" s="1544"/>
      <c r="AF42" s="1544"/>
      <c r="AG42" s="1544"/>
      <c r="AH42" s="1544"/>
      <c r="AI42" s="1544"/>
      <c r="AJ42" s="1544"/>
      <c r="AK42" s="1544"/>
      <c r="AL42" s="1544"/>
      <c r="AM42" s="1544"/>
      <c r="AN42" s="1544"/>
      <c r="AO42" s="1544"/>
      <c r="AP42" s="1544"/>
      <c r="AQ42" s="1544"/>
      <c r="AR42" s="1544"/>
      <c r="AS42" s="1544"/>
      <c r="AT42" s="1544"/>
      <c r="AU42" s="1544"/>
      <c r="AV42" s="1544"/>
      <c r="AW42" s="1544"/>
      <c r="AX42" s="1544"/>
      <c r="AY42" s="1544"/>
      <c r="AZ42" s="1544"/>
      <c r="BA42" s="1544"/>
      <c r="BB42" s="1544"/>
      <c r="BC42" s="1544"/>
      <c r="BD42" s="1544"/>
      <c r="BE42" s="1545"/>
      <c r="BF42"/>
      <c r="BH42" s="160">
        <f>IF(Q42=0,4,IF(W42=0,0,IF(Q42="","",IF(W42&gt;=Q42,1,IF(W42&lt;Q42*0.9,3,2)))))</f>
        <v>3</v>
      </c>
      <c r="BI42" s="1" t="s">
        <v>300</v>
      </c>
      <c r="BJ42" s="165" t="s">
        <v>473</v>
      </c>
      <c r="BK42" s="165"/>
      <c r="BL42" s="165"/>
      <c r="BM42" s="165"/>
      <c r="BN42" s="165"/>
      <c r="BO42" s="165"/>
      <c r="BP42" s="165"/>
      <c r="BQ42" s="165"/>
      <c r="BR42" s="165"/>
      <c r="BS42" s="165"/>
      <c r="BT42" s="165"/>
      <c r="BU42" s="165"/>
      <c r="BY42"/>
      <c r="BZ42"/>
      <c r="CA42"/>
      <c r="CB42"/>
      <c r="CC42"/>
    </row>
    <row r="43" spans="1:81" ht="37.5" customHeight="1" thickBot="1">
      <c r="B43" s="1541" t="s">
        <v>399</v>
      </c>
      <c r="C43" s="1542"/>
      <c r="D43" s="1542"/>
      <c r="E43" s="1542"/>
      <c r="F43" s="1542"/>
      <c r="G43" s="1542"/>
      <c r="H43" s="1542"/>
      <c r="I43" s="1542"/>
      <c r="J43" s="1542"/>
      <c r="K43" s="1642">
        <f>SUMIF(MyHRT1!$BJ$121:$BJ$132,Cover!$M$36,MyHRT1!$BN$121:$BN$132)</f>
        <v>0</v>
      </c>
      <c r="L43" s="1642"/>
      <c r="M43" s="1642"/>
      <c r="N43" s="1643">
        <f>SUMIF(MyHRT1!$BK$121:$BK$132,Cover!$M$35,MyHRT1!$BO$121:$BO$132)</f>
        <v>0</v>
      </c>
      <c r="O43" s="1644"/>
      <c r="P43" s="1645"/>
      <c r="Q43" s="1646">
        <f>SUMIF(MyHRT1!$BJ$121:$BJ$132,Cover!$M$36,MyHRT1!$BU$121:$BU$132)</f>
        <v>5.63</v>
      </c>
      <c r="R43" s="1646"/>
      <c r="S43" s="1646"/>
      <c r="T43" s="1643">
        <f>IF(Cover!$M$36=1,SUMIF($BJ$121:$BJ$132,12,$BN$121:$BN$132),SUMIF(MyHRT1!$BJ$121:$BJ$132,Cover!$M$36-1,MyHRT1!$BS$121:$BS$132))</f>
        <v>5.8336732801780089</v>
      </c>
      <c r="U43" s="1644"/>
      <c r="V43" s="1645"/>
      <c r="W43" s="1643">
        <f>SUMIF(MyHRT1!$BJ$121:$BJ$132,Cover!$M$36,MyHRT1!$BS$121:$BS$132)</f>
        <v>5.5756265106220582</v>
      </c>
      <c r="X43" s="1644"/>
      <c r="Y43" s="1645"/>
      <c r="Z43" s="1643">
        <f>SUMIF(MyHRT1!$BK$121:$BK$132,Cover!$M$35,MyHRT1!$BT$121:$BT$132)</f>
        <v>5.5756265106220582</v>
      </c>
      <c r="AA43" s="1644"/>
      <c r="AB43" s="1645"/>
      <c r="AC43" s="1635" t="s">
        <v>592</v>
      </c>
      <c r="AD43" s="1636"/>
      <c r="AE43" s="1636"/>
      <c r="AF43" s="1636"/>
      <c r="AG43" s="1636"/>
      <c r="AH43" s="1636"/>
      <c r="AI43" s="1636"/>
      <c r="AJ43" s="1636"/>
      <c r="AK43" s="1636"/>
      <c r="AL43" s="1636"/>
      <c r="AM43" s="1636"/>
      <c r="AN43" s="1636"/>
      <c r="AO43" s="1636"/>
      <c r="AP43" s="1636"/>
      <c r="AQ43" s="1636"/>
      <c r="AR43" s="1636"/>
      <c r="AS43" s="1636"/>
      <c r="AT43" s="1636"/>
      <c r="AU43" s="1636"/>
      <c r="AV43" s="1636"/>
      <c r="AW43" s="1636"/>
      <c r="AX43" s="1636"/>
      <c r="AY43" s="1636"/>
      <c r="AZ43" s="1636"/>
      <c r="BA43" s="1636"/>
      <c r="BB43" s="1636"/>
      <c r="BC43" s="1636"/>
      <c r="BD43" s="1636"/>
      <c r="BE43" s="1637"/>
      <c r="BH43" s="160">
        <f>IF(Q43=0,4,IF(W43=0,0,IF(Q43="","",IF(W43&lt;=Q43,1,IF(W43&gt;Q43*1.1,3,2)))))</f>
        <v>1</v>
      </c>
      <c r="BI43" s="2"/>
      <c r="BJ43" s="2"/>
      <c r="BK43" s="2"/>
      <c r="BL43" s="1490" t="s">
        <v>487</v>
      </c>
      <c r="BM43" s="1491"/>
      <c r="BN43" s="1491"/>
      <c r="BO43" s="1491"/>
      <c r="BP43" s="1521"/>
      <c r="BQ43" s="1490" t="s">
        <v>522</v>
      </c>
      <c r="BR43" s="1491"/>
      <c r="BS43" s="1491"/>
      <c r="BT43" s="1491"/>
      <c r="BU43" s="1492"/>
      <c r="BW43" s="1490" t="s">
        <v>303</v>
      </c>
      <c r="BX43" s="1491"/>
      <c r="BY43" s="1491"/>
      <c r="BZ43" s="1491"/>
      <c r="CA43" s="1491"/>
      <c r="CB43" s="1491"/>
      <c r="CC43" s="1492"/>
    </row>
    <row r="44" spans="1:81" ht="14.65" customHeight="1">
      <c r="B44" s="14"/>
      <c r="C44" s="16"/>
      <c r="V44" s="16"/>
      <c r="W44" s="16"/>
      <c r="X44" s="16"/>
      <c r="Y44" s="15"/>
      <c r="Z44" s="15"/>
      <c r="AA44" s="15"/>
      <c r="AB44" s="15"/>
      <c r="AC44" s="15"/>
      <c r="AD44" s="42"/>
      <c r="AE44" s="16"/>
      <c r="AF44" s="16"/>
      <c r="BI44" s="720" t="s">
        <v>23</v>
      </c>
      <c r="BJ44" s="720" t="s">
        <v>37</v>
      </c>
      <c r="BK44" s="720" t="s">
        <v>304</v>
      </c>
      <c r="BL44" s="721" t="s">
        <v>305</v>
      </c>
      <c r="BM44" s="721" t="s">
        <v>306</v>
      </c>
      <c r="BN44" s="721" t="s">
        <v>488</v>
      </c>
      <c r="BO44" s="135" t="s">
        <v>489</v>
      </c>
      <c r="BP44" s="721" t="s">
        <v>490</v>
      </c>
      <c r="BQ44" s="721" t="s">
        <v>305</v>
      </c>
      <c r="BR44" s="721" t="s">
        <v>523</v>
      </c>
      <c r="BS44" s="721" t="s">
        <v>524</v>
      </c>
      <c r="BT44" s="135" t="s">
        <v>525</v>
      </c>
      <c r="BU44" s="721" t="s">
        <v>526</v>
      </c>
      <c r="BW44" s="164" t="s">
        <v>314</v>
      </c>
      <c r="BX44" s="164" t="s">
        <v>23</v>
      </c>
      <c r="BY44" s="168" t="s">
        <v>315</v>
      </c>
      <c r="BZ44" s="164" t="s">
        <v>122</v>
      </c>
      <c r="CA44" s="164" t="s">
        <v>316</v>
      </c>
      <c r="CB44" s="164" t="s">
        <v>317</v>
      </c>
      <c r="CC44" s="164" t="s">
        <v>318</v>
      </c>
    </row>
    <row r="45" spans="1:81" ht="14.65"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I45" s="722" t="s">
        <v>319</v>
      </c>
      <c r="BJ45" s="722">
        <v>1</v>
      </c>
      <c r="BK45" s="722" t="s">
        <v>320</v>
      </c>
      <c r="BL45" s="761">
        <f>BM45*BN45</f>
        <v>0</v>
      </c>
      <c r="BM45" s="725"/>
      <c r="BN45" s="762"/>
      <c r="BO45" s="142">
        <f>IF(SUM(BM45:BM47=0),0,SUM(BL45:BL47)/SUM(BM45:BM47))</f>
        <v>0</v>
      </c>
      <c r="BP45" s="762">
        <v>6.9444444444444447E-4</v>
      </c>
      <c r="BQ45" s="761">
        <f>BR45*BS45</f>
        <v>9.5728009259259247E-4</v>
      </c>
      <c r="BR45" s="737">
        <v>7.5190000000000001</v>
      </c>
      <c r="BS45" s="763">
        <v>1.273148148148148E-4</v>
      </c>
      <c r="BT45" s="142">
        <f>IF(SUM(BR45:BR47=0),0,SUM(BQ45:BQ47)/SUM(BR45:BR47))</f>
        <v>1.273148148148148E-4</v>
      </c>
      <c r="BU45" s="762">
        <v>6.9444444444444447E-4</v>
      </c>
      <c r="BX45" s="666" t="str">
        <f t="shared" ref="BX45:BX56" si="7">TEXT(CONCATENATE(CC45,"/01/20",CB45),"MMM")</f>
        <v>Oct</v>
      </c>
      <c r="BY45" s="728">
        <f>IF(CB45=$CB57,SUMIF($BI45:$BI56,$BX45,$BR45:$BR56),SUMIF($BI45:$BI56,$BX45,$BM45:$BM56))</f>
        <v>0</v>
      </c>
      <c r="BZ45" s="762">
        <f>IF(IF(CB45=CB57,SUMIF(BI45:BI56,$BX45,BU45:BU56),SUMIF(BI45:BI56,$BX45,BP45:BP56))=0,NA(),IF(CB45=CB57,SUMIF(BI45:BI56,$BX45,BU45:BU56),SUMIF(BI45:BI56,$BX45,BP45:BP56)))</f>
        <v>6.9444444444444447E-4</v>
      </c>
      <c r="CA45" s="764" t="e">
        <f>IF(IF(CB45=CB57,SUMIF(BI45:BI56,$BX45,BS45:BS56),SUMIF(BI45:BI56,$BX45,BN45:BN56))=0,NA(),IF(CB45=CB57,SUMIF(BI45:BI56,$BX45,BS45:BS56),SUMIF(BI45:BI56,$BX45,BN45:BN56)))</f>
        <v>#N/A</v>
      </c>
      <c r="CB45" s="730">
        <v>20</v>
      </c>
      <c r="CC45" s="730">
        <f t="shared" ref="CC45:CC55" si="8">IF(CC46-1&lt;1,CC46+11,CC46-1)</f>
        <v>10</v>
      </c>
    </row>
    <row r="46" spans="1:81" ht="14.65" customHeight="1">
      <c r="B46" s="45" t="s">
        <v>350</v>
      </c>
      <c r="C46" s="46"/>
      <c r="D46" s="46"/>
      <c r="E46" s="46"/>
      <c r="F46" s="46"/>
      <c r="G46" s="11"/>
      <c r="H46" s="11"/>
      <c r="I46" s="11"/>
      <c r="J46" s="11"/>
      <c r="K46" s="11"/>
      <c r="L46" s="48"/>
      <c r="M46" s="46"/>
      <c r="N46" s="4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I46" s="722" t="s">
        <v>321</v>
      </c>
      <c r="BJ46" s="722">
        <v>2</v>
      </c>
      <c r="BK46" s="722" t="s">
        <v>320</v>
      </c>
      <c r="BL46" s="761">
        <f t="shared" ref="BL46:BL56" si="9">BM46*BN46</f>
        <v>0</v>
      </c>
      <c r="BM46" s="725"/>
      <c r="BN46" s="762"/>
      <c r="BO46" s="137"/>
      <c r="BP46" s="762">
        <v>6.9444444444444447E-4</v>
      </c>
      <c r="BQ46" s="761">
        <f t="shared" ref="BQ46:BQ56" si="10">BR46*BS46</f>
        <v>0</v>
      </c>
      <c r="BR46" s="758"/>
      <c r="BS46" s="759"/>
      <c r="BT46" s="137"/>
      <c r="BU46" s="762">
        <v>6.9444444444444447E-4</v>
      </c>
      <c r="BX46" s="666" t="str">
        <f t="shared" si="7"/>
        <v>Nov</v>
      </c>
      <c r="BY46" s="728">
        <f>IF(CB46=$CB57,SUMIF($BI45:$BI56,$BX46,$BR45:$BR56),SUMIF($BI45:$BI56,$BX46,$BM45:$BM56))</f>
        <v>0</v>
      </c>
      <c r="BZ46" s="762">
        <f>IF(IF(CB46=CB57,SUMIF(BI45:BI56,$BX46,BU45:BU56),SUMIF(BI45:BI56,$BX46,BP45:BP56))=0,NA(),IF(CB46=CB57,SUMIF(BI45:BI56,$BX46,BU45:BU56),SUMIF(BI45:BI56,$BX46,BP45:BP56)))</f>
        <v>6.9444444444444447E-4</v>
      </c>
      <c r="CA46" s="764" t="e">
        <f>IF(IF(CB46=CB57,SUMIF(BI45:BI56,$BX46,BS45:BS56),SUMIF(BI45:BI56,$BX46,BN45:BN56))=0,NA(),IF(CB46=CB57,SUMIF(BI45:BI56,$BX46,BS45:BS56),SUMIF(BI45:BI56,$BX46,BN45:BN56)))</f>
        <v>#N/A</v>
      </c>
      <c r="CB46" s="730">
        <v>20</v>
      </c>
      <c r="CC46" s="730">
        <f t="shared" si="8"/>
        <v>11</v>
      </c>
    </row>
    <row r="47" spans="1:81" ht="14.65" customHeight="1">
      <c r="F47" s="21"/>
      <c r="G47" s="22"/>
      <c r="BI47" s="722" t="s">
        <v>322</v>
      </c>
      <c r="BJ47" s="722">
        <v>3</v>
      </c>
      <c r="BK47" s="722" t="s">
        <v>320</v>
      </c>
      <c r="BL47" s="761">
        <f t="shared" si="9"/>
        <v>0</v>
      </c>
      <c r="BM47" s="725"/>
      <c r="BN47" s="762"/>
      <c r="BO47" s="137"/>
      <c r="BP47" s="762">
        <v>6.9444444444444447E-4</v>
      </c>
      <c r="BQ47" s="761">
        <f t="shared" si="10"/>
        <v>0</v>
      </c>
      <c r="BR47" s="758"/>
      <c r="BS47" s="759"/>
      <c r="BT47" s="137"/>
      <c r="BU47" s="762">
        <v>6.9444444444444447E-4</v>
      </c>
      <c r="BX47" s="666" t="str">
        <f t="shared" si="7"/>
        <v>Dec</v>
      </c>
      <c r="BY47" s="728">
        <f>IF(CB47=$CB57,SUMIF($BI45:$BI56,$BX47,$BR45:$BR56),SUMIF($BI45:$BI56,$BX47,$BM45:$BM56))</f>
        <v>0</v>
      </c>
      <c r="BZ47" s="762">
        <f>IF(IF(CB47=CB57,SUMIF(BI45:BI56,$BX47,BU45:BU56),SUMIF(BI45:BI56,$BX47,BP45:BP56))=0,NA(),IF(CB47=CB57,SUMIF(BI45:BI56,$BX47,BU45:BU56),SUMIF(BI45:BI56,$BX47,BP45:BP56)))</f>
        <v>6.9444444444444447E-4</v>
      </c>
      <c r="CA47" s="764" t="e">
        <f>IF(IF(CB47=CB57,SUMIF(BI45:BI56,$BX47,BS45:BS56),SUMIF(BI45:BI56,$BX47,BN45:BN56))=0,NA(),IF(CB47=CB57,SUMIF(BI45:BI56,$BX47,BS45:BS56),SUMIF(BI45:BI56,$BX47,BN45:BN56)))</f>
        <v>#N/A</v>
      </c>
      <c r="CB47" s="730">
        <v>20</v>
      </c>
      <c r="CC47" s="730">
        <f t="shared" si="8"/>
        <v>12</v>
      </c>
    </row>
    <row r="48" spans="1:81" ht="14.65" customHeight="1">
      <c r="B48" s="52"/>
      <c r="F48" s="21"/>
      <c r="G48" s="22"/>
      <c r="AD48"/>
      <c r="BI48" s="722" t="s">
        <v>323</v>
      </c>
      <c r="BJ48" s="722">
        <v>4</v>
      </c>
      <c r="BK48" s="722" t="s">
        <v>324</v>
      </c>
      <c r="BL48" s="761">
        <f t="shared" si="9"/>
        <v>0</v>
      </c>
      <c r="BM48" s="725"/>
      <c r="BN48" s="762"/>
      <c r="BO48" s="142">
        <f>IF(SUM(BM48:BM50=0),0,SUM(BL48:BL50)/SUM(BM48:BM50))</f>
        <v>0</v>
      </c>
      <c r="BP48" s="762">
        <v>6.9444444444444447E-4</v>
      </c>
      <c r="BQ48" s="761">
        <f t="shared" si="10"/>
        <v>0</v>
      </c>
      <c r="BR48" s="758"/>
      <c r="BS48" s="755"/>
      <c r="BT48" s="142">
        <f>IF(SUM(BR48:BR50=0),0,SUM(BQ48:BQ50)/SUM(BR48:BR50))</f>
        <v>0</v>
      </c>
      <c r="BU48" s="762">
        <v>6.9444444444444447E-4</v>
      </c>
      <c r="BX48" s="666" t="str">
        <f t="shared" si="7"/>
        <v>Jan</v>
      </c>
      <c r="BY48" s="728">
        <f>IF(CB48=$CB57,SUMIF($BI45:$BI56,$BX48,$BR45:$BR56),SUMIF($BI45:$BI56,$BX48,$BM45:$BM56))</f>
        <v>0</v>
      </c>
      <c r="BZ48" s="762">
        <f>IF(IF(CB48=CB57,SUMIF(BI45:BI56,$BX48,BU45:BU56),SUMIF(BI45:BI56,$BX48,BP45:BP56))=0,NA(),IF(CB48=CB57,SUMIF(BI45:BI56,$BX48,BU45:BU56),SUMIF(BI45:BI56,$BX48,BP45:BP56)))</f>
        <v>6.9444444444444447E-4</v>
      </c>
      <c r="CA48" s="764" t="e">
        <f>IF(IF(CB48=CB57,SUMIF(BI45:BI56,$BX48,BS45:BS56),SUMIF(BI45:BI56,$BX48,BN45:BN56))=0,NA(),IF(CB48=CB57,SUMIF(BI45:BI56,$BX48,BS45:BS56),SUMIF(BI45:BI56,$BX48,BN45:BN56)))</f>
        <v>#N/A</v>
      </c>
      <c r="CB48" s="730">
        <v>20</v>
      </c>
      <c r="CC48" s="730">
        <f t="shared" si="8"/>
        <v>1</v>
      </c>
    </row>
    <row r="49" spans="61:81" ht="14.65" customHeight="1">
      <c r="BI49" s="722" t="s">
        <v>325</v>
      </c>
      <c r="BJ49" s="722">
        <v>5</v>
      </c>
      <c r="BK49" s="722" t="s">
        <v>324</v>
      </c>
      <c r="BL49" s="761">
        <f t="shared" si="9"/>
        <v>0</v>
      </c>
      <c r="BM49" s="725"/>
      <c r="BN49" s="762"/>
      <c r="BO49" s="137"/>
      <c r="BP49" s="762">
        <v>6.9444444444444447E-4</v>
      </c>
      <c r="BQ49" s="761">
        <f t="shared" si="10"/>
        <v>0</v>
      </c>
      <c r="BR49" s="758"/>
      <c r="BS49" s="755"/>
      <c r="BT49" s="137"/>
      <c r="BU49" s="762">
        <v>6.9444444444444447E-4</v>
      </c>
      <c r="BX49" s="666" t="str">
        <f t="shared" si="7"/>
        <v>Feb</v>
      </c>
      <c r="BY49" s="728">
        <f>IF(CB49=$CB57,SUMIF($BI45:$BI56,$BX49,$BR45:$BR56),SUMIF($BI45:$BI56,$BX49,$BM45:$BM56))</f>
        <v>0</v>
      </c>
      <c r="BZ49" s="762">
        <f>IF(IF(CB49=CB57,SUMIF(BI45:BI56,$BX49,BU45:BU56),SUMIF(BI45:BI56,$BX49,BP45:BP56))=0,NA(),IF(CB49=CB57,SUMIF(BI45:BI56,$BX49,BU45:BU56),SUMIF(BI45:BI56,$BX49,BP45:BP56)))</f>
        <v>6.9444444444444447E-4</v>
      </c>
      <c r="CA49" s="764" t="e">
        <f>IF(IF(CB49=CB57,SUMIF(BI45:BI56,$BX49,BS45:BS56),SUMIF(BI45:BI56,$BX49,BN45:BN56))=0,NA(),IF(CB49=CB57,SUMIF(BI45:BI56,$BX49,BS45:BS56),SUMIF(BI45:BI56,$BX49,BN45:BN56)))</f>
        <v>#N/A</v>
      </c>
      <c r="CB49" s="730">
        <v>20</v>
      </c>
      <c r="CC49" s="730">
        <f t="shared" si="8"/>
        <v>2</v>
      </c>
    </row>
    <row r="50" spans="61:81" ht="14.65" customHeight="1">
      <c r="BI50" s="722" t="s">
        <v>326</v>
      </c>
      <c r="BJ50" s="722">
        <v>6</v>
      </c>
      <c r="BK50" s="722" t="s">
        <v>324</v>
      </c>
      <c r="BL50" s="761">
        <f t="shared" si="9"/>
        <v>0</v>
      </c>
      <c r="BM50" s="725"/>
      <c r="BN50" s="762"/>
      <c r="BO50" s="137"/>
      <c r="BP50" s="762">
        <v>6.9444444444444447E-4</v>
      </c>
      <c r="BQ50" s="761">
        <f t="shared" si="10"/>
        <v>0</v>
      </c>
      <c r="BR50" s="758"/>
      <c r="BS50" s="755"/>
      <c r="BT50" s="137"/>
      <c r="BU50" s="762">
        <v>6.9444444444444447E-4</v>
      </c>
      <c r="BX50" s="666" t="str">
        <f t="shared" si="7"/>
        <v>Mar</v>
      </c>
      <c r="BY50" s="728">
        <f>IF(CB50=$CB57,SUMIF($BI45:$BI56,$BX50,$BR45:$BR56),SUMIF($BI45:$BI56,$BX50,$BM45:$BM56))</f>
        <v>0</v>
      </c>
      <c r="BZ50" s="762">
        <f>IF(IF(CB50=CB57,SUMIF(BI45:BI56,$BX50,BU45:BU56),SUMIF(BI45:BI56,$BX50,BP45:BP56))=0,NA(),IF(CB50=CB57,SUMIF(BI45:BI56,$BX50,BU45:BU56),SUMIF(BI45:BI56,$BX50,BP45:BP56)))</f>
        <v>6.9444444444444447E-4</v>
      </c>
      <c r="CA50" s="764" t="e">
        <f>IF(IF(CB50=CB57,SUMIF(BI45:BI56,$BX50,BS45:BS56),SUMIF(BI45:BI56,$BX50,BN45:BN56))=0,NA(),IF(CB50=CB57,SUMIF(BI45:BI56,$BX50,BS45:BS56),SUMIF(BI45:BI56,$BX50,BN45:BN56)))</f>
        <v>#N/A</v>
      </c>
      <c r="CB50" s="730">
        <v>20</v>
      </c>
      <c r="CC50" s="730">
        <f t="shared" si="8"/>
        <v>3</v>
      </c>
    </row>
    <row r="51" spans="61:81" ht="14.65" customHeight="1">
      <c r="BI51" s="722" t="s">
        <v>327</v>
      </c>
      <c r="BJ51" s="722">
        <v>7</v>
      </c>
      <c r="BK51" s="722" t="s">
        <v>328</v>
      </c>
      <c r="BL51" s="761">
        <f t="shared" si="9"/>
        <v>7.3756944444444434E-4</v>
      </c>
      <c r="BM51" s="725">
        <v>3.3539999999999996</v>
      </c>
      <c r="BN51" s="762">
        <v>2.199074074074074E-4</v>
      </c>
      <c r="BO51" s="142">
        <f>IF(SUM(BM51:BM53=0),0,SUM(BL51:BL53)/SUM(BM51:BM53))</f>
        <v>2.1652477912351533E-4</v>
      </c>
      <c r="BP51" s="762">
        <v>6.9444444444444447E-4</v>
      </c>
      <c r="BQ51" s="761">
        <f t="shared" si="10"/>
        <v>0</v>
      </c>
      <c r="BR51" s="737"/>
      <c r="BS51" s="763"/>
      <c r="BT51" s="142">
        <f>IF(SUM(BR51:BR53=0),0,SUM(BQ51:BQ53)/SUM(BR51:BR53))</f>
        <v>0</v>
      </c>
      <c r="BU51" s="762">
        <v>6.9444444444444447E-4</v>
      </c>
      <c r="BX51" s="666" t="str">
        <f t="shared" si="7"/>
        <v>Apr</v>
      </c>
      <c r="BY51" s="728">
        <f>IF(CB51=$CB57,SUMIF($BI45:$BI56,$BX51,$BR45:$BR56),SUMIF($BI45:$BI56,$BX51,$BM45:$BM56))</f>
        <v>3.3539999999999996</v>
      </c>
      <c r="BZ51" s="762">
        <f>IF(IF(CB51=CB57,SUMIF(BI45:BI56,$BX51,BU45:BU56),SUMIF(BI45:BI56,$BX51,BP45:BP56))=0,NA(),IF(CB51=CB57,SUMIF(BI45:BI56,$BX51,BU45:BU56),SUMIF(BI45:BI56,$BX51,BP45:BP56)))</f>
        <v>6.9444444444444447E-4</v>
      </c>
      <c r="CA51" s="764">
        <f>IF(IF(CB51=CB57,SUMIF(BI45:BI56,$BX51,BS45:BS56),SUMIF(BI45:BI56,$BX51,BN45:BN56))=0,NA(),IF(CB51=CB57,SUMIF(BI45:BI56,$BX51,BS45:BS56),SUMIF(BI45:BI56,$BX51,BN45:BN56)))</f>
        <v>2.199074074074074E-4</v>
      </c>
      <c r="CB51" s="730">
        <v>20</v>
      </c>
      <c r="CC51" s="730">
        <f t="shared" si="8"/>
        <v>4</v>
      </c>
    </row>
    <row r="52" spans="61:81" ht="14.65" customHeight="1">
      <c r="BI52" s="722" t="s">
        <v>329</v>
      </c>
      <c r="BJ52" s="722">
        <v>8</v>
      </c>
      <c r="BK52" s="722" t="s">
        <v>328</v>
      </c>
      <c r="BL52" s="761">
        <f t="shared" si="9"/>
        <v>5.3958333333333332E-4</v>
      </c>
      <c r="BM52" s="725">
        <v>2.59</v>
      </c>
      <c r="BN52" s="762">
        <v>2.0833333333333335E-4</v>
      </c>
      <c r="BO52" s="137"/>
      <c r="BP52" s="762">
        <v>6.9444444444444447E-4</v>
      </c>
      <c r="BQ52" s="761">
        <f t="shared" si="10"/>
        <v>0</v>
      </c>
      <c r="BR52" s="737"/>
      <c r="BS52" s="763"/>
      <c r="BT52" s="137"/>
      <c r="BU52" s="762">
        <v>6.9444444444444447E-4</v>
      </c>
      <c r="BX52" s="666" t="str">
        <f t="shared" si="7"/>
        <v>May</v>
      </c>
      <c r="BY52" s="728">
        <f>IF(CB52=$CB57,SUMIF($BI45:$BI56,$BX52,$BR45:$BR56),SUMIF($BI45:$BI56,$BX52,$BM45:$BM56))</f>
        <v>2.59</v>
      </c>
      <c r="BZ52" s="762">
        <f>IF(IF(CB52=CB57,SUMIF(BI45:BI56,$BX52,BU45:BU56),SUMIF(BI45:BI56,$BX52,BP45:BP56))=0,NA(),IF(CB52=CB57,SUMIF(BI45:BI56,$BX52,BU45:BU56),SUMIF(BI45:BI56,$BX52,BP45:BP56)))</f>
        <v>6.9444444444444447E-4</v>
      </c>
      <c r="CA52" s="764">
        <f>IF(IF(CB52=CB57,SUMIF(BI45:BI56,$BX52,BS45:BS56),SUMIF(BI45:BI56,$BX52,BN45:BN56))=0,NA(),IF(CB52=CB57,SUMIF(BI45:BI56,$BX52,BS45:BS56),SUMIF(BI45:BI56,$BX52,BN45:BN56)))</f>
        <v>2.0833333333333335E-4</v>
      </c>
      <c r="CB52" s="730">
        <v>20</v>
      </c>
      <c r="CC52" s="730">
        <f t="shared" si="8"/>
        <v>5</v>
      </c>
    </row>
    <row r="53" spans="61:81" ht="14.65" customHeight="1">
      <c r="BI53" s="722" t="s">
        <v>331</v>
      </c>
      <c r="BJ53" s="722">
        <v>9</v>
      </c>
      <c r="BK53" s="722" t="s">
        <v>328</v>
      </c>
      <c r="BL53" s="761">
        <f t="shared" si="9"/>
        <v>6.4168981481481477E-4</v>
      </c>
      <c r="BM53" s="725">
        <v>2.9179999999999997</v>
      </c>
      <c r="BN53" s="762">
        <v>2.199074074074074E-4</v>
      </c>
      <c r="BO53" s="137"/>
      <c r="BP53" s="762">
        <v>6.9444444444444447E-4</v>
      </c>
      <c r="BQ53" s="761">
        <f t="shared" si="10"/>
        <v>0</v>
      </c>
      <c r="BR53" s="737"/>
      <c r="BS53" s="763"/>
      <c r="BT53" s="137"/>
      <c r="BU53" s="762">
        <v>6.9444444444444447E-4</v>
      </c>
      <c r="BX53" s="666" t="str">
        <f t="shared" si="7"/>
        <v>Jun</v>
      </c>
      <c r="BY53" s="728">
        <f>IF(CB53=$CB57,SUMIF($BI45:$BI56,$BX53,$BR45:$BR56),SUMIF($BI45:$BI56,$BX53,$BM45:$BM56))</f>
        <v>2.9179999999999997</v>
      </c>
      <c r="BZ53" s="762">
        <f>IF(IF(CB53=CB57,SUMIF(BI45:BI56,$BX53,BU45:BU56),SUMIF(BI45:BI56,$BX53,BP45:BP56))=0,NA(),IF(CB53=CB57,SUMIF(BI45:BI56,$BX53,BU45:BU56),SUMIF(BI45:BI56,$BX53,BP45:BP56)))</f>
        <v>6.9444444444444447E-4</v>
      </c>
      <c r="CA53" s="764">
        <f>IF(IF(CB53=CB57,SUMIF(BI45:BI56,$BX53,BS45:BS56),SUMIF(BI45:BI56,$BX53,BN45:BN56))=0,NA(),IF(CB53=CB57,SUMIF(BI45:BI56,$BX53,BS45:BS56),SUMIF(BI45:BI56,$BX53,BN45:BN56)))</f>
        <v>2.199074074074074E-4</v>
      </c>
      <c r="CB53" s="730">
        <v>20</v>
      </c>
      <c r="CC53" s="730">
        <f t="shared" si="8"/>
        <v>6</v>
      </c>
    </row>
    <row r="54" spans="61:81" ht="14.65" customHeight="1">
      <c r="BI54" s="722" t="s">
        <v>337</v>
      </c>
      <c r="BJ54" s="722">
        <v>10</v>
      </c>
      <c r="BK54" s="722" t="s">
        <v>338</v>
      </c>
      <c r="BL54" s="761">
        <f t="shared" si="9"/>
        <v>7.09236111111111E-4</v>
      </c>
      <c r="BM54" s="725">
        <v>2.9180000000000001</v>
      </c>
      <c r="BN54" s="762">
        <v>2.4305555555555552E-4</v>
      </c>
      <c r="BO54" s="142">
        <f>IF(SUM(BM54:BM56=0),0,SUM(BL54:BL56)/SUM(BM54:BM56))</f>
        <v>1.9908131263257986E-4</v>
      </c>
      <c r="BP54" s="762">
        <v>6.9444444444444447E-4</v>
      </c>
      <c r="BQ54" s="761">
        <f t="shared" si="10"/>
        <v>0</v>
      </c>
      <c r="BR54" s="737"/>
      <c r="BS54" s="763"/>
      <c r="BT54" s="142">
        <f>IF(SUM(BR54:BR56=0),0,SUM(BQ54:BQ56)/SUM(BR54:BR56))</f>
        <v>0</v>
      </c>
      <c r="BU54" s="762">
        <v>6.9444444444444447E-4</v>
      </c>
      <c r="BX54" s="666" t="str">
        <f t="shared" si="7"/>
        <v>Jul</v>
      </c>
      <c r="BY54" s="728">
        <f>IF(CB54=$CB57,SUMIF($BI45:$BI56,$BX54,$BR45:$BR56),SUMIF($BI45:$BI56,$BX54,$BM45:$BM56))</f>
        <v>2.9180000000000001</v>
      </c>
      <c r="BZ54" s="762">
        <f>IF(IF(CB54=CB57,SUMIF(BI45:BI56,$BX54,BU45:BU56),SUMIF(BI45:BI56,$BX54,BP45:BP56))=0,NA(),IF(CB54=CB57,SUMIF(BI45:BI56,$BX54,BU45:BU56),SUMIF(BI45:BI56,$BX54,BP45:BP56)))</f>
        <v>6.9444444444444447E-4</v>
      </c>
      <c r="CA54" s="764">
        <f>IF(IF(CB54=CB57,SUMIF(BI45:BI56,$BX54,BS45:BS56),SUMIF(BI45:BI56,$BX54,BN45:BN56))=0,NA(),IF(CB54=CB57,SUMIF(BI45:BI56,$BX54,BS45:BS56),SUMIF(BI45:BI56,$BX54,BN45:BN56)))</f>
        <v>2.4305555555555552E-4</v>
      </c>
      <c r="CB54" s="730">
        <v>20</v>
      </c>
      <c r="CC54" s="730">
        <f t="shared" si="8"/>
        <v>7</v>
      </c>
    </row>
    <row r="55" spans="61:81" ht="14.65" customHeight="1">
      <c r="BI55" s="722" t="s">
        <v>343</v>
      </c>
      <c r="BJ55" s="722">
        <v>11</v>
      </c>
      <c r="BK55" s="722" t="s">
        <v>338</v>
      </c>
      <c r="BL55" s="761">
        <f t="shared" si="9"/>
        <v>6.7055555555555553E-4</v>
      </c>
      <c r="BM55" s="725">
        <v>3.621</v>
      </c>
      <c r="BN55" s="762">
        <v>1.8518518518518518E-4</v>
      </c>
      <c r="BO55" s="137"/>
      <c r="BP55" s="762">
        <v>6.9444444444444447E-4</v>
      </c>
      <c r="BQ55" s="761">
        <f t="shared" si="10"/>
        <v>0</v>
      </c>
      <c r="BR55" s="737"/>
      <c r="BS55" s="763"/>
      <c r="BT55" s="137"/>
      <c r="BU55" s="762">
        <v>6.9444444444444447E-4</v>
      </c>
      <c r="BX55" s="666" t="str">
        <f t="shared" si="7"/>
        <v>Aug</v>
      </c>
      <c r="BY55" s="728">
        <f>IF(CB55=$CB57,SUMIF($BI45:$BI56,$BX55,$BR45:$BR56),SUMIF($BI45:$BI56,$BX55,$BM45:$BM56))</f>
        <v>3.621</v>
      </c>
      <c r="BZ55" s="762">
        <f>IF(IF(CB55=CB57,SUMIF(BI45:BI56,$BX55,BU45:BU56),SUMIF(BI45:BI56,$BX55,BP45:BP56))=0,NA(),IF(CB55=CB57,SUMIF(BI45:BI56,$BX55,BU45:BU56),SUMIF(BI45:BI56,$BX55,BP45:BP56)))</f>
        <v>6.9444444444444447E-4</v>
      </c>
      <c r="CA55" s="764">
        <f>IF(IF(CB55=CB57,SUMIF(BI45:BI56,$BX55,BS45:BS56),SUMIF(BI45:BI56,$BX55,BN45:BN56))=0,NA(),IF(CB55=CB57,SUMIF(BI45:BI56,$BX55,BS45:BS56),SUMIF(BI45:BI56,$BX55,BN45:BN56)))</f>
        <v>1.8518518518518518E-4</v>
      </c>
      <c r="CB55" s="730">
        <v>20</v>
      </c>
      <c r="CC55" s="730">
        <f t="shared" si="8"/>
        <v>8</v>
      </c>
    </row>
    <row r="56" spans="61:81" ht="14.65" customHeight="1">
      <c r="BI56" s="722" t="s">
        <v>344</v>
      </c>
      <c r="BJ56" s="722">
        <v>12</v>
      </c>
      <c r="BK56" s="722" t="s">
        <v>338</v>
      </c>
      <c r="BL56" s="761">
        <f t="shared" si="9"/>
        <v>1.0394444444444444E-3</v>
      </c>
      <c r="BM56" s="725">
        <v>5.6130000000000004</v>
      </c>
      <c r="BN56" s="762">
        <v>1.8518518518518518E-4</v>
      </c>
      <c r="BO56" s="137"/>
      <c r="BP56" s="762">
        <v>6.9444444444444447E-4</v>
      </c>
      <c r="BQ56" s="761">
        <f t="shared" si="10"/>
        <v>0</v>
      </c>
      <c r="BR56" s="737"/>
      <c r="BS56" s="763"/>
      <c r="BT56" s="137"/>
      <c r="BU56" s="762">
        <v>6.9444444444444447E-4</v>
      </c>
      <c r="BX56" s="666" t="str">
        <f t="shared" si="7"/>
        <v>Sep</v>
      </c>
      <c r="BY56" s="728">
        <f>IF(CB56=$CB57,SUMIF($BI45:$BI56,$BX56,$BR45:$BR56),SUMIF($BI45:$BI56,$BX56,$BM45:$BM56))</f>
        <v>5.6130000000000004</v>
      </c>
      <c r="BZ56" s="762">
        <f>IF(IF(CB56=CB57,SUMIF(BI45:BI56,$BX56,BU45:BU56),SUMIF(BI45:BI56,$BX56,BP45:BP56))=0,NA(),IF(CB56=CB57,SUMIF(BI45:BI56,$BX56,BU45:BU56),SUMIF(BI45:BI56,$BX56,BP45:BP56)))</f>
        <v>6.9444444444444447E-4</v>
      </c>
      <c r="CA56" s="764">
        <f>IF(IF(CB56=CB57,SUMIF(BI45:BI56,$BX56,BS45:BS56),SUMIF(BI45:BI56,$BX56,BN45:BN56))=0,NA(),IF(CB56=CB57,SUMIF(BI45:BI56,$BX56,BS45:BS56),SUMIF(BI45:BI56,$BX56,BN45:BN56)))</f>
        <v>1.8518518518518518E-4</v>
      </c>
      <c r="CB56" s="730">
        <v>20</v>
      </c>
      <c r="CC56" s="730">
        <f>IF(CC57-1&lt;1,CC57+11,CC57-1)</f>
        <v>9</v>
      </c>
    </row>
    <row r="57" spans="61:81" ht="14.65" customHeight="1">
      <c r="BJ57" s="2"/>
      <c r="BK57" s="2"/>
      <c r="BL57" s="2"/>
      <c r="BM57" s="2"/>
      <c r="BN57" s="2"/>
      <c r="BO57" s="2"/>
      <c r="BP57" s="2"/>
      <c r="BQ57" s="2"/>
      <c r="BS57" s="2"/>
      <c r="BW57" s="667" t="str">
        <f>Cover!$M$34</f>
        <v>OCT FY-24</v>
      </c>
      <c r="BX57" s="666" t="str">
        <f>TEXT(CONCATENATE(CC57,"/01/20",CB57),"MMM")</f>
        <v>Oct</v>
      </c>
      <c r="BY57" s="728">
        <f>SUMIF($BI45:$BI56,$BX57,$BR45:$BR56)</f>
        <v>7.5190000000000001</v>
      </c>
      <c r="BZ57" s="762">
        <f>IF(IF(CB57=CB57,SUMIF(BI45:BI56,$BX57,BU45:BU56),SUMIF(BI45:BI56,$BX57,BP45:BP56))=0,NA(),IF(CB57=CB57,SUMIF(BI45:BI56,$BX57,BU45:BU56),SUMIF(BI45:BI56,$BX57,BP45:BP56)))</f>
        <v>6.9444444444444447E-4</v>
      </c>
      <c r="CA57" s="764">
        <f>IF(SUMIF($BI45:$BI56,$BX57,$BS45:$BS56)=0,NA(),SUMIF($BI45:$BI56,$BX57,$BS45:$BS56))</f>
        <v>1.273148148148148E-4</v>
      </c>
      <c r="CB57" s="730">
        <v>21</v>
      </c>
      <c r="CC57" s="730">
        <f>MONTH(DATEVALUE(LEFT(BW57,3)&amp;" 1"))</f>
        <v>10</v>
      </c>
    </row>
    <row r="59" spans="61:81" ht="14.65" customHeight="1">
      <c r="BI59" s="1" t="s">
        <v>292</v>
      </c>
      <c r="BJ59" s="166" t="s">
        <v>478</v>
      </c>
      <c r="BK59" s="166"/>
      <c r="BL59" s="166"/>
      <c r="BM59" s="166"/>
      <c r="BN59" s="166"/>
      <c r="BO59" s="166"/>
      <c r="BP59" s="166"/>
      <c r="BQ59" s="166"/>
      <c r="BR59" s="166"/>
      <c r="BS59" s="166"/>
      <c r="BT59" s="166"/>
      <c r="BU59" s="166"/>
    </row>
    <row r="60" spans="61:81" ht="14.65" customHeight="1">
      <c r="BI60" s="54" t="s">
        <v>296</v>
      </c>
      <c r="BJ60" s="165" t="s">
        <v>593</v>
      </c>
      <c r="BK60" s="165"/>
      <c r="BL60" s="165"/>
      <c r="BM60" s="165"/>
      <c r="BN60" s="165"/>
      <c r="BO60" s="165"/>
      <c r="BP60" s="165"/>
      <c r="BQ60" s="165"/>
      <c r="BR60" s="165"/>
      <c r="BS60" s="165"/>
      <c r="BT60" s="165"/>
      <c r="BU60" s="165"/>
    </row>
    <row r="61" spans="61:81" ht="14.65" customHeight="1" thickBot="1">
      <c r="BI61" s="1" t="s">
        <v>300</v>
      </c>
      <c r="BJ61" s="165" t="s">
        <v>594</v>
      </c>
      <c r="BK61" s="165"/>
      <c r="BL61" s="165"/>
      <c r="BM61" s="165"/>
      <c r="BN61" s="165"/>
      <c r="BO61" s="165"/>
      <c r="BP61" s="165"/>
      <c r="BQ61" s="165"/>
      <c r="BR61" s="165"/>
      <c r="BS61" s="165"/>
      <c r="BT61" s="165"/>
      <c r="BU61" s="165"/>
    </row>
    <row r="62" spans="61:81" ht="14.65" customHeight="1" thickBot="1">
      <c r="BI62" s="2"/>
      <c r="BJ62" s="2"/>
      <c r="BK62" s="2"/>
      <c r="BL62" s="1490" t="s">
        <v>487</v>
      </c>
      <c r="BM62" s="1491"/>
      <c r="BN62" s="1491"/>
      <c r="BO62" s="1491"/>
      <c r="BP62" s="1521"/>
      <c r="BQ62" s="1490" t="s">
        <v>522</v>
      </c>
      <c r="BR62" s="1491"/>
      <c r="BS62" s="1491"/>
      <c r="BT62" s="1491"/>
      <c r="BU62" s="1492"/>
      <c r="BW62" s="1490" t="s">
        <v>303</v>
      </c>
      <c r="BX62" s="1491"/>
      <c r="BY62" s="1491"/>
      <c r="BZ62" s="1491"/>
      <c r="CA62" s="1491"/>
      <c r="CB62" s="1491"/>
      <c r="CC62" s="1492"/>
    </row>
    <row r="63" spans="61:81" ht="14.65" customHeight="1">
      <c r="BI63" s="720" t="s">
        <v>23</v>
      </c>
      <c r="BJ63" s="720" t="s">
        <v>37</v>
      </c>
      <c r="BK63" s="720" t="s">
        <v>304</v>
      </c>
      <c r="BL63" s="721" t="s">
        <v>305</v>
      </c>
      <c r="BM63" s="721" t="s">
        <v>306</v>
      </c>
      <c r="BN63" s="721" t="s">
        <v>488</v>
      </c>
      <c r="BO63" s="135" t="s">
        <v>489</v>
      </c>
      <c r="BP63" s="721" t="s">
        <v>490</v>
      </c>
      <c r="BQ63" s="721" t="s">
        <v>305</v>
      </c>
      <c r="BR63" s="721" t="s">
        <v>523</v>
      </c>
      <c r="BS63" s="721" t="s">
        <v>524</v>
      </c>
      <c r="BT63" s="135" t="s">
        <v>525</v>
      </c>
      <c r="BU63" s="721" t="s">
        <v>526</v>
      </c>
      <c r="BW63" s="164" t="s">
        <v>314</v>
      </c>
      <c r="BX63" s="164" t="s">
        <v>23</v>
      </c>
      <c r="BY63" s="168" t="s">
        <v>315</v>
      </c>
      <c r="BZ63" s="164" t="s">
        <v>122</v>
      </c>
      <c r="CA63" s="164" t="s">
        <v>316</v>
      </c>
      <c r="CB63" s="164" t="s">
        <v>317</v>
      </c>
      <c r="CC63" s="164" t="s">
        <v>318</v>
      </c>
    </row>
    <row r="64" spans="61:81" ht="14.65" customHeight="1">
      <c r="BI64" s="722" t="s">
        <v>319</v>
      </c>
      <c r="BJ64" s="722">
        <v>1</v>
      </c>
      <c r="BK64" s="722" t="s">
        <v>320</v>
      </c>
      <c r="BL64" s="765">
        <f>BM64*BN64</f>
        <v>0</v>
      </c>
      <c r="BM64" s="766"/>
      <c r="BN64" s="735"/>
      <c r="BO64" s="139">
        <f>IF(SUM(BL64:BL66=0),0,SUM(BL64:BL66)/SUM(BM64:BM66))</f>
        <v>0</v>
      </c>
      <c r="BP64" s="767">
        <v>0.05</v>
      </c>
      <c r="BQ64" s="765">
        <f>BR64*BS64</f>
        <v>5.6000000000000001E-2</v>
      </c>
      <c r="BR64" s="737">
        <v>7.5190000000000001</v>
      </c>
      <c r="BS64" s="768">
        <f>0.056/BR64</f>
        <v>7.4477989094294452E-3</v>
      </c>
      <c r="BT64" s="139">
        <f>IF(SUM(BQ64:BQ66=0),0,SUM(BQ64:BQ66)/SUM(BR64:BR66))</f>
        <v>7.4477989094294452E-3</v>
      </c>
      <c r="BU64" s="767">
        <v>0.05</v>
      </c>
      <c r="BX64" s="666" t="str">
        <f t="shared" ref="BX64:BX75" si="11">TEXT(CONCATENATE(CC64,"/01/20",CB64),"MMM")</f>
        <v>Oct</v>
      </c>
      <c r="BY64" s="728">
        <f>IF(CB64=$CB76,SUMIF($BI64:$BI75,$BX64,$BR64:$BR75),SUMIF($BI64:$BI75,$BX64,$BM64:$BM75))</f>
        <v>0</v>
      </c>
      <c r="BZ64" s="736">
        <f>IF(IF(CB64=CB76,SUMIF(BI64:BI75,$BX64,BU64:BU75),SUMIF(BI64:BI75,$BX64,BP64:BP75))=0,NA(),IF(CB64=CB76,SUMIF(BI64:BI75,$BX64,BU64:BU75),SUMIF(BI64:BI75,$BX64,BP64:BP75)))</f>
        <v>0.05</v>
      </c>
      <c r="CA64" s="769" t="e">
        <f>IF(IF(CB64=CB76,SUMIF(BI64:BI75,$BX64,BS64:BS75),SUMIF(BI64:BI75,$BX64,BN64:BN75))=0,NA(),IF(CB64=CB76,SUMIF(BI64:BI75,$BX64,BS64:BS75),SUMIF(BI64:BI75,$BX64,BN64:BN75)))</f>
        <v>#N/A</v>
      </c>
      <c r="CB64" s="730">
        <v>20</v>
      </c>
      <c r="CC64" s="730">
        <f t="shared" ref="CC64:CC74" si="12">IF(CC65-1&lt;1,CC65+11,CC65-1)</f>
        <v>10</v>
      </c>
    </row>
    <row r="65" spans="2:81" ht="14.65" customHeight="1">
      <c r="B65" s="44" t="s">
        <v>242</v>
      </c>
      <c r="C65" s="44"/>
      <c r="D65" s="44"/>
      <c r="E65" s="87"/>
      <c r="F65" s="94"/>
      <c r="G65" s="94"/>
      <c r="H65" s="94"/>
      <c r="I65" s="94"/>
      <c r="J65" s="94"/>
      <c r="K65" s="94"/>
      <c r="L65" s="94"/>
      <c r="M65" s="94"/>
      <c r="N65" s="94"/>
      <c r="O65" s="94"/>
      <c r="P65" s="94"/>
      <c r="Q65" s="94"/>
      <c r="R65" s="94"/>
      <c r="S65" s="94"/>
      <c r="T65" s="94"/>
      <c r="U65" s="94"/>
      <c r="V65" s="94"/>
      <c r="W65" s="94"/>
      <c r="X65" s="94"/>
      <c r="Y65" s="94"/>
      <c r="Z65" s="94"/>
      <c r="AA65" s="94"/>
      <c r="AB65" s="94"/>
      <c r="AE65" s="44" t="s">
        <v>242</v>
      </c>
      <c r="AF65" s="44"/>
      <c r="AG65" s="44"/>
      <c r="AH65" s="87"/>
      <c r="AI65" s="94"/>
      <c r="AJ65" s="94"/>
      <c r="AK65" s="94"/>
      <c r="AL65" s="94"/>
      <c r="AM65" s="94"/>
      <c r="AN65" s="94"/>
      <c r="AO65" s="94"/>
      <c r="AP65" s="94"/>
      <c r="AQ65" s="94"/>
      <c r="AR65" s="94"/>
      <c r="AS65" s="94"/>
      <c r="AT65" s="94"/>
      <c r="AU65" s="94"/>
      <c r="AV65" s="94"/>
      <c r="AW65" s="94"/>
      <c r="AX65" s="94"/>
      <c r="AY65" s="94"/>
      <c r="AZ65" s="94"/>
      <c r="BA65" s="94"/>
      <c r="BB65" s="94"/>
      <c r="BC65" s="94"/>
      <c r="BD65" s="94"/>
      <c r="BE65" s="94"/>
      <c r="BI65" s="722" t="s">
        <v>321</v>
      </c>
      <c r="BJ65" s="722">
        <v>2</v>
      </c>
      <c r="BK65" s="722" t="s">
        <v>320</v>
      </c>
      <c r="BL65" s="765">
        <f>BM65*BN65</f>
        <v>0</v>
      </c>
      <c r="BM65" s="766"/>
      <c r="BN65" s="735"/>
      <c r="BO65" s="1"/>
      <c r="BP65" s="767">
        <v>0.05</v>
      </c>
      <c r="BQ65" s="765">
        <f>BR65*BS65</f>
        <v>0</v>
      </c>
      <c r="BR65" s="758"/>
      <c r="BS65" s="759"/>
      <c r="BT65" s="1"/>
      <c r="BU65" s="767">
        <v>0.05</v>
      </c>
      <c r="BX65" s="666" t="str">
        <f t="shared" si="11"/>
        <v>Nov</v>
      </c>
      <c r="BY65" s="728">
        <f>IF(CB65=$CB76,SUMIF($BI64:$BI75,$BX65,$BR64:$BR75),SUMIF($BI64:$BI75,$BX65,$BM64:$BM75))</f>
        <v>0</v>
      </c>
      <c r="BZ65" s="736">
        <f>IF(IF(CB65=CB76,SUMIF(BI64:BI75,$BX65,BU64:BU75),SUMIF(BI64:BI75,$BX65,BP64:BP75))=0,NA(),IF(CB65=CB76,SUMIF(BI64:BI75,$BX65,BU64:BU75),SUMIF(BI64:BI75,$BX65,BP64:BP75)))</f>
        <v>0.05</v>
      </c>
      <c r="CA65" s="769" t="e">
        <f>IF(IF(CB65=CB76,SUMIF(BI64:BI75,$BX65,BS64:BS75),SUMIF(BI64:BI75,$BX65,BN64:BN75))=0,NA(),IF(CB65=CB76,SUMIF(BI64:BI75,$BX65,BS64:BS75),SUMIF(BI64:BI75,$BX65,BN64:BN75)))</f>
        <v>#N/A</v>
      </c>
      <c r="CB65" s="730">
        <v>20</v>
      </c>
      <c r="CC65" s="730">
        <f t="shared" si="12"/>
        <v>11</v>
      </c>
    </row>
    <row r="66" spans="2:81" ht="14.65" customHeight="1">
      <c r="B66" s="1510" t="s">
        <v>595</v>
      </c>
      <c r="C66" s="1511"/>
      <c r="D66" s="1511"/>
      <c r="E66" s="1511"/>
      <c r="F66" s="1511"/>
      <c r="G66" s="1511"/>
      <c r="H66" s="1511"/>
      <c r="I66" s="1511"/>
      <c r="J66" s="1511"/>
      <c r="K66" s="1511"/>
      <c r="L66" s="1511"/>
      <c r="M66" s="1511"/>
      <c r="N66" s="1511"/>
      <c r="O66" s="1511"/>
      <c r="P66" s="1511"/>
      <c r="Q66" s="1511"/>
      <c r="R66" s="1511"/>
      <c r="S66" s="1511"/>
      <c r="T66" s="1511"/>
      <c r="U66" s="1511"/>
      <c r="V66" s="1511"/>
      <c r="W66" s="1511"/>
      <c r="X66" s="1511"/>
      <c r="Y66" s="1511"/>
      <c r="Z66" s="1511"/>
      <c r="AA66" s="1511"/>
      <c r="AB66" s="1512"/>
      <c r="AE66" s="1510"/>
      <c r="AF66" s="1511"/>
      <c r="AG66" s="1511"/>
      <c r="AH66" s="1511"/>
      <c r="AI66" s="1511"/>
      <c r="AJ66" s="1511"/>
      <c r="AK66" s="1511"/>
      <c r="AL66" s="1511"/>
      <c r="AM66" s="1511"/>
      <c r="AN66" s="1511"/>
      <c r="AO66" s="1511"/>
      <c r="AP66" s="1511"/>
      <c r="AQ66" s="1511"/>
      <c r="AR66" s="1511"/>
      <c r="AS66" s="1511"/>
      <c r="AT66" s="1511"/>
      <c r="AU66" s="1511"/>
      <c r="AV66" s="1511"/>
      <c r="AW66" s="1511"/>
      <c r="AX66" s="1511"/>
      <c r="AY66" s="1511"/>
      <c r="AZ66" s="1511"/>
      <c r="BA66" s="1511"/>
      <c r="BB66" s="1511"/>
      <c r="BC66" s="1511"/>
      <c r="BD66" s="1511"/>
      <c r="BE66" s="1512"/>
      <c r="BI66" s="722" t="s">
        <v>322</v>
      </c>
      <c r="BJ66" s="722">
        <v>3</v>
      </c>
      <c r="BK66" s="722" t="s">
        <v>320</v>
      </c>
      <c r="BL66" s="765">
        <f>BM66*BN66</f>
        <v>0</v>
      </c>
      <c r="BM66" s="766"/>
      <c r="BN66" s="735"/>
      <c r="BO66" s="1"/>
      <c r="BP66" s="767">
        <v>0.05</v>
      </c>
      <c r="BQ66" s="765">
        <f>BR66*BS66</f>
        <v>0</v>
      </c>
      <c r="BR66" s="758"/>
      <c r="BS66" s="759"/>
      <c r="BT66" s="1"/>
      <c r="BU66" s="767">
        <v>0.05</v>
      </c>
      <c r="BX66" s="666" t="str">
        <f t="shared" si="11"/>
        <v>Dec</v>
      </c>
      <c r="BY66" s="728">
        <f>IF(CB66=$CB76,SUMIF($BI64:$BI75,$BX66,$BR64:$BR75),SUMIF($BI64:$BI75,$BX66,$BM64:$BM75))</f>
        <v>0</v>
      </c>
      <c r="BZ66" s="736">
        <f>IF(IF(CB66=CB76,SUMIF(BI64:BI75,$BX66,BU64:BU75),SUMIF(BI64:BI75,$BX66,BP64:BP75))=0,NA(),IF(CB66=CB76,SUMIF(BI64:BI75,$BX66,BU64:BU75),SUMIF(BI64:BI75,$BX66,BP64:BP75)))</f>
        <v>0.05</v>
      </c>
      <c r="CA66" s="769" t="e">
        <f>IF(IF(CB66=CB76,SUMIF(BI64:BI75,$BX66,BS64:BS75),SUMIF(BI64:BI75,$BX66,BN64:BN75))=0,NA(),IF(CB66=CB76,SUMIF(BI64:BI75,$BX66,BS64:BS75),SUMIF(BI64:BI75,$BX66,BN64:BN75)))</f>
        <v>#N/A</v>
      </c>
      <c r="CB66" s="730">
        <v>20</v>
      </c>
      <c r="CC66" s="730">
        <f t="shared" si="12"/>
        <v>12</v>
      </c>
    </row>
    <row r="67" spans="2:81" ht="14.65" customHeight="1">
      <c r="B67" s="1513"/>
      <c r="C67" s="1514"/>
      <c r="D67" s="1514"/>
      <c r="E67" s="1514"/>
      <c r="F67" s="1514"/>
      <c r="G67" s="1514"/>
      <c r="H67" s="1514"/>
      <c r="I67" s="1514"/>
      <c r="J67" s="1514"/>
      <c r="K67" s="1514"/>
      <c r="L67" s="1514"/>
      <c r="M67" s="1514"/>
      <c r="N67" s="1514"/>
      <c r="O67" s="1514"/>
      <c r="P67" s="1514"/>
      <c r="Q67" s="1514"/>
      <c r="R67" s="1514"/>
      <c r="S67" s="1514"/>
      <c r="T67" s="1514"/>
      <c r="U67" s="1514"/>
      <c r="V67" s="1514"/>
      <c r="W67" s="1514"/>
      <c r="X67" s="1514"/>
      <c r="Y67" s="1514"/>
      <c r="Z67" s="1514"/>
      <c r="AA67" s="1514"/>
      <c r="AB67" s="1515"/>
      <c r="AE67" s="1513"/>
      <c r="AF67" s="1514"/>
      <c r="AG67" s="1514"/>
      <c r="AH67" s="1514"/>
      <c r="AI67" s="1514"/>
      <c r="AJ67" s="1514"/>
      <c r="AK67" s="1514"/>
      <c r="AL67" s="1514"/>
      <c r="AM67" s="1514"/>
      <c r="AN67" s="1514"/>
      <c r="AO67" s="1514"/>
      <c r="AP67" s="1514"/>
      <c r="AQ67" s="1514"/>
      <c r="AR67" s="1514"/>
      <c r="AS67" s="1514"/>
      <c r="AT67" s="1514"/>
      <c r="AU67" s="1514"/>
      <c r="AV67" s="1514"/>
      <c r="AW67" s="1514"/>
      <c r="AX67" s="1514"/>
      <c r="AY67" s="1514"/>
      <c r="AZ67" s="1514"/>
      <c r="BA67" s="1514"/>
      <c r="BB67" s="1514"/>
      <c r="BC67" s="1514"/>
      <c r="BD67" s="1514"/>
      <c r="BE67" s="1515"/>
      <c r="BI67" s="722" t="s">
        <v>323</v>
      </c>
      <c r="BJ67" s="722">
        <v>4</v>
      </c>
      <c r="BK67" s="722" t="s">
        <v>324</v>
      </c>
      <c r="BL67" s="765">
        <f t="shared" ref="BL67:BL75" si="13">BM67*BN67</f>
        <v>0</v>
      </c>
      <c r="BM67" s="766"/>
      <c r="BN67" s="735"/>
      <c r="BO67" s="139">
        <f>IF(SUM(BL67:BL69=0),0,SUM(BL67:BL69)/SUM(BM67:BM69))</f>
        <v>0</v>
      </c>
      <c r="BP67" s="767">
        <v>0.05</v>
      </c>
      <c r="BQ67" s="765">
        <f t="shared" ref="BQ67:BQ75" si="14">BR67*BS67</f>
        <v>0</v>
      </c>
      <c r="BR67" s="758"/>
      <c r="BS67" s="755"/>
      <c r="BT67" s="139">
        <f>IF(SUM(BQ67:BQ69=0),0,SUM(BQ67:BQ69)/SUM(BR67:BR69))</f>
        <v>0</v>
      </c>
      <c r="BU67" s="767">
        <v>0.05</v>
      </c>
      <c r="BX67" s="666" t="str">
        <f t="shared" si="11"/>
        <v>Jan</v>
      </c>
      <c r="BY67" s="728">
        <f>IF(CB67=$CB76,SUMIF($BI64:$BI75,$BX67,$BR64:$BR75),SUMIF($BI64:$BI75,$BX67,$BM64:$BM75))</f>
        <v>0</v>
      </c>
      <c r="BZ67" s="736">
        <f>IF(IF(CB67=CB76,SUMIF(BI64:BI75,$BX67,BU64:BU75),SUMIF(BI64:BI75,$BX67,BP64:BP75))=0,NA(),IF(CB67=CB76,SUMIF(BI64:BI75,$BX67,BU64:BU75),SUMIF(BI64:BI75,$BX67,BP64:BP75)))</f>
        <v>0.05</v>
      </c>
      <c r="CA67" s="769" t="e">
        <f>IF(IF(CB67=CB76,SUMIF(BI64:BI75,$BX67,BS64:BS75),SUMIF(BI64:BI75,$BX67,BN64:BN75))=0,NA(),IF(CB67=CB76,SUMIF(BI64:BI75,$BX67,BS64:BS75),SUMIF(BI64:BI75,$BX67,BN64:BN75)))</f>
        <v>#N/A</v>
      </c>
      <c r="CB67" s="730">
        <v>20</v>
      </c>
      <c r="CC67" s="730">
        <f t="shared" si="12"/>
        <v>1</v>
      </c>
    </row>
    <row r="68" spans="2:81" ht="14.65" customHeight="1">
      <c r="B68" s="1513"/>
      <c r="C68" s="1514"/>
      <c r="D68" s="1514"/>
      <c r="E68" s="1514"/>
      <c r="F68" s="1514"/>
      <c r="G68" s="1514"/>
      <c r="H68" s="1514"/>
      <c r="I68" s="1514"/>
      <c r="J68" s="1514"/>
      <c r="K68" s="1514"/>
      <c r="L68" s="1514"/>
      <c r="M68" s="1514"/>
      <c r="N68" s="1514"/>
      <c r="O68" s="1514"/>
      <c r="P68" s="1514"/>
      <c r="Q68" s="1514"/>
      <c r="R68" s="1514"/>
      <c r="S68" s="1514"/>
      <c r="T68" s="1514"/>
      <c r="U68" s="1514"/>
      <c r="V68" s="1514"/>
      <c r="W68" s="1514"/>
      <c r="X68" s="1514"/>
      <c r="Y68" s="1514"/>
      <c r="Z68" s="1514"/>
      <c r="AA68" s="1514"/>
      <c r="AB68" s="1515"/>
      <c r="AE68" s="1513"/>
      <c r="AF68" s="1514"/>
      <c r="AG68" s="1514"/>
      <c r="AH68" s="1514"/>
      <c r="AI68" s="1514"/>
      <c r="AJ68" s="1514"/>
      <c r="AK68" s="1514"/>
      <c r="AL68" s="1514"/>
      <c r="AM68" s="1514"/>
      <c r="AN68" s="1514"/>
      <c r="AO68" s="1514"/>
      <c r="AP68" s="1514"/>
      <c r="AQ68" s="1514"/>
      <c r="AR68" s="1514"/>
      <c r="AS68" s="1514"/>
      <c r="AT68" s="1514"/>
      <c r="AU68" s="1514"/>
      <c r="AV68" s="1514"/>
      <c r="AW68" s="1514"/>
      <c r="AX68" s="1514"/>
      <c r="AY68" s="1514"/>
      <c r="AZ68" s="1514"/>
      <c r="BA68" s="1514"/>
      <c r="BB68" s="1514"/>
      <c r="BC68" s="1514"/>
      <c r="BD68" s="1514"/>
      <c r="BE68" s="1515"/>
      <c r="BI68" s="722" t="s">
        <v>325</v>
      </c>
      <c r="BJ68" s="722">
        <v>5</v>
      </c>
      <c r="BK68" s="722" t="s">
        <v>324</v>
      </c>
      <c r="BL68" s="765">
        <f t="shared" si="13"/>
        <v>0</v>
      </c>
      <c r="BM68" s="766"/>
      <c r="BN68" s="735"/>
      <c r="BO68" s="1"/>
      <c r="BP68" s="767">
        <v>0.05</v>
      </c>
      <c r="BQ68" s="765">
        <f t="shared" si="14"/>
        <v>0</v>
      </c>
      <c r="BR68" s="758"/>
      <c r="BS68" s="755"/>
      <c r="BT68" s="1"/>
      <c r="BU68" s="767">
        <v>0.05</v>
      </c>
      <c r="BX68" s="666" t="str">
        <f t="shared" si="11"/>
        <v>Feb</v>
      </c>
      <c r="BY68" s="728">
        <f>IF(CB68=$CB76,SUMIF($BI64:$BI75,$BX68,$BR64:$BR75),SUMIF($BI64:$BI75,$BX68,$BM64:$BM75))</f>
        <v>0</v>
      </c>
      <c r="BZ68" s="736">
        <f>IF(IF(CB68=CB76,SUMIF(BI64:BI75,$BX68,BU64:BU75),SUMIF(BI64:BI75,$BX68,BP64:BP75))=0,NA(),IF(CB68=CB76,SUMIF(BI64:BI75,$BX68,BU64:BU75),SUMIF(BI64:BI75,$BX68,BP64:BP75)))</f>
        <v>0.05</v>
      </c>
      <c r="CA68" s="769" t="e">
        <f>IF(IF(CB68=CB76,SUMIF(BI64:BI75,$BX68,BS64:BS75),SUMIF(BI64:BI75,$BX68,BN64:BN75))=0,NA(),IF(CB68=CB76,SUMIF(BI64:BI75,$BX68,BS64:BS75),SUMIF(BI64:BI75,$BX68,BN64:BN75)))</f>
        <v>#N/A</v>
      </c>
      <c r="CB68" s="730">
        <v>20</v>
      </c>
      <c r="CC68" s="730">
        <f t="shared" si="12"/>
        <v>2</v>
      </c>
    </row>
    <row r="69" spans="2:81" ht="14.65" customHeight="1">
      <c r="B69" s="1516"/>
      <c r="C69" s="1517"/>
      <c r="D69" s="1517"/>
      <c r="E69" s="1517"/>
      <c r="F69" s="1517"/>
      <c r="G69" s="1517"/>
      <c r="H69" s="1517"/>
      <c r="I69" s="1517"/>
      <c r="J69" s="1517"/>
      <c r="K69" s="1517"/>
      <c r="L69" s="1517"/>
      <c r="M69" s="1517"/>
      <c r="N69" s="1517"/>
      <c r="O69" s="1517"/>
      <c r="P69" s="1517"/>
      <c r="Q69" s="1517"/>
      <c r="R69" s="1517"/>
      <c r="S69" s="1517"/>
      <c r="T69" s="1517"/>
      <c r="U69" s="1517"/>
      <c r="V69" s="1517"/>
      <c r="W69" s="1517"/>
      <c r="X69" s="1517"/>
      <c r="Y69" s="1517"/>
      <c r="Z69" s="1517"/>
      <c r="AA69" s="1517"/>
      <c r="AB69" s="1518"/>
      <c r="AE69" s="1516"/>
      <c r="AF69" s="1517"/>
      <c r="AG69" s="1517"/>
      <c r="AH69" s="1517"/>
      <c r="AI69" s="1517"/>
      <c r="AJ69" s="1517"/>
      <c r="AK69" s="1517"/>
      <c r="AL69" s="1517"/>
      <c r="AM69" s="1517"/>
      <c r="AN69" s="1517"/>
      <c r="AO69" s="1517"/>
      <c r="AP69" s="1517"/>
      <c r="AQ69" s="1517"/>
      <c r="AR69" s="1517"/>
      <c r="AS69" s="1517"/>
      <c r="AT69" s="1517"/>
      <c r="AU69" s="1517"/>
      <c r="AV69" s="1517"/>
      <c r="AW69" s="1517"/>
      <c r="AX69" s="1517"/>
      <c r="AY69" s="1517"/>
      <c r="AZ69" s="1517"/>
      <c r="BA69" s="1517"/>
      <c r="BB69" s="1517"/>
      <c r="BC69" s="1517"/>
      <c r="BD69" s="1517"/>
      <c r="BE69" s="1518"/>
      <c r="BI69" s="722" t="s">
        <v>326</v>
      </c>
      <c r="BJ69" s="722">
        <v>6</v>
      </c>
      <c r="BK69" s="722" t="s">
        <v>324</v>
      </c>
      <c r="BL69" s="765">
        <f t="shared" si="13"/>
        <v>0</v>
      </c>
      <c r="BM69" s="766"/>
      <c r="BN69" s="735"/>
      <c r="BO69" s="1"/>
      <c r="BP69" s="767">
        <v>0.05</v>
      </c>
      <c r="BQ69" s="765">
        <f t="shared" si="14"/>
        <v>0</v>
      </c>
      <c r="BR69" s="758"/>
      <c r="BS69" s="755"/>
      <c r="BT69" s="1"/>
      <c r="BU69" s="767">
        <v>0.05</v>
      </c>
      <c r="BX69" s="666" t="str">
        <f t="shared" si="11"/>
        <v>Mar</v>
      </c>
      <c r="BY69" s="728">
        <f>IF(CB69=$CB76,SUMIF($BI64:$BI75,$BX69,$BR64:$BR75),SUMIF($BI64:$BI75,$BX69,$BM64:$BM75))</f>
        <v>0</v>
      </c>
      <c r="BZ69" s="736">
        <f>IF(IF(CB69=CB76,SUMIF(BI64:BI75,$BX69,BU64:BU75),SUMIF(BI64:BI75,$BX69,BP64:BP75))=0,NA(),IF(CB69=CB76,SUMIF(BI64:BI75,$BX69,BU64:BU75),SUMIF(BI64:BI75,$BX69,BP64:BP75)))</f>
        <v>0.05</v>
      </c>
      <c r="CA69" s="769" t="e">
        <f>IF(IF(CB69=CB76,SUMIF(BI64:BI75,$BX69,BS64:BS75),SUMIF(BI64:BI75,$BX69,BN64:BN75))=0,NA(),IF(CB69=CB76,SUMIF(BI64:BI75,$BX69,BS64:BS75),SUMIF(BI64:BI75,$BX69,BN64:BN75)))</f>
        <v>#N/A</v>
      </c>
      <c r="CB69" s="730">
        <v>20</v>
      </c>
      <c r="CC69" s="730">
        <f t="shared" si="12"/>
        <v>3</v>
      </c>
    </row>
    <row r="70" spans="2:81" ht="14.65" customHeight="1">
      <c r="BI70" s="722" t="s">
        <v>327</v>
      </c>
      <c r="BJ70" s="722">
        <v>7</v>
      </c>
      <c r="BK70" s="722" t="s">
        <v>328</v>
      </c>
      <c r="BL70" s="765">
        <f t="shared" si="13"/>
        <v>3.9E-2</v>
      </c>
      <c r="BM70" s="766">
        <v>3.3929999999999998</v>
      </c>
      <c r="BN70" s="735">
        <v>1.1494252873563218E-2</v>
      </c>
      <c r="BO70" s="139">
        <f>IF(SUM(BL70:BL72=0),0,SUM(BL70:BL72)/SUM(BM70:BM72))</f>
        <v>1.3581208950239339E-2</v>
      </c>
      <c r="BP70" s="767">
        <v>0.05</v>
      </c>
      <c r="BQ70" s="765">
        <f t="shared" si="14"/>
        <v>0</v>
      </c>
      <c r="BR70" s="737"/>
      <c r="BS70" s="768"/>
      <c r="BT70" s="139">
        <f>IF(SUM(BQ70:BQ72=0),0,SUM(BQ70:BQ72)/SUM(BR70:BR72))</f>
        <v>0</v>
      </c>
      <c r="BU70" s="767">
        <v>0.05</v>
      </c>
      <c r="BX70" s="666" t="str">
        <f t="shared" si="11"/>
        <v>Apr</v>
      </c>
      <c r="BY70" s="728">
        <f>IF(CB70=$CB76,SUMIF($BI64:$BI75,$BX70,$BR64:$BR75),SUMIF($BI64:$BI75,$BX70,$BM64:$BM75))</f>
        <v>3.3929999999999998</v>
      </c>
      <c r="BZ70" s="736">
        <f>IF(IF(CB70=CB76,SUMIF(BI64:BI75,$BX70,BU64:BU75),SUMIF(BI64:BI75,$BX70,BP64:BP75))=0,NA(),IF(CB70=CB76,SUMIF(BI64:BI75,$BX70,BU64:BU75),SUMIF(BI64:BI75,$BX70,BP64:BP75)))</f>
        <v>0.05</v>
      </c>
      <c r="CA70" s="769">
        <f>IF(IF(CB70=CB76,SUMIF(BI64:BI75,$BX70,BS64:BS75),SUMIF(BI64:BI75,$BX70,BN64:BN75))=0,NA(),IF(CB70=CB76,SUMIF(BI64:BI75,$BX70,BS64:BS75),SUMIF(BI64:BI75,$BX70,BN64:BN75)))</f>
        <v>1.1494252873563218E-2</v>
      </c>
      <c r="CB70" s="730">
        <v>20</v>
      </c>
      <c r="CC70" s="730">
        <f t="shared" si="12"/>
        <v>4</v>
      </c>
    </row>
    <row r="71" spans="2:81" ht="14.65" customHeight="1">
      <c r="B71" s="52"/>
      <c r="AD71"/>
      <c r="BI71" s="722" t="s">
        <v>329</v>
      </c>
      <c r="BJ71" s="722">
        <v>8</v>
      </c>
      <c r="BK71" s="722" t="s">
        <v>328</v>
      </c>
      <c r="BL71" s="765">
        <f t="shared" si="13"/>
        <v>0.04</v>
      </c>
      <c r="BM71" s="766">
        <v>2.63</v>
      </c>
      <c r="BN71" s="735">
        <v>1.5209125475285173E-2</v>
      </c>
      <c r="BO71" s="1"/>
      <c r="BP71" s="767">
        <v>0.05</v>
      </c>
      <c r="BQ71" s="765">
        <f t="shared" si="14"/>
        <v>0</v>
      </c>
      <c r="BR71" s="737"/>
      <c r="BS71" s="768"/>
      <c r="BT71" s="1"/>
      <c r="BU71" s="767">
        <v>0.05</v>
      </c>
      <c r="BX71" s="666" t="str">
        <f t="shared" si="11"/>
        <v>May</v>
      </c>
      <c r="BY71" s="728">
        <f>IF(CB71=$CB76,SUMIF($BI64:$BI75,$BX71,$BR64:$BR75),SUMIF($BI64:$BI75,$BX71,$BM64:$BM75))</f>
        <v>2.63</v>
      </c>
      <c r="BZ71" s="736">
        <f>IF(IF(CB71=CB76,SUMIF(BI64:BI75,$BX71,BU64:BU75),SUMIF(BI64:BI75,$BX71,BP64:BP75))=0,NA(),IF(CB71=CB76,SUMIF(BI64:BI75,$BX71,BU64:BU75),SUMIF(BI64:BI75,$BX71,BP64:BP75)))</f>
        <v>0.05</v>
      </c>
      <c r="CA71" s="769">
        <f>IF(IF(CB71=CB76,SUMIF(BI64:BI75,$BX71,BS64:BS75),SUMIF(BI64:BI75,$BX71,BN64:BN75))=0,NA(),IF(CB71=CB76,SUMIF(BI64:BI75,$BX71,BS64:BS75),SUMIF(BI64:BI75,$BX71,BN64:BN75)))</f>
        <v>1.5209125475285173E-2</v>
      </c>
      <c r="CB71" s="730">
        <v>20</v>
      </c>
      <c r="CC71" s="730">
        <f t="shared" si="12"/>
        <v>5</v>
      </c>
    </row>
    <row r="72" spans="2:81" ht="14.65" customHeight="1">
      <c r="BI72" s="722" t="s">
        <v>331</v>
      </c>
      <c r="BJ72" s="722">
        <v>9</v>
      </c>
      <c r="BK72" s="722" t="s">
        <v>328</v>
      </c>
      <c r="BL72" s="765">
        <f t="shared" si="13"/>
        <v>4.2999999999999997E-2</v>
      </c>
      <c r="BM72" s="766">
        <v>2.96</v>
      </c>
      <c r="BN72" s="735">
        <v>1.4527027027027026E-2</v>
      </c>
      <c r="BO72" s="1"/>
      <c r="BP72" s="767">
        <v>0.05</v>
      </c>
      <c r="BQ72" s="765">
        <f t="shared" si="14"/>
        <v>0</v>
      </c>
      <c r="BR72" s="737"/>
      <c r="BS72" s="770"/>
      <c r="BT72" s="1"/>
      <c r="BU72" s="767">
        <v>0.05</v>
      </c>
      <c r="BX72" s="666" t="str">
        <f t="shared" si="11"/>
        <v>Jun</v>
      </c>
      <c r="BY72" s="728">
        <f>IF(CB72=$CB76,SUMIF($BI64:$BI75,$BX72,$BR64:$BR75),SUMIF($BI64:$BI75,$BX72,$BM64:$BM75))</f>
        <v>2.96</v>
      </c>
      <c r="BZ72" s="736">
        <f>IF(IF(CB72=CB76,SUMIF(BI64:BI75,$BX72,BU64:BU75),SUMIF(BI64:BI75,$BX72,BP64:BP75))=0,NA(),IF(CB72=CB76,SUMIF(BI64:BI75,$BX72,BU64:BU75),SUMIF(BI64:BI75,$BX72,BP64:BP75)))</f>
        <v>0.05</v>
      </c>
      <c r="CA72" s="769">
        <f>IF(IF(CB72=CB76,SUMIF(BI64:BI75,$BX72,BS64:BS75),SUMIF(BI64:BI75,$BX72,BN64:BN75))=0,NA(),IF(CB72=CB76,SUMIF(BI64:BI75,$BX72,BS64:BS75),SUMIF(BI64:BI75,$BX72,BN64:BN75)))</f>
        <v>1.4527027027027026E-2</v>
      </c>
      <c r="CB72" s="730">
        <v>20</v>
      </c>
      <c r="CC72" s="730">
        <f t="shared" si="12"/>
        <v>6</v>
      </c>
    </row>
    <row r="73" spans="2:81" ht="14.65" customHeight="1">
      <c r="BI73" s="722" t="s">
        <v>337</v>
      </c>
      <c r="BJ73" s="722">
        <v>10</v>
      </c>
      <c r="BK73" s="722" t="s">
        <v>338</v>
      </c>
      <c r="BL73" s="765">
        <f t="shared" si="13"/>
        <v>2.9540000000000004E-2</v>
      </c>
      <c r="BM73" s="766">
        <v>2.9540000000000002</v>
      </c>
      <c r="BN73" s="735">
        <v>0.01</v>
      </c>
      <c r="BO73" s="139">
        <f>IF(SUM(BL73:BL75=0),0,SUM(BL73:BL75)/SUM(BM73:BM75))</f>
        <v>9.3754604239993447E-3</v>
      </c>
      <c r="BP73" s="767">
        <v>0.05</v>
      </c>
      <c r="BQ73" s="765">
        <f t="shared" si="14"/>
        <v>0</v>
      </c>
      <c r="BR73" s="737"/>
      <c r="BS73" s="768"/>
      <c r="BT73" s="139">
        <f>IF(SUM(BQ73:BQ75=0),0,SUM(BQ73:BQ75)/SUM(BR73:BR75))</f>
        <v>0</v>
      </c>
      <c r="BU73" s="767">
        <v>0.05</v>
      </c>
      <c r="BX73" s="666" t="str">
        <f t="shared" si="11"/>
        <v>Jul</v>
      </c>
      <c r="BY73" s="728">
        <f>IF(CB73=$CB76,SUMIF($BI64:$BI75,$BX73,$BR64:$BR75),SUMIF($BI64:$BI75,$BX73,$BM64:$BM75))</f>
        <v>2.9540000000000002</v>
      </c>
      <c r="BZ73" s="736">
        <f>IF(IF(CB73=CB76,SUMIF(BI64:BI75,$BX73,BU64:BU75),SUMIF(BI64:BI75,$BX73,BP64:BP75))=0,NA(),IF(CB73=CB76,SUMIF(BI64:BI75,$BX73,BU64:BU75),SUMIF(BI64:BI75,$BX73,BP64:BP75)))</f>
        <v>0.05</v>
      </c>
      <c r="CA73" s="769">
        <f>IF(IF(CB73=CB76,SUMIF(BI64:BI75,$BX73,BS64:BS75),SUMIF(BI64:BI75,$BX73,BN64:BN75))=0,NA(),IF(CB73=CB76,SUMIF(BI64:BI75,$BX73,BS64:BS75),SUMIF(BI64:BI75,$BX73,BN64:BN75)))</f>
        <v>0.01</v>
      </c>
      <c r="CB73" s="730">
        <v>20</v>
      </c>
      <c r="CC73" s="730">
        <f t="shared" si="12"/>
        <v>7</v>
      </c>
    </row>
    <row r="74" spans="2:81" ht="14.65" customHeight="1">
      <c r="BI74" s="722" t="s">
        <v>343</v>
      </c>
      <c r="BJ74" s="722">
        <v>11</v>
      </c>
      <c r="BK74" s="722" t="s">
        <v>338</v>
      </c>
      <c r="BL74" s="765">
        <f t="shared" si="13"/>
        <v>2.8999999999999998E-2</v>
      </c>
      <c r="BM74" s="766">
        <v>3.65</v>
      </c>
      <c r="BN74" s="735">
        <v>7.9452054794520548E-3</v>
      </c>
      <c r="BP74" s="767">
        <v>0.05</v>
      </c>
      <c r="BQ74" s="765">
        <f t="shared" si="14"/>
        <v>0</v>
      </c>
      <c r="BR74" s="737"/>
      <c r="BS74" s="768"/>
      <c r="BU74" s="767">
        <v>0.05</v>
      </c>
      <c r="BX74" s="666" t="str">
        <f t="shared" si="11"/>
        <v>Aug</v>
      </c>
      <c r="BY74" s="728">
        <f>IF(CB74=$CB76,SUMIF($BI64:$BI75,$BX74,$BR64:$BR75),SUMIF($BI64:$BI75,$BX74,$BM64:$BM75))</f>
        <v>3.65</v>
      </c>
      <c r="BZ74" s="736">
        <f>IF(IF(CB74=CB76,SUMIF(BI64:BI75,$BX74,BU64:BU75),SUMIF(BI64:BI75,$BX74,BP64:BP75))=0,NA(),IF(CB74=CB76,SUMIF(BI64:BI75,$BX74,BU64:BU75),SUMIF(BI64:BI75,$BX74,BP64:BP75)))</f>
        <v>0.05</v>
      </c>
      <c r="CA74" s="769">
        <f>IF(IF(CB74=CB76,SUMIF(BI64:BI75,$BX74,BS64:BS75),SUMIF(BI64:BI75,$BX74,BN64:BN75))=0,NA(),IF(CB74=CB76,SUMIF(BI64:BI75,$BX74,BS64:BS75),SUMIF(BI64:BI75,$BX74,BN64:BN75)))</f>
        <v>7.9452054794520548E-3</v>
      </c>
      <c r="CB74" s="730">
        <v>20</v>
      </c>
      <c r="CC74" s="730">
        <f t="shared" si="12"/>
        <v>8</v>
      </c>
    </row>
    <row r="75" spans="2:81" ht="14.65" customHeight="1">
      <c r="BI75" s="722" t="s">
        <v>344</v>
      </c>
      <c r="BJ75" s="722">
        <v>12</v>
      </c>
      <c r="BK75" s="722" t="s">
        <v>338</v>
      </c>
      <c r="BL75" s="765">
        <f t="shared" si="13"/>
        <v>5.6000000000000001E-2</v>
      </c>
      <c r="BM75" s="766">
        <v>5.6130000000000004</v>
      </c>
      <c r="BN75" s="735">
        <v>9.976839479779084E-3</v>
      </c>
      <c r="BP75" s="767">
        <v>0.05</v>
      </c>
      <c r="BQ75" s="765">
        <f t="shared" si="14"/>
        <v>0</v>
      </c>
      <c r="BR75" s="737"/>
      <c r="BS75" s="768"/>
      <c r="BU75" s="767">
        <v>0.05</v>
      </c>
      <c r="BX75" s="666" t="str">
        <f t="shared" si="11"/>
        <v>Sep</v>
      </c>
      <c r="BY75" s="728">
        <f>IF(CB75=$CB76,SUMIF($BI64:$BI75,$BX75,$BR64:$BR75),SUMIF($BI64:$BI75,$BX75,$BM64:$BM75))</f>
        <v>5.6130000000000004</v>
      </c>
      <c r="BZ75" s="736">
        <f>IF(IF(CB75=CB76,SUMIF(BI64:BI75,$BX75,BU64:BU75),SUMIF(BI64:BI75,$BX75,BP64:BP75))=0,NA(),IF(CB75=CB76,SUMIF(BI64:BI75,$BX75,BU64:BU75),SUMIF(BI64:BI75,$BX75,BP64:BP75)))</f>
        <v>0.05</v>
      </c>
      <c r="CA75" s="769">
        <f>IF(IF(CB75=CB76,SUMIF(BI64:BI75,$BX75,BS64:BS75),SUMIF(BI64:BI75,$BX75,BN64:BN75))=0,NA(),IF(CB75=CB76,SUMIF(BI64:BI75,$BX75,BS64:BS75),SUMIF(BI64:BI75,$BX75,BN64:BN75)))</f>
        <v>9.976839479779084E-3</v>
      </c>
      <c r="CB75" s="730">
        <v>20</v>
      </c>
      <c r="CC75" s="730">
        <f>IF(CC76-1&lt;1,CC76+11,CC76-1)</f>
        <v>9</v>
      </c>
    </row>
    <row r="76" spans="2:81" ht="14.65" customHeight="1">
      <c r="BJ76" s="2"/>
      <c r="BK76" s="2"/>
      <c r="BL76" s="2"/>
      <c r="BM76" s="2"/>
      <c r="BN76" s="2"/>
      <c r="BO76" s="2"/>
      <c r="BP76" s="2"/>
      <c r="BQ76" s="2"/>
      <c r="BR76" s="2"/>
      <c r="BS76" s="2"/>
      <c r="BT76" s="2"/>
      <c r="BW76" s="667" t="str">
        <f>Cover!$M$34</f>
        <v>OCT FY-24</v>
      </c>
      <c r="BX76" s="666" t="str">
        <f>TEXT(CONCATENATE(CC76,"/01/20",CB76),"MMM")</f>
        <v>Oct</v>
      </c>
      <c r="BY76" s="728">
        <f>SUMIF($BI64:$BI75,$BX76,$BR64:$BR75)</f>
        <v>7.5190000000000001</v>
      </c>
      <c r="BZ76" s="736">
        <f>IF(IF(CB76=CB76,SUMIF(BI64:BI75,$BX76,BU64:BU75),SUMIF(BI64:BI75,$BX76,BP64:BP75))=0,NA(),IF(CB76=CB76,SUMIF(BI64:BI75,$BX76,BU64:BU75),SUMIF(BI64:BI75,$BX76,BP64:BP75)))</f>
        <v>0.05</v>
      </c>
      <c r="CA76" s="769">
        <f>IF(SUMIF($BI64:$BI75,$BX76,$BS64:$BS75)=0,NA(),SUMIF($BI64:$BI75,$BX76,$BS64:$BS75))</f>
        <v>7.4477989094294452E-3</v>
      </c>
      <c r="CB76" s="730">
        <v>21</v>
      </c>
      <c r="CC76" s="730">
        <f>MONTH(DATEVALUE(LEFT(BW76,3)&amp;" 1"))</f>
        <v>10</v>
      </c>
    </row>
    <row r="78" spans="2:81" ht="14.65" customHeight="1">
      <c r="BI78" s="1" t="s">
        <v>292</v>
      </c>
      <c r="BJ78" s="166" t="s">
        <v>160</v>
      </c>
      <c r="BK78" s="166"/>
      <c r="BL78" s="166"/>
      <c r="BM78" s="166"/>
      <c r="BN78" s="166"/>
      <c r="BO78" s="166"/>
      <c r="BP78" s="166"/>
      <c r="BQ78" s="166"/>
      <c r="BR78" s="166"/>
      <c r="BS78" s="166"/>
      <c r="BT78" s="166"/>
      <c r="BU78" s="166"/>
    </row>
    <row r="79" spans="2:81" ht="14.65" customHeight="1">
      <c r="BI79" s="54" t="s">
        <v>296</v>
      </c>
      <c r="BJ79" s="165" t="s">
        <v>590</v>
      </c>
      <c r="BK79" s="165"/>
      <c r="BL79" s="165"/>
      <c r="BM79" s="165"/>
      <c r="BN79" s="165"/>
      <c r="BO79" s="165"/>
      <c r="BP79" s="165"/>
      <c r="BQ79" s="165"/>
      <c r="BR79" s="165"/>
      <c r="BS79" s="165"/>
      <c r="BT79" s="165"/>
      <c r="BU79" s="165"/>
    </row>
    <row r="80" spans="2:81" ht="14.65" customHeight="1" thickBot="1">
      <c r="BI80" s="1" t="s">
        <v>300</v>
      </c>
      <c r="BJ80" s="165" t="s">
        <v>596</v>
      </c>
      <c r="BK80" s="165"/>
      <c r="BL80" s="165"/>
      <c r="BM80" s="165"/>
      <c r="BN80" s="165"/>
      <c r="BO80" s="165"/>
      <c r="BP80" s="165"/>
      <c r="BQ80" s="165"/>
      <c r="BR80" s="165"/>
      <c r="BS80" s="165"/>
      <c r="BT80" s="165"/>
      <c r="BU80" s="165"/>
    </row>
    <row r="81" spans="2:81" ht="14.65" customHeight="1" thickBot="1">
      <c r="BI81" s="2"/>
      <c r="BJ81" s="2"/>
      <c r="BK81" s="2"/>
      <c r="BL81" s="1490" t="s">
        <v>487</v>
      </c>
      <c r="BM81" s="1491"/>
      <c r="BN81" s="1491"/>
      <c r="BO81" s="1491"/>
      <c r="BP81" s="1521"/>
      <c r="BQ81" s="1490" t="s">
        <v>522</v>
      </c>
      <c r="BR81" s="1491"/>
      <c r="BS81" s="1491"/>
      <c r="BT81" s="1491"/>
      <c r="BU81" s="1492"/>
      <c r="BW81" s="1490" t="s">
        <v>303</v>
      </c>
      <c r="BX81" s="1491"/>
      <c r="BY81" s="1491"/>
      <c r="BZ81" s="1491"/>
      <c r="CA81" s="1491"/>
      <c r="CB81" s="1491"/>
      <c r="CC81" s="1492"/>
    </row>
    <row r="82" spans="2:81" ht="14.65" customHeight="1">
      <c r="BI82" s="720" t="s">
        <v>23</v>
      </c>
      <c r="BJ82" s="720" t="s">
        <v>37</v>
      </c>
      <c r="BK82" s="720" t="s">
        <v>304</v>
      </c>
      <c r="BL82" s="721" t="s">
        <v>305</v>
      </c>
      <c r="BM82" s="721" t="s">
        <v>306</v>
      </c>
      <c r="BN82" s="721" t="s">
        <v>488</v>
      </c>
      <c r="BO82" s="135" t="s">
        <v>489</v>
      </c>
      <c r="BP82" s="721" t="s">
        <v>490</v>
      </c>
      <c r="BQ82" s="721" t="s">
        <v>305</v>
      </c>
      <c r="BR82" s="721" t="s">
        <v>523</v>
      </c>
      <c r="BS82" s="721" t="s">
        <v>524</v>
      </c>
      <c r="BT82" s="135" t="s">
        <v>525</v>
      </c>
      <c r="BU82" s="721" t="s">
        <v>526</v>
      </c>
      <c r="BW82" s="164" t="s">
        <v>314</v>
      </c>
      <c r="BX82" s="164" t="s">
        <v>23</v>
      </c>
      <c r="BY82" s="168" t="s">
        <v>315</v>
      </c>
      <c r="BZ82" s="164" t="s">
        <v>122</v>
      </c>
      <c r="CA82" s="164" t="s">
        <v>316</v>
      </c>
      <c r="CB82" s="164" t="s">
        <v>317</v>
      </c>
      <c r="CC82" s="164" t="s">
        <v>318</v>
      </c>
    </row>
    <row r="83" spans="2:81" ht="14.65" customHeight="1">
      <c r="BI83" s="722" t="s">
        <v>319</v>
      </c>
      <c r="BJ83" s="722">
        <v>1</v>
      </c>
      <c r="BK83" s="722" t="s">
        <v>320</v>
      </c>
      <c r="BL83" s="761">
        <f>BM83*BN83</f>
        <v>0</v>
      </c>
      <c r="BM83" s="725"/>
      <c r="BN83" s="762"/>
      <c r="BO83" s="142">
        <f>IF(SUM(BM83:BM85=0),0,SUM(BL83:BL85)/SUM(BM83:BM85))</f>
        <v>0</v>
      </c>
      <c r="BP83" s="762">
        <v>3.472222222222222E-3</v>
      </c>
      <c r="BQ83" s="761">
        <f>BR83*BS83</f>
        <v>2.1408263888888886E-2</v>
      </c>
      <c r="BR83" s="737">
        <v>7.5190000000000001</v>
      </c>
      <c r="BS83" s="763">
        <v>2.8472222222222219E-3</v>
      </c>
      <c r="BT83" s="142">
        <f>IF(SUM(BR83:BR85=0),0,SUM(BQ83:BQ85)/SUM(BR83:BR85))</f>
        <v>2.8472222222222219E-3</v>
      </c>
      <c r="BU83" s="762">
        <v>3.472222222222222E-3</v>
      </c>
      <c r="BX83" s="666" t="str">
        <f t="shared" ref="BX83:BX94" si="15">TEXT(CONCATENATE(CC83,"/01/20",CB83),"MMM")</f>
        <v>Oct</v>
      </c>
      <c r="BY83" s="728">
        <f>IF(CB83=$CB95,SUMIF($BI83:$BI94,$BX83,$BR83:$BR94),SUMIF($BI83:$BI94,$BX83,$BM83:$BM94))</f>
        <v>0</v>
      </c>
      <c r="BZ83" s="762">
        <f>IF(IF(CB83=CB95,SUMIF(BI83:BI94,$BX83,BU83:BU94),SUMIF(BI83:BI94,$BX83,BP83:BP94))=0,NA(),IF(CB83=CB95,SUMIF(BI83:BI94,$BX83,BU83:BU94),SUMIF(BI83:BI94,$BX83,BP83:BP94)))</f>
        <v>3.472222222222222E-3</v>
      </c>
      <c r="CA83" s="764" t="e">
        <f>IF(IF(CB83=CB95,SUMIF(BI83:BI94,$BX83,BS83:BS94),SUMIF(BI83:BI94,$BX83,BN83:BN94))=0,NA(),IF(CB83=CB95,SUMIF(BI83:BI94,$BX83,BS83:BS94),SUMIF(BI83:BI94,$BX83,BN83:BN94)))</f>
        <v>#N/A</v>
      </c>
      <c r="CB83" s="730">
        <v>20</v>
      </c>
      <c r="CC83" s="730">
        <f t="shared" ref="CC83:CC93" si="16">IF(CC84-1&lt;1,CC84+11,CC84-1)</f>
        <v>10</v>
      </c>
    </row>
    <row r="84" spans="2:81" ht="14.65" customHeight="1">
      <c r="BI84" s="722" t="s">
        <v>321</v>
      </c>
      <c r="BJ84" s="722">
        <v>2</v>
      </c>
      <c r="BK84" s="722" t="s">
        <v>320</v>
      </c>
      <c r="BL84" s="761">
        <f t="shared" ref="BL84:BL94" si="17">BM84*BN84</f>
        <v>0</v>
      </c>
      <c r="BM84" s="725"/>
      <c r="BN84" s="762"/>
      <c r="BO84" s="137"/>
      <c r="BP84" s="762">
        <v>3.472222222222222E-3</v>
      </c>
      <c r="BQ84" s="761">
        <f t="shared" ref="BQ84:BQ94" si="18">BR84*BS84</f>
        <v>0</v>
      </c>
      <c r="BR84" s="758"/>
      <c r="BS84" s="759"/>
      <c r="BT84" s="137"/>
      <c r="BU84" s="762">
        <v>3.472222222222222E-3</v>
      </c>
      <c r="BX84" s="666" t="str">
        <f t="shared" si="15"/>
        <v>Nov</v>
      </c>
      <c r="BY84" s="728">
        <f>IF(CB84=$CB95,SUMIF($BI83:$BI94,$BX84,$BR83:$BR94),SUMIF($BI83:$BI94,$BX84,$BM83:$BM94))</f>
        <v>0</v>
      </c>
      <c r="BZ84" s="762">
        <f>IF(IF(CB84=CB95,SUMIF(BI83:BI94,$BX84,BU83:BU94),SUMIF(BI83:BI94,$BX84,BP83:BP94))=0,NA(),IF(CB84=CB95,SUMIF(BI83:BI94,$BX84,BU83:BU94),SUMIF(BI83:BI94,$BX84,BP83:BP94)))</f>
        <v>3.472222222222222E-3</v>
      </c>
      <c r="CA84" s="764" t="e">
        <f>IF(IF(CB84=CB95,SUMIF(BI83:BI94,$BX84,BS83:BS94),SUMIF(BI83:BI94,$BX84,BN83:BN94))=0,NA(),IF(CB84=CB95,SUMIF(BI83:BI94,$BX84,BS83:BS94),SUMIF(BI83:BI94,$BX84,BN83:BN94)))</f>
        <v>#N/A</v>
      </c>
      <c r="CB84" s="730">
        <v>20</v>
      </c>
      <c r="CC84" s="730">
        <f t="shared" si="16"/>
        <v>11</v>
      </c>
    </row>
    <row r="85" spans="2:81" ht="14.65" customHeight="1">
      <c r="BI85" s="722" t="s">
        <v>322</v>
      </c>
      <c r="BJ85" s="722">
        <v>3</v>
      </c>
      <c r="BK85" s="722" t="s">
        <v>320</v>
      </c>
      <c r="BL85" s="761">
        <f t="shared" si="17"/>
        <v>0</v>
      </c>
      <c r="BM85" s="725"/>
      <c r="BN85" s="762"/>
      <c r="BO85" s="137"/>
      <c r="BP85" s="762">
        <v>3.472222222222222E-3</v>
      </c>
      <c r="BQ85" s="761">
        <f t="shared" si="18"/>
        <v>0</v>
      </c>
      <c r="BR85" s="758"/>
      <c r="BS85" s="759"/>
      <c r="BT85" s="137"/>
      <c r="BU85" s="762">
        <v>3.472222222222222E-3</v>
      </c>
      <c r="BX85" s="666" t="str">
        <f t="shared" si="15"/>
        <v>Dec</v>
      </c>
      <c r="BY85" s="728">
        <f>IF(CB85=$CB95,SUMIF($BI83:$BI94,$BX85,$BR83:$BR94),SUMIF($BI83:$BI94,$BX85,$BM83:$BM94))</f>
        <v>0</v>
      </c>
      <c r="BZ85" s="762">
        <f>IF(IF(CB85=CB95,SUMIF(BI83:BI94,$BX85,BU83:BU94),SUMIF(BI83:BI94,$BX85,BP83:BP94))=0,NA(),IF(CB85=CB95,SUMIF(BI83:BI94,$BX85,BU83:BU94),SUMIF(BI83:BI94,$BX85,BP83:BP94)))</f>
        <v>3.472222222222222E-3</v>
      </c>
      <c r="CA85" s="764" t="e">
        <f>IF(IF(CB85=CB95,SUMIF(BI83:BI94,$BX85,BS83:BS94),SUMIF(BI83:BI94,$BX85,BN83:BN94))=0,NA(),IF(CB85=CB95,SUMIF(BI83:BI94,$BX85,BS83:BS94),SUMIF(BI83:BI94,$BX85,BN83:BN94)))</f>
        <v>#N/A</v>
      </c>
      <c r="CB85" s="730">
        <v>20</v>
      </c>
      <c r="CC85" s="730">
        <f t="shared" si="16"/>
        <v>12</v>
      </c>
    </row>
    <row r="86" spans="2:81" ht="14.65" customHeight="1">
      <c r="BI86" s="722" t="s">
        <v>323</v>
      </c>
      <c r="BJ86" s="722">
        <v>4</v>
      </c>
      <c r="BK86" s="722" t="s">
        <v>324</v>
      </c>
      <c r="BL86" s="761">
        <f t="shared" si="17"/>
        <v>0</v>
      </c>
      <c r="BM86" s="725"/>
      <c r="BN86" s="762"/>
      <c r="BO86" s="142">
        <f>IF(SUM(BM86:BM88=0),0,SUM(BL86:BL88)/SUM(BM86:BM88))</f>
        <v>0</v>
      </c>
      <c r="BP86" s="762">
        <v>3.472222222222222E-3</v>
      </c>
      <c r="BQ86" s="761">
        <f t="shared" si="18"/>
        <v>0</v>
      </c>
      <c r="BR86" s="758"/>
      <c r="BS86" s="755"/>
      <c r="BT86" s="142">
        <f>IF(SUM(BR86:BR88=0),0,SUM(BQ86:BQ88)/SUM(BR86:BR88))</f>
        <v>0</v>
      </c>
      <c r="BU86" s="762">
        <v>3.472222222222222E-3</v>
      </c>
      <c r="BX86" s="666" t="str">
        <f t="shared" si="15"/>
        <v>Jan</v>
      </c>
      <c r="BY86" s="728">
        <f>IF(CB86=$CB95,SUMIF($BI83:$BI94,$BX86,$BR83:$BR94),SUMIF($BI83:$BI94,$BX86,$BM83:$BM94))</f>
        <v>0</v>
      </c>
      <c r="BZ86" s="762">
        <f>IF(IF(CB86=CB95,SUMIF(BI83:BI94,$BX86,BU83:BU94),SUMIF(BI83:BI94,$BX86,BP83:BP94))=0,NA(),IF(CB86=CB95,SUMIF(BI83:BI94,$BX86,BU83:BU94),SUMIF(BI83:BI94,$BX86,BP83:BP94)))</f>
        <v>3.472222222222222E-3</v>
      </c>
      <c r="CA86" s="764" t="e">
        <f>IF(IF(CB86=CB95,SUMIF(BI83:BI94,$BX86,BS83:BS94),SUMIF(BI83:BI94,$BX86,BN83:BN94))=0,NA(),IF(CB86=CB95,SUMIF(BI83:BI94,$BX86,BS83:BS94),SUMIF(BI83:BI94,$BX86,BN83:BN94)))</f>
        <v>#N/A</v>
      </c>
      <c r="CB86" s="730">
        <v>20</v>
      </c>
      <c r="CC86" s="730">
        <f t="shared" si="16"/>
        <v>1</v>
      </c>
    </row>
    <row r="87" spans="2:81" ht="14.65" customHeight="1">
      <c r="BI87" s="722" t="s">
        <v>325</v>
      </c>
      <c r="BJ87" s="722">
        <v>5</v>
      </c>
      <c r="BK87" s="722" t="s">
        <v>324</v>
      </c>
      <c r="BL87" s="761">
        <f t="shared" si="17"/>
        <v>0</v>
      </c>
      <c r="BM87" s="725"/>
      <c r="BN87" s="762"/>
      <c r="BO87" s="137"/>
      <c r="BP87" s="762">
        <v>3.472222222222222E-3</v>
      </c>
      <c r="BQ87" s="761">
        <f t="shared" si="18"/>
        <v>0</v>
      </c>
      <c r="BR87" s="758"/>
      <c r="BS87" s="755"/>
      <c r="BT87" s="137"/>
      <c r="BU87" s="762">
        <v>3.472222222222222E-3</v>
      </c>
      <c r="BX87" s="666" t="str">
        <f t="shared" si="15"/>
        <v>Feb</v>
      </c>
      <c r="BY87" s="728">
        <f>IF(CB87=$CB95,SUMIF($BI83:$BI94,$BX87,$BR83:$BR94),SUMIF($BI83:$BI94,$BX87,$BM83:$BM94))</f>
        <v>0</v>
      </c>
      <c r="BZ87" s="762">
        <f>IF(IF(CB87=CB95,SUMIF(BI83:BI94,$BX87,BU83:BU94),SUMIF(BI83:BI94,$BX87,BP83:BP94))=0,NA(),IF(CB87=CB95,SUMIF(BI83:BI94,$BX87,BU83:BU94),SUMIF(BI83:BI94,$BX87,BP83:BP94)))</f>
        <v>3.472222222222222E-3</v>
      </c>
      <c r="CA87" s="764" t="e">
        <f>IF(IF(CB87=CB95,SUMIF(BI83:BI94,$BX87,BS83:BS94),SUMIF(BI83:BI94,$BX87,BN83:BN94))=0,NA(),IF(CB87=CB95,SUMIF(BI83:BI94,$BX87,BS83:BS94),SUMIF(BI83:BI94,$BX87,BN83:BN94)))</f>
        <v>#N/A</v>
      </c>
      <c r="CB87" s="730">
        <v>20</v>
      </c>
      <c r="CC87" s="730">
        <f t="shared" si="16"/>
        <v>2</v>
      </c>
    </row>
    <row r="88" spans="2:81" ht="15">
      <c r="B88" s="44" t="s">
        <v>242</v>
      </c>
      <c r="C88" s="44"/>
      <c r="D88" s="44"/>
      <c r="E88" s="87"/>
      <c r="F88" s="94"/>
      <c r="G88" s="94"/>
      <c r="H88" s="94"/>
      <c r="I88" s="94"/>
      <c r="J88" s="94"/>
      <c r="K88" s="94"/>
      <c r="L88" s="94"/>
      <c r="M88" s="94"/>
      <c r="N88" s="94"/>
      <c r="O88" s="94"/>
      <c r="P88" s="94"/>
      <c r="Q88" s="94"/>
      <c r="R88" s="94"/>
      <c r="S88" s="94"/>
      <c r="T88" s="94"/>
      <c r="U88" s="94"/>
      <c r="V88" s="94"/>
      <c r="W88" s="94"/>
      <c r="X88" s="94"/>
      <c r="Y88" s="94"/>
      <c r="Z88" s="94"/>
      <c r="AA88" s="94"/>
      <c r="AB88" s="94"/>
      <c r="AE88" s="44" t="s">
        <v>242</v>
      </c>
      <c r="AF88" s="44"/>
      <c r="AG88" s="44"/>
      <c r="AH88" s="87"/>
      <c r="AI88" s="94"/>
      <c r="AJ88" s="94"/>
      <c r="AK88" s="94"/>
      <c r="AL88" s="94"/>
      <c r="AM88" s="94"/>
      <c r="AN88" s="94"/>
      <c r="AO88" s="94"/>
      <c r="AP88" s="94"/>
      <c r="AQ88" s="94"/>
      <c r="AR88" s="94"/>
      <c r="AS88" s="94"/>
      <c r="AT88" s="94"/>
      <c r="AU88" s="94"/>
      <c r="AV88" s="94"/>
      <c r="AW88" s="94"/>
      <c r="AX88" s="94"/>
      <c r="AY88" s="94"/>
      <c r="AZ88" s="94"/>
      <c r="BA88" s="94"/>
      <c r="BB88" s="94"/>
      <c r="BC88" s="94"/>
      <c r="BD88" s="94"/>
      <c r="BE88" s="94"/>
      <c r="BI88" s="722" t="s">
        <v>326</v>
      </c>
      <c r="BJ88" s="722">
        <v>6</v>
      </c>
      <c r="BK88" s="722" t="s">
        <v>324</v>
      </c>
      <c r="BL88" s="761">
        <f t="shared" si="17"/>
        <v>0</v>
      </c>
      <c r="BM88" s="725"/>
      <c r="BN88" s="762"/>
      <c r="BO88" s="137"/>
      <c r="BP88" s="762">
        <v>3.472222222222222E-3</v>
      </c>
      <c r="BQ88" s="761">
        <f t="shared" si="18"/>
        <v>0</v>
      </c>
      <c r="BR88" s="758"/>
      <c r="BS88" s="755"/>
      <c r="BT88" s="137"/>
      <c r="BU88" s="762">
        <v>3.472222222222222E-3</v>
      </c>
      <c r="BX88" s="666" t="str">
        <f t="shared" si="15"/>
        <v>Mar</v>
      </c>
      <c r="BY88" s="728">
        <f>IF(CB88=$CB95,SUMIF($BI83:$BI94,$BX88,$BR83:$BR94),SUMIF($BI83:$BI94,$BX88,$BM83:$BM94))</f>
        <v>0</v>
      </c>
      <c r="BZ88" s="762">
        <f>IF(IF(CB88=CB95,SUMIF(BI83:BI94,$BX88,BU83:BU94),SUMIF(BI83:BI94,$BX88,BP83:BP94))=0,NA(),IF(CB88=CB95,SUMIF(BI83:BI94,$BX88,BU83:BU94),SUMIF(BI83:BI94,$BX88,BP83:BP94)))</f>
        <v>3.472222222222222E-3</v>
      </c>
      <c r="CA88" s="764" t="e">
        <f>IF(IF(CB88=CB95,SUMIF(BI83:BI94,$BX88,BS83:BS94),SUMIF(BI83:BI94,$BX88,BN83:BN94))=0,NA(),IF(CB88=CB95,SUMIF(BI83:BI94,$BX88,BS83:BS94),SUMIF(BI83:BI94,$BX88,BN83:BN94)))</f>
        <v>#N/A</v>
      </c>
      <c r="CB88" s="730">
        <v>20</v>
      </c>
      <c r="CC88" s="730">
        <f t="shared" si="16"/>
        <v>3</v>
      </c>
    </row>
    <row r="89" spans="2:81" ht="15">
      <c r="B89" s="1510"/>
      <c r="C89" s="1511"/>
      <c r="D89" s="1511"/>
      <c r="E89" s="1511"/>
      <c r="F89" s="1511"/>
      <c r="G89" s="1511"/>
      <c r="H89" s="1511"/>
      <c r="I89" s="1511"/>
      <c r="J89" s="1511"/>
      <c r="K89" s="1511"/>
      <c r="L89" s="1511"/>
      <c r="M89" s="1511"/>
      <c r="N89" s="1511"/>
      <c r="O89" s="1511"/>
      <c r="P89" s="1511"/>
      <c r="Q89" s="1511"/>
      <c r="R89" s="1511"/>
      <c r="S89" s="1511"/>
      <c r="T89" s="1511"/>
      <c r="U89" s="1511"/>
      <c r="V89" s="1511"/>
      <c r="W89" s="1511"/>
      <c r="X89" s="1511"/>
      <c r="Y89" s="1511"/>
      <c r="Z89" s="1511"/>
      <c r="AA89" s="1511"/>
      <c r="AB89" s="1512"/>
      <c r="AE89" s="1510"/>
      <c r="AF89" s="1511"/>
      <c r="AG89" s="1511"/>
      <c r="AH89" s="1511"/>
      <c r="AI89" s="1511"/>
      <c r="AJ89" s="1511"/>
      <c r="AK89" s="1511"/>
      <c r="AL89" s="1511"/>
      <c r="AM89" s="1511"/>
      <c r="AN89" s="1511"/>
      <c r="AO89" s="1511"/>
      <c r="AP89" s="1511"/>
      <c r="AQ89" s="1511"/>
      <c r="AR89" s="1511"/>
      <c r="AS89" s="1511"/>
      <c r="AT89" s="1511"/>
      <c r="AU89" s="1511"/>
      <c r="AV89" s="1511"/>
      <c r="AW89" s="1511"/>
      <c r="AX89" s="1511"/>
      <c r="AY89" s="1511"/>
      <c r="AZ89" s="1511"/>
      <c r="BA89" s="1511"/>
      <c r="BB89" s="1511"/>
      <c r="BC89" s="1511"/>
      <c r="BD89" s="1511"/>
      <c r="BE89" s="1512"/>
      <c r="BI89" s="722" t="s">
        <v>327</v>
      </c>
      <c r="BJ89" s="722">
        <v>7</v>
      </c>
      <c r="BK89" s="722" t="s">
        <v>328</v>
      </c>
      <c r="BL89" s="761">
        <f t="shared" si="17"/>
        <v>1.0752986111111112E-2</v>
      </c>
      <c r="BM89" s="725">
        <v>3.3539999999999996</v>
      </c>
      <c r="BN89" s="762">
        <v>3.2060185185185191E-3</v>
      </c>
      <c r="BO89" s="142">
        <f>IF(SUM(BM89:BM91=0),0,SUM(BL89:BL91)/SUM(BM89:BM91))</f>
        <v>3.2559455895751319E-3</v>
      </c>
      <c r="BP89" s="762">
        <v>3.472222222222222E-3</v>
      </c>
      <c r="BQ89" s="761">
        <f t="shared" si="18"/>
        <v>0</v>
      </c>
      <c r="BR89" s="737"/>
      <c r="BS89" s="763"/>
      <c r="BT89" s="142">
        <f>IF(SUM(BR89:BR91=0),0,SUM(BQ89:BQ91)/SUM(BR89:BR91))</f>
        <v>0</v>
      </c>
      <c r="BU89" s="762">
        <v>3.472222222222222E-3</v>
      </c>
      <c r="BX89" s="666" t="str">
        <f t="shared" si="15"/>
        <v>Apr</v>
      </c>
      <c r="BY89" s="728">
        <f>IF(CB89=$CB95,SUMIF($BI83:$BI94,$BX89,$BR83:$BR94),SUMIF($BI83:$BI94,$BX89,$BM83:$BM94))</f>
        <v>3.3539999999999996</v>
      </c>
      <c r="BZ89" s="762">
        <f>IF(IF(CB89=CB95,SUMIF(BI83:BI94,$BX89,BU83:BU94),SUMIF(BI83:BI94,$BX89,BP83:BP94))=0,NA(),IF(CB89=CB95,SUMIF(BI83:BI94,$BX89,BU83:BU94),SUMIF(BI83:BI94,$BX89,BP83:BP94)))</f>
        <v>3.472222222222222E-3</v>
      </c>
      <c r="CA89" s="764">
        <f>IF(IF(CB89=CB95,SUMIF(BI83:BI94,$BX89,BS83:BS94),SUMIF(BI83:BI94,$BX89,BN83:BN94))=0,NA(),IF(CB89=CB95,SUMIF(BI83:BI94,$BX89,BS83:BS94),SUMIF(BI83:BI94,$BX89,BN83:BN94)))</f>
        <v>3.2060185185185191E-3</v>
      </c>
      <c r="CB89" s="730">
        <v>20</v>
      </c>
      <c r="CC89" s="730">
        <f t="shared" si="16"/>
        <v>4</v>
      </c>
    </row>
    <row r="90" spans="2:81" ht="15">
      <c r="B90" s="1513"/>
      <c r="C90" s="1514"/>
      <c r="D90" s="1514"/>
      <c r="E90" s="1514"/>
      <c r="F90" s="1514"/>
      <c r="G90" s="1514"/>
      <c r="H90" s="1514"/>
      <c r="I90" s="1514"/>
      <c r="J90" s="1514"/>
      <c r="K90" s="1514"/>
      <c r="L90" s="1514"/>
      <c r="M90" s="1514"/>
      <c r="N90" s="1514"/>
      <c r="O90" s="1514"/>
      <c r="P90" s="1514"/>
      <c r="Q90" s="1514"/>
      <c r="R90" s="1514"/>
      <c r="S90" s="1514"/>
      <c r="T90" s="1514"/>
      <c r="U90" s="1514"/>
      <c r="V90" s="1514"/>
      <c r="W90" s="1514"/>
      <c r="X90" s="1514"/>
      <c r="Y90" s="1514"/>
      <c r="Z90" s="1514"/>
      <c r="AA90" s="1514"/>
      <c r="AB90" s="1515"/>
      <c r="AE90" s="1513"/>
      <c r="AF90" s="1514"/>
      <c r="AG90" s="1514"/>
      <c r="AH90" s="1514"/>
      <c r="AI90" s="1514"/>
      <c r="AJ90" s="1514"/>
      <c r="AK90" s="1514"/>
      <c r="AL90" s="1514"/>
      <c r="AM90" s="1514"/>
      <c r="AN90" s="1514"/>
      <c r="AO90" s="1514"/>
      <c r="AP90" s="1514"/>
      <c r="AQ90" s="1514"/>
      <c r="AR90" s="1514"/>
      <c r="AS90" s="1514"/>
      <c r="AT90" s="1514"/>
      <c r="AU90" s="1514"/>
      <c r="AV90" s="1514"/>
      <c r="AW90" s="1514"/>
      <c r="AX90" s="1514"/>
      <c r="AY90" s="1514"/>
      <c r="AZ90" s="1514"/>
      <c r="BA90" s="1514"/>
      <c r="BB90" s="1514"/>
      <c r="BC90" s="1514"/>
      <c r="BD90" s="1514"/>
      <c r="BE90" s="1515"/>
      <c r="BI90" s="722" t="s">
        <v>329</v>
      </c>
      <c r="BJ90" s="722">
        <v>8</v>
      </c>
      <c r="BK90" s="722" t="s">
        <v>328</v>
      </c>
      <c r="BL90" s="761">
        <f t="shared" si="17"/>
        <v>8.5434027777777765E-3</v>
      </c>
      <c r="BM90" s="725">
        <v>2.59</v>
      </c>
      <c r="BN90" s="762">
        <v>3.2986111111111111E-3</v>
      </c>
      <c r="BO90" s="137"/>
      <c r="BP90" s="762">
        <v>3.472222222222222E-3</v>
      </c>
      <c r="BQ90" s="761">
        <f>BR90*BS90</f>
        <v>0</v>
      </c>
      <c r="BR90" s="737"/>
      <c r="BS90" s="763"/>
      <c r="BT90" s="137"/>
      <c r="BU90" s="762">
        <v>3.472222222222222E-3</v>
      </c>
      <c r="BX90" s="666" t="str">
        <f t="shared" si="15"/>
        <v>May</v>
      </c>
      <c r="BY90" s="728">
        <f>IF(CB90=$CB95,SUMIF($BI83:$BI94,$BX90,$BR83:$BR94),SUMIF($BI83:$BI94,$BX90,$BM83:$BM94))</f>
        <v>2.59</v>
      </c>
      <c r="BZ90" s="762">
        <f>IF(IF(CB90=CB95,SUMIF(BI83:BI94,$BX90,BU83:BU94),SUMIF(BI83:BI94,$BX90,BP83:BP94))=0,NA(),IF(CB90=CB95,SUMIF(BI83:BI94,$BX90,BU83:BU94),SUMIF(BI83:BI94,$BX90,BP83:BP94)))</f>
        <v>3.472222222222222E-3</v>
      </c>
      <c r="CA90" s="764">
        <f>IF(IF(CB90=CB95,SUMIF(BI83:BI94,$BX90,BS83:BS94),SUMIF(BI83:BI94,$BX90,BN83:BN94))=0,NA(),IF(CB90=CB95,SUMIF(BI83:BI94,$BX90,BS83:BS94),SUMIF(BI83:BI94,$BX90,BN83:BN94)))</f>
        <v>3.2986111111111111E-3</v>
      </c>
      <c r="CB90" s="730">
        <v>20</v>
      </c>
      <c r="CC90" s="730">
        <f t="shared" si="16"/>
        <v>5</v>
      </c>
    </row>
    <row r="91" spans="2:81" ht="15">
      <c r="B91" s="1513"/>
      <c r="C91" s="1514"/>
      <c r="D91" s="1514"/>
      <c r="E91" s="1514"/>
      <c r="F91" s="1514"/>
      <c r="G91" s="1514"/>
      <c r="H91" s="1514"/>
      <c r="I91" s="1514"/>
      <c r="J91" s="1514"/>
      <c r="K91" s="1514"/>
      <c r="L91" s="1514"/>
      <c r="M91" s="1514"/>
      <c r="N91" s="1514"/>
      <c r="O91" s="1514"/>
      <c r="P91" s="1514"/>
      <c r="Q91" s="1514"/>
      <c r="R91" s="1514"/>
      <c r="S91" s="1514"/>
      <c r="T91" s="1514"/>
      <c r="U91" s="1514"/>
      <c r="V91" s="1514"/>
      <c r="W91" s="1514"/>
      <c r="X91" s="1514"/>
      <c r="Y91" s="1514"/>
      <c r="Z91" s="1514"/>
      <c r="AA91" s="1514"/>
      <c r="AB91" s="1515"/>
      <c r="AE91" s="1513"/>
      <c r="AF91" s="1514"/>
      <c r="AG91" s="1514"/>
      <c r="AH91" s="1514"/>
      <c r="AI91" s="1514"/>
      <c r="AJ91" s="1514"/>
      <c r="AK91" s="1514"/>
      <c r="AL91" s="1514"/>
      <c r="AM91" s="1514"/>
      <c r="AN91" s="1514"/>
      <c r="AO91" s="1514"/>
      <c r="AP91" s="1514"/>
      <c r="AQ91" s="1514"/>
      <c r="AR91" s="1514"/>
      <c r="AS91" s="1514"/>
      <c r="AT91" s="1514"/>
      <c r="AU91" s="1514"/>
      <c r="AV91" s="1514"/>
      <c r="AW91" s="1514"/>
      <c r="AX91" s="1514"/>
      <c r="AY91" s="1514"/>
      <c r="AZ91" s="1514"/>
      <c r="BA91" s="1514"/>
      <c r="BB91" s="1514"/>
      <c r="BC91" s="1514"/>
      <c r="BD91" s="1514"/>
      <c r="BE91" s="1515"/>
      <c r="BI91" s="722" t="s">
        <v>331</v>
      </c>
      <c r="BJ91" s="722">
        <v>9</v>
      </c>
      <c r="BK91" s="722" t="s">
        <v>328</v>
      </c>
      <c r="BL91" s="761">
        <f t="shared" si="17"/>
        <v>9.5578009259259262E-3</v>
      </c>
      <c r="BM91" s="725">
        <v>2.9179999999999997</v>
      </c>
      <c r="BN91" s="762">
        <v>3.2754629629629631E-3</v>
      </c>
      <c r="BO91" s="137"/>
      <c r="BP91" s="762">
        <v>3.472222222222222E-3</v>
      </c>
      <c r="BQ91" s="761">
        <f t="shared" si="18"/>
        <v>0</v>
      </c>
      <c r="BR91" s="737"/>
      <c r="BS91" s="763"/>
      <c r="BT91" s="137"/>
      <c r="BU91" s="762">
        <v>3.472222222222222E-3</v>
      </c>
      <c r="BX91" s="666" t="str">
        <f t="shared" si="15"/>
        <v>Jun</v>
      </c>
      <c r="BY91" s="728">
        <f>IF(CB91=$CB95,SUMIF($BI83:$BI94,$BX91,$BR83:$BR94),SUMIF($BI83:$BI94,$BX91,$BM83:$BM94))</f>
        <v>2.9179999999999997</v>
      </c>
      <c r="BZ91" s="762">
        <f>IF(IF(CB91=CB95,SUMIF(BI83:BI94,$BX91,BU83:BU94),SUMIF(BI83:BI94,$BX91,BP83:BP94))=0,NA(),IF(CB91=CB95,SUMIF(BI83:BI94,$BX91,BU83:BU94),SUMIF(BI83:BI94,$BX91,BP83:BP94)))</f>
        <v>3.472222222222222E-3</v>
      </c>
      <c r="CA91" s="764">
        <f>IF(IF(CB91=CB95,SUMIF(BI83:BI94,$BX91,BS83:BS94),SUMIF(BI83:BI94,$BX91,BN83:BN94))=0,NA(),IF(CB91=CB95,SUMIF(BI83:BI94,$BX91,BS83:BS94),SUMIF(BI83:BI94,$BX91,BN83:BN94)))</f>
        <v>3.2754629629629631E-3</v>
      </c>
      <c r="CB91" s="730">
        <v>20</v>
      </c>
      <c r="CC91" s="730">
        <f t="shared" si="16"/>
        <v>6</v>
      </c>
    </row>
    <row r="92" spans="2:81" ht="14.65" customHeight="1">
      <c r="B92" s="1516"/>
      <c r="C92" s="1517"/>
      <c r="D92" s="1517"/>
      <c r="E92" s="1517"/>
      <c r="F92" s="1517"/>
      <c r="G92" s="1517"/>
      <c r="H92" s="1517"/>
      <c r="I92" s="1517"/>
      <c r="J92" s="1517"/>
      <c r="K92" s="1517"/>
      <c r="L92" s="1517"/>
      <c r="M92" s="1517"/>
      <c r="N92" s="1517"/>
      <c r="O92" s="1517"/>
      <c r="P92" s="1517"/>
      <c r="Q92" s="1517"/>
      <c r="R92" s="1517"/>
      <c r="S92" s="1517"/>
      <c r="T92" s="1517"/>
      <c r="U92" s="1517"/>
      <c r="V92" s="1517"/>
      <c r="W92" s="1517"/>
      <c r="X92" s="1517"/>
      <c r="Y92" s="1517"/>
      <c r="Z92" s="1517"/>
      <c r="AA92" s="1517"/>
      <c r="AB92" s="1518"/>
      <c r="AE92" s="1516"/>
      <c r="AF92" s="1517"/>
      <c r="AG92" s="1517"/>
      <c r="AH92" s="1517"/>
      <c r="AI92" s="1517"/>
      <c r="AJ92" s="1517"/>
      <c r="AK92" s="1517"/>
      <c r="AL92" s="1517"/>
      <c r="AM92" s="1517"/>
      <c r="AN92" s="1517"/>
      <c r="AO92" s="1517"/>
      <c r="AP92" s="1517"/>
      <c r="AQ92" s="1517"/>
      <c r="AR92" s="1517"/>
      <c r="AS92" s="1517"/>
      <c r="AT92" s="1517"/>
      <c r="AU92" s="1517"/>
      <c r="AV92" s="1517"/>
      <c r="AW92" s="1517"/>
      <c r="AX92" s="1517"/>
      <c r="AY92" s="1517"/>
      <c r="AZ92" s="1517"/>
      <c r="BA92" s="1517"/>
      <c r="BB92" s="1517"/>
      <c r="BC92" s="1517"/>
      <c r="BD92" s="1517"/>
      <c r="BE92" s="1518"/>
      <c r="BI92" s="722" t="s">
        <v>337</v>
      </c>
      <c r="BJ92" s="722">
        <v>10</v>
      </c>
      <c r="BK92" s="722" t="s">
        <v>338</v>
      </c>
      <c r="BL92" s="761">
        <f t="shared" si="17"/>
        <v>9.5915740740740735E-3</v>
      </c>
      <c r="BM92" s="725">
        <v>2.9180000000000001</v>
      </c>
      <c r="BN92" s="762">
        <v>3.2870370370370367E-3</v>
      </c>
      <c r="BO92" s="142">
        <f>IF(SUM(BM92:BM94=0),0,SUM(BL92:BL94)/SUM(BM92:BM94))</f>
        <v>3.062745525058759E-3</v>
      </c>
      <c r="BP92" s="762">
        <v>3.472222222222222E-3</v>
      </c>
      <c r="BQ92" s="761">
        <f t="shared" si="18"/>
        <v>0</v>
      </c>
      <c r="BR92" s="737"/>
      <c r="BS92" s="763"/>
      <c r="BT92" s="142">
        <f>IF(SUM(BR92:BR94=0),0,SUM(BQ92:BQ94)/SUM(BR92:BR94))</f>
        <v>0</v>
      </c>
      <c r="BU92" s="762">
        <v>3.472222222222222E-3</v>
      </c>
      <c r="BV92" s="6"/>
      <c r="BX92" s="666" t="str">
        <f t="shared" si="15"/>
        <v>Jul</v>
      </c>
      <c r="BY92" s="728">
        <f>IF(CB92=$CB95,SUMIF($BI83:$BI94,$BX92,$BR83:$BR94),SUMIF($BI83:$BI94,$BX92,$BM83:$BM94))</f>
        <v>2.9180000000000001</v>
      </c>
      <c r="BZ92" s="762">
        <f>IF(IF(CB92=CB95,SUMIF(BI83:BI94,$BX92,BU83:BU94),SUMIF(BI83:BI94,$BX92,BP83:BP94))=0,NA(),IF(CB92=CB95,SUMIF(BI83:BI94,$BX92,BU83:BU94),SUMIF(BI83:BI94,$BX92,BP83:BP94)))</f>
        <v>3.472222222222222E-3</v>
      </c>
      <c r="CA92" s="764">
        <f>IF(IF(CB92=CB95,SUMIF(BI83:BI94,$BX92,BS83:BS94),SUMIF(BI83:BI94,$BX92,BN83:BN94))=0,NA(),IF(CB92=CB95,SUMIF(BI83:BI94,$BX92,BS83:BS94),SUMIF(BI83:BI94,$BX92,BN83:BN94)))</f>
        <v>3.2870370370370367E-3</v>
      </c>
      <c r="CB92" s="730">
        <v>20</v>
      </c>
      <c r="CC92" s="730">
        <f t="shared" si="16"/>
        <v>7</v>
      </c>
    </row>
    <row r="93" spans="2:81" ht="14.65" customHeight="1">
      <c r="BI93" s="722" t="s">
        <v>343</v>
      </c>
      <c r="BJ93" s="722">
        <v>11</v>
      </c>
      <c r="BK93" s="722" t="s">
        <v>338</v>
      </c>
      <c r="BL93" s="761">
        <f t="shared" si="17"/>
        <v>1.1279513888888889E-2</v>
      </c>
      <c r="BM93" s="725">
        <v>3.65</v>
      </c>
      <c r="BN93" s="762">
        <v>3.0902777777777782E-3</v>
      </c>
      <c r="BO93" s="137"/>
      <c r="BP93" s="762">
        <v>3.472222222222222E-3</v>
      </c>
      <c r="BQ93" s="761">
        <f t="shared" si="18"/>
        <v>0</v>
      </c>
      <c r="BR93" s="737"/>
      <c r="BS93" s="763"/>
      <c r="BT93" s="137"/>
      <c r="BU93" s="762">
        <v>3.472222222222222E-3</v>
      </c>
      <c r="BV93" s="6"/>
      <c r="BX93" s="666" t="str">
        <f t="shared" si="15"/>
        <v>Aug</v>
      </c>
      <c r="BY93" s="728">
        <f>IF(CB93=$CB95,SUMIF($BI83:$BI94,$BX93,$BR83:$BR94),SUMIF($BI83:$BI94,$BX93,$BM83:$BM94))</f>
        <v>3.65</v>
      </c>
      <c r="BZ93" s="762">
        <f>IF(IF(CB93=CB95,SUMIF(BI83:BI94,$BX93,BU83:BU94),SUMIF(BI83:BI94,$BX93,BP83:BP94))=0,NA(),IF(CB93=CB95,SUMIF(BI83:BI94,$BX93,BU83:BU94),SUMIF(BI83:BI94,$BX93,BP83:BP94)))</f>
        <v>3.472222222222222E-3</v>
      </c>
      <c r="CA93" s="764">
        <f>IF(IF(CB93=CB95,SUMIF(BI83:BI94,$BX93,BS83:BS94),SUMIF(BI83:BI94,$BX93,BN83:BN94))=0,NA(),IF(CB93=CB95,SUMIF(BI83:BI94,$BX93,BS83:BS94),SUMIF(BI83:BI94,$BX93,BN83:BN94)))</f>
        <v>3.0902777777777782E-3</v>
      </c>
      <c r="CB93" s="730">
        <v>20</v>
      </c>
      <c r="CC93" s="730">
        <f t="shared" si="16"/>
        <v>8</v>
      </c>
    </row>
    <row r="94" spans="2:81" ht="15" customHeight="1">
      <c r="BI94" s="722" t="s">
        <v>344</v>
      </c>
      <c r="BJ94" s="722">
        <v>12</v>
      </c>
      <c r="BK94" s="722" t="s">
        <v>338</v>
      </c>
      <c r="BL94" s="761">
        <f t="shared" si="17"/>
        <v>1.643621527777778E-2</v>
      </c>
      <c r="BM94" s="725">
        <v>5.6130000000000004</v>
      </c>
      <c r="BN94" s="762">
        <v>2.9282407407407412E-3</v>
      </c>
      <c r="BO94" s="137"/>
      <c r="BP94" s="762">
        <v>3.472222222222222E-3</v>
      </c>
      <c r="BQ94" s="761">
        <f t="shared" si="18"/>
        <v>0</v>
      </c>
      <c r="BR94" s="737"/>
      <c r="BS94" s="763"/>
      <c r="BT94" s="137"/>
      <c r="BU94" s="762">
        <v>3.472222222222222E-3</v>
      </c>
      <c r="BV94" s="6"/>
      <c r="BX94" s="666" t="str">
        <f t="shared" si="15"/>
        <v>Sep</v>
      </c>
      <c r="BY94" s="728">
        <f>IF(CB94=$CB95,SUMIF($BI83:$BI94,$BX94,$BR83:$BR94),SUMIF($BI83:$BI94,$BX94,$BM83:$BM94))</f>
        <v>5.6130000000000004</v>
      </c>
      <c r="BZ94" s="762">
        <f>IF(IF(CB94=CB95,SUMIF(BI83:BI94,$BX94,BU83:BU94),SUMIF(BI83:BI94,$BX94,BP83:BP94))=0,NA(),IF(CB94=CB95,SUMIF(BI83:BI94,$BX94,BU83:BU94),SUMIF(BI83:BI94,$BX94,BP83:BP94)))</f>
        <v>3.472222222222222E-3</v>
      </c>
      <c r="CA94" s="764">
        <f>IF(IF(CB94=CB95,SUMIF(BI83:BI94,$BX94,BS83:BS94),SUMIF(BI83:BI94,$BX94,BN83:BN94))=0,NA(),IF(CB94=CB95,SUMIF(BI83:BI94,$BX94,BS83:BS94),SUMIF(BI83:BI94,$BX94,BN83:BN94)))</f>
        <v>2.9282407407407412E-3</v>
      </c>
      <c r="CB94" s="730">
        <v>20</v>
      </c>
      <c r="CC94" s="730">
        <f>IF(CC95-1&lt;1,CC95+11,CC95-1)</f>
        <v>9</v>
      </c>
    </row>
    <row r="95" spans="2:81" ht="15" customHeight="1">
      <c r="B95" s="45" t="s">
        <v>350</v>
      </c>
      <c r="C95" s="46"/>
      <c r="D95" s="46"/>
      <c r="E95" s="46"/>
      <c r="F95" s="46"/>
      <c r="G95" s="11"/>
      <c r="H95" s="11"/>
      <c r="I95" s="11"/>
      <c r="J95" s="11"/>
      <c r="K95" s="11"/>
      <c r="L95" s="48"/>
      <c r="M95" s="46"/>
      <c r="N95" s="4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J95" s="6"/>
      <c r="BK95" s="6"/>
      <c r="BL95" s="6"/>
      <c r="BM95" s="6"/>
      <c r="BN95" s="6"/>
      <c r="BO95" s="6"/>
      <c r="BP95" s="6"/>
      <c r="BQ95" s="6"/>
      <c r="BR95" s="6"/>
      <c r="BS95" s="6"/>
      <c r="BT95" s="6"/>
      <c r="BU95" s="6"/>
      <c r="BV95" s="6"/>
      <c r="BW95" s="667" t="str">
        <f>Cover!$M$34</f>
        <v>OCT FY-24</v>
      </c>
      <c r="BX95" s="666" t="str">
        <f>TEXT(CONCATENATE(CC95,"/01/20",CB95),"MMM")</f>
        <v>Oct</v>
      </c>
      <c r="BY95" s="728">
        <f>SUMIF($BI83:$BI94,$BX95,$BR83:$BR94)</f>
        <v>7.5190000000000001</v>
      </c>
      <c r="BZ95" s="762">
        <f>IF(IF(CB95=CB95,SUMIF(BI83:BI94,$BX95,BU83:BU94),SUMIF(BI83:BI94,$BX95,BP83:BP94))=0,NA(),IF(CB95=CB95,SUMIF(BI83:BI94,$BX95,BU83:BU94),SUMIF(BI83:BI94,$BX95,BP83:BP94)))</f>
        <v>3.472222222222222E-3</v>
      </c>
      <c r="CA95" s="764">
        <f>IF(SUMIF($BI83:$BI94,$BX95,$BS83:$BS94)=0,NA(),SUMIF($BI83:$BI94,$BX95,$BS83:$BS94))</f>
        <v>2.8472222222222219E-3</v>
      </c>
      <c r="CB95" s="730">
        <v>21</v>
      </c>
      <c r="CC95" s="730">
        <f>MONTH(DATEVALUE(LEFT(BW95,3)&amp;" 1"))</f>
        <v>10</v>
      </c>
    </row>
    <row r="96" spans="2:81" ht="15" customHeight="1">
      <c r="B96" s="184"/>
      <c r="C96" s="185"/>
      <c r="D96" s="185"/>
      <c r="E96" s="185"/>
      <c r="F96" s="185"/>
      <c r="G96" s="183"/>
      <c r="H96" s="183"/>
      <c r="I96" s="183"/>
      <c r="J96" s="183"/>
      <c r="K96" s="183"/>
      <c r="L96" s="188"/>
      <c r="M96" s="185"/>
      <c r="N96" s="185"/>
      <c r="O96" s="183"/>
      <c r="P96" s="183"/>
      <c r="Q96" s="183"/>
      <c r="R96" s="183"/>
      <c r="S96" s="183"/>
      <c r="T96" s="183"/>
      <c r="U96" s="183"/>
      <c r="V96" s="183"/>
      <c r="W96" s="183"/>
      <c r="X96" s="183"/>
      <c r="Y96" s="183"/>
      <c r="Z96" s="183"/>
      <c r="AA96" s="183"/>
      <c r="AB96" s="183"/>
      <c r="AC96" s="183"/>
      <c r="AD96" s="183"/>
      <c r="AE96" s="183"/>
      <c r="AF96" s="183"/>
      <c r="AG96" s="183"/>
      <c r="AH96" s="183"/>
      <c r="AI96" s="183"/>
      <c r="AJ96" s="183"/>
      <c r="AK96" s="183"/>
      <c r="AL96" s="183"/>
      <c r="AM96" s="183"/>
      <c r="AN96" s="183"/>
      <c r="AO96" s="183"/>
      <c r="AP96" s="183"/>
      <c r="AQ96" s="183"/>
      <c r="AR96" s="183"/>
      <c r="AS96" s="183"/>
      <c r="AT96" s="183"/>
      <c r="AU96" s="183"/>
      <c r="AV96" s="183"/>
      <c r="AW96" s="183"/>
      <c r="AX96" s="183"/>
      <c r="AY96" s="183"/>
      <c r="AZ96" s="183"/>
      <c r="BA96" s="183"/>
      <c r="BB96" s="183"/>
      <c r="BC96" s="183"/>
      <c r="BD96" s="183"/>
      <c r="BE96" s="183"/>
    </row>
    <row r="97" spans="2:81" ht="15" customHeight="1">
      <c r="B97" s="184"/>
      <c r="C97" s="185"/>
      <c r="D97" s="185"/>
      <c r="E97" s="185"/>
      <c r="F97" s="185"/>
      <c r="G97" s="183"/>
      <c r="H97" s="183"/>
      <c r="I97" s="183"/>
      <c r="J97" s="183"/>
      <c r="K97" s="183"/>
      <c r="L97" s="188"/>
      <c r="M97" s="185"/>
      <c r="N97" s="185"/>
      <c r="O97" s="183"/>
      <c r="P97" s="183"/>
      <c r="Q97" s="183"/>
      <c r="R97" s="183"/>
      <c r="S97" s="183"/>
      <c r="T97" s="183"/>
      <c r="U97" s="183"/>
      <c r="V97" s="183"/>
      <c r="W97" s="183"/>
      <c r="X97" s="183"/>
      <c r="Y97" s="183"/>
      <c r="Z97" s="183"/>
      <c r="AA97" s="183"/>
      <c r="AB97" s="183"/>
      <c r="AC97" s="183"/>
      <c r="AD97" s="183"/>
      <c r="AE97" s="183"/>
      <c r="AF97" s="183"/>
      <c r="AG97" s="183"/>
      <c r="AH97" s="183"/>
      <c r="AI97" s="183"/>
      <c r="AJ97" s="183"/>
      <c r="AK97" s="183"/>
      <c r="AL97" s="183"/>
      <c r="AM97" s="183"/>
      <c r="AN97" s="183"/>
      <c r="AO97" s="183"/>
      <c r="AP97" s="183"/>
      <c r="AQ97" s="183"/>
      <c r="AR97" s="183"/>
      <c r="AS97" s="183"/>
      <c r="AT97" s="183"/>
      <c r="AU97" s="183"/>
      <c r="AV97" s="183"/>
      <c r="AW97" s="183"/>
      <c r="AX97" s="183"/>
      <c r="AY97" s="183"/>
      <c r="AZ97" s="183"/>
      <c r="BA97" s="183"/>
      <c r="BB97" s="183"/>
      <c r="BC97" s="183"/>
      <c r="BD97" s="183"/>
      <c r="BE97" s="183"/>
      <c r="BI97" s="1" t="s">
        <v>292</v>
      </c>
      <c r="BJ97" s="166" t="s">
        <v>464</v>
      </c>
      <c r="BK97" s="166"/>
      <c r="BL97" s="166"/>
      <c r="BM97" s="166"/>
      <c r="BN97" s="166"/>
      <c r="BO97" s="166"/>
      <c r="BP97" s="166"/>
      <c r="BQ97" s="166"/>
      <c r="BR97" s="166"/>
      <c r="BS97" s="166"/>
      <c r="BT97" s="166"/>
      <c r="BU97" s="166"/>
    </row>
    <row r="98" spans="2:81" ht="15" customHeight="1">
      <c r="B98" s="184"/>
      <c r="C98" s="185"/>
      <c r="D98" s="185"/>
      <c r="E98" s="185"/>
      <c r="F98" s="185"/>
      <c r="G98" s="183"/>
      <c r="H98" s="183"/>
      <c r="I98" s="183"/>
      <c r="J98" s="183"/>
      <c r="K98" s="183"/>
      <c r="L98" s="188"/>
      <c r="M98" s="185"/>
      <c r="N98" s="185"/>
      <c r="O98" s="183"/>
      <c r="P98" s="183"/>
      <c r="Q98" s="183"/>
      <c r="R98" s="183"/>
      <c r="S98" s="183"/>
      <c r="T98" s="183"/>
      <c r="U98" s="183"/>
      <c r="V98" s="183"/>
      <c r="W98" s="183"/>
      <c r="X98" s="183"/>
      <c r="Y98" s="183"/>
      <c r="Z98" s="183"/>
      <c r="AA98" s="183"/>
      <c r="AB98" s="183"/>
      <c r="AC98" s="183"/>
      <c r="AD98" s="183"/>
      <c r="AE98" s="183"/>
      <c r="AF98" s="183"/>
      <c r="AG98" s="183"/>
      <c r="AH98" s="183"/>
      <c r="AI98" s="183"/>
      <c r="AJ98" s="183"/>
      <c r="AK98" s="183"/>
      <c r="AL98" s="183"/>
      <c r="AM98" s="183"/>
      <c r="AN98" s="183"/>
      <c r="AO98" s="183"/>
      <c r="AP98" s="183"/>
      <c r="AQ98" s="183"/>
      <c r="AR98" s="183"/>
      <c r="AS98" s="183"/>
      <c r="AT98" s="183"/>
      <c r="AU98" s="183"/>
      <c r="AV98" s="183"/>
      <c r="AW98" s="183"/>
      <c r="AX98" s="183"/>
      <c r="AY98" s="183"/>
      <c r="AZ98" s="183"/>
      <c r="BA98" s="183"/>
      <c r="BB98" s="183"/>
      <c r="BC98" s="183"/>
      <c r="BD98" s="183"/>
      <c r="BE98" s="183"/>
      <c r="BI98" s="54" t="s">
        <v>296</v>
      </c>
      <c r="BJ98" s="165" t="s">
        <v>597</v>
      </c>
      <c r="BK98" s="165"/>
      <c r="BL98" s="165"/>
      <c r="BM98" s="165"/>
      <c r="BN98" s="165"/>
      <c r="BO98" s="165"/>
      <c r="BP98" s="165"/>
      <c r="BQ98" s="165"/>
      <c r="BR98" s="165"/>
      <c r="BS98" s="165"/>
      <c r="BT98" s="165"/>
      <c r="BU98" s="165"/>
    </row>
    <row r="99" spans="2:81" ht="15" customHeight="1" thickBot="1">
      <c r="B99" s="184"/>
      <c r="C99" s="185"/>
      <c r="D99" s="185"/>
      <c r="E99" s="185"/>
      <c r="F99" s="185"/>
      <c r="G99" s="183"/>
      <c r="H99" s="183"/>
      <c r="I99" s="183"/>
      <c r="J99" s="183"/>
      <c r="K99" s="183"/>
      <c r="L99" s="188"/>
      <c r="M99" s="185"/>
      <c r="N99" s="185"/>
      <c r="O99" s="183"/>
      <c r="P99" s="183"/>
      <c r="Q99" s="183"/>
      <c r="R99" s="183"/>
      <c r="S99" s="183"/>
      <c r="T99" s="183"/>
      <c r="U99" s="183"/>
      <c r="V99" s="183"/>
      <c r="W99" s="183"/>
      <c r="X99" s="183"/>
      <c r="Y99" s="183"/>
      <c r="Z99" s="183"/>
      <c r="AA99" s="183"/>
      <c r="AB99" s="183"/>
      <c r="AC99" s="183"/>
      <c r="AD99" s="183"/>
      <c r="AE99" s="183"/>
      <c r="AF99" s="183"/>
      <c r="AG99" s="183"/>
      <c r="AH99" s="183"/>
      <c r="AI99" s="183"/>
      <c r="AJ99" s="183"/>
      <c r="AK99" s="183"/>
      <c r="AL99" s="183"/>
      <c r="AM99" s="183"/>
      <c r="AN99" s="183"/>
      <c r="AO99" s="183"/>
      <c r="AP99" s="183"/>
      <c r="AQ99" s="183"/>
      <c r="AR99" s="183"/>
      <c r="AS99" s="183"/>
      <c r="AT99" s="183"/>
      <c r="AU99" s="183"/>
      <c r="AV99" s="183"/>
      <c r="AW99" s="183"/>
      <c r="AX99" s="183"/>
      <c r="AY99" s="183"/>
      <c r="AZ99" s="183"/>
      <c r="BA99" s="183"/>
      <c r="BB99" s="183"/>
      <c r="BC99" s="183"/>
      <c r="BD99" s="183"/>
      <c r="BE99" s="183"/>
      <c r="BI99" s="1" t="s">
        <v>300</v>
      </c>
      <c r="BJ99" s="228" t="s">
        <v>470</v>
      </c>
      <c r="BK99" s="165"/>
      <c r="BL99" s="165"/>
      <c r="BM99" s="165"/>
      <c r="BN99" s="165"/>
      <c r="BO99" s="165"/>
      <c r="BP99" s="165"/>
      <c r="BQ99" s="165"/>
      <c r="BR99" s="165"/>
      <c r="BS99" s="165"/>
      <c r="BT99" s="165"/>
      <c r="BU99" s="165"/>
    </row>
    <row r="100" spans="2:81" ht="15" customHeight="1" thickBot="1">
      <c r="B100" s="184"/>
      <c r="C100" s="185"/>
      <c r="D100" s="185"/>
      <c r="E100" s="185"/>
      <c r="F100" s="185"/>
      <c r="G100" s="183"/>
      <c r="H100" s="183"/>
      <c r="I100" s="183"/>
      <c r="J100" s="183"/>
      <c r="K100" s="183"/>
      <c r="L100" s="188"/>
      <c r="M100" s="185"/>
      <c r="N100" s="185"/>
      <c r="O100" s="183"/>
      <c r="P100" s="183"/>
      <c r="Q100" s="183"/>
      <c r="R100" s="183"/>
      <c r="S100" s="183"/>
      <c r="T100" s="183"/>
      <c r="U100" s="183"/>
      <c r="V100" s="183"/>
      <c r="W100" s="183"/>
      <c r="X100" s="183"/>
      <c r="Y100" s="183"/>
      <c r="Z100" s="183"/>
      <c r="AA100" s="183"/>
      <c r="AB100" s="183"/>
      <c r="AC100" s="183"/>
      <c r="AD100" s="183"/>
      <c r="AE100" s="183"/>
      <c r="AF100" s="183"/>
      <c r="AG100" s="183"/>
      <c r="AH100" s="183"/>
      <c r="AI100" s="183"/>
      <c r="AJ100" s="183"/>
      <c r="AK100" s="183"/>
      <c r="AL100" s="183"/>
      <c r="AM100" s="183"/>
      <c r="AN100" s="183"/>
      <c r="AO100" s="183"/>
      <c r="AP100" s="183"/>
      <c r="AQ100" s="183"/>
      <c r="AR100" s="183"/>
      <c r="AS100" s="183"/>
      <c r="AT100" s="183"/>
      <c r="AU100" s="183"/>
      <c r="AV100" s="183"/>
      <c r="AW100" s="183"/>
      <c r="AX100" s="183"/>
      <c r="AY100" s="183"/>
      <c r="AZ100" s="183"/>
      <c r="BA100" s="183"/>
      <c r="BB100" s="183"/>
      <c r="BC100" s="183"/>
      <c r="BD100" s="183"/>
      <c r="BE100" s="183"/>
      <c r="BI100" s="2"/>
      <c r="BJ100" s="2"/>
      <c r="BK100" s="2"/>
      <c r="BL100" s="1490" t="s">
        <v>487</v>
      </c>
      <c r="BM100" s="1491"/>
      <c r="BN100" s="1491"/>
      <c r="BO100" s="1491"/>
      <c r="BP100" s="1521"/>
      <c r="BQ100" s="1490" t="s">
        <v>522</v>
      </c>
      <c r="BR100" s="1491"/>
      <c r="BS100" s="1491"/>
      <c r="BT100" s="1491"/>
      <c r="BU100" s="1492"/>
      <c r="BW100" s="1490" t="s">
        <v>303</v>
      </c>
      <c r="BX100" s="1491"/>
      <c r="BY100" s="1491"/>
      <c r="BZ100" s="1491"/>
      <c r="CA100" s="1491"/>
      <c r="CB100" s="1491"/>
      <c r="CC100" s="1492"/>
    </row>
    <row r="101" spans="2:81" ht="15" customHeight="1">
      <c r="B101" s="184"/>
      <c r="C101" s="185"/>
      <c r="D101" s="185"/>
      <c r="E101" s="185"/>
      <c r="F101" s="185"/>
      <c r="G101" s="183"/>
      <c r="H101" s="183"/>
      <c r="I101" s="183"/>
      <c r="J101" s="183"/>
      <c r="K101" s="183"/>
      <c r="L101" s="188"/>
      <c r="M101" s="185"/>
      <c r="N101" s="185"/>
      <c r="O101" s="183"/>
      <c r="P101" s="183"/>
      <c r="Q101" s="183"/>
      <c r="R101" s="183"/>
      <c r="S101" s="183"/>
      <c r="T101" s="183"/>
      <c r="U101" s="183"/>
      <c r="V101" s="183"/>
      <c r="W101" s="183"/>
      <c r="X101" s="183"/>
      <c r="Y101" s="183"/>
      <c r="Z101" s="183"/>
      <c r="AA101" s="183"/>
      <c r="AB101" s="183"/>
      <c r="AC101" s="183"/>
      <c r="AD101" s="183"/>
      <c r="AE101" s="183"/>
      <c r="AF101" s="183"/>
      <c r="AG101" s="183"/>
      <c r="AH101" s="183"/>
      <c r="AI101" s="183"/>
      <c r="AJ101" s="183"/>
      <c r="AK101" s="183"/>
      <c r="AL101" s="183"/>
      <c r="AM101" s="183"/>
      <c r="AN101" s="183"/>
      <c r="AO101" s="183"/>
      <c r="AP101" s="183"/>
      <c r="AQ101" s="183"/>
      <c r="AR101" s="183"/>
      <c r="AS101" s="183"/>
      <c r="AT101" s="183"/>
      <c r="AU101" s="183"/>
      <c r="AV101" s="183"/>
      <c r="AW101" s="183"/>
      <c r="AX101" s="183"/>
      <c r="AY101" s="183"/>
      <c r="AZ101" s="183"/>
      <c r="BA101" s="183"/>
      <c r="BB101" s="183"/>
      <c r="BC101" s="183"/>
      <c r="BD101" s="183"/>
      <c r="BE101" s="183"/>
      <c r="BI101" s="720" t="s">
        <v>23</v>
      </c>
      <c r="BJ101" s="720" t="s">
        <v>37</v>
      </c>
      <c r="BK101" s="720" t="s">
        <v>304</v>
      </c>
      <c r="BL101" s="721" t="s">
        <v>305</v>
      </c>
      <c r="BM101" s="721" t="s">
        <v>306</v>
      </c>
      <c r="BN101" s="721" t="s">
        <v>488</v>
      </c>
      <c r="BO101" s="135" t="s">
        <v>489</v>
      </c>
      <c r="BP101" s="721" t="s">
        <v>490</v>
      </c>
      <c r="BQ101" s="721" t="s">
        <v>305</v>
      </c>
      <c r="BR101" s="721" t="s">
        <v>523</v>
      </c>
      <c r="BS101" s="721" t="s">
        <v>524</v>
      </c>
      <c r="BT101" s="135" t="s">
        <v>525</v>
      </c>
      <c r="BU101" s="721" t="s">
        <v>526</v>
      </c>
      <c r="BW101" s="164" t="s">
        <v>314</v>
      </c>
      <c r="BX101" s="164" t="s">
        <v>23</v>
      </c>
      <c r="BY101" s="168" t="s">
        <v>315</v>
      </c>
      <c r="BZ101" s="164" t="s">
        <v>122</v>
      </c>
      <c r="CA101" s="164" t="s">
        <v>316</v>
      </c>
      <c r="CB101" s="164" t="s">
        <v>317</v>
      </c>
      <c r="CC101" s="164" t="s">
        <v>318</v>
      </c>
    </row>
    <row r="102" spans="2:81" ht="15" customHeight="1">
      <c r="B102" s="184"/>
      <c r="C102" s="185"/>
      <c r="D102" s="185"/>
      <c r="E102" s="185"/>
      <c r="F102" s="185"/>
      <c r="G102" s="183"/>
      <c r="H102" s="183"/>
      <c r="I102" s="183"/>
      <c r="J102" s="183"/>
      <c r="K102" s="183"/>
      <c r="L102" s="188"/>
      <c r="M102" s="185"/>
      <c r="N102" s="185"/>
      <c r="O102" s="183"/>
      <c r="P102" s="183"/>
      <c r="Q102" s="183"/>
      <c r="R102" s="183"/>
      <c r="S102" s="183"/>
      <c r="T102" s="183"/>
      <c r="U102" s="183"/>
      <c r="V102" s="183"/>
      <c r="W102" s="183"/>
      <c r="X102" s="183"/>
      <c r="Y102" s="183"/>
      <c r="Z102" s="183"/>
      <c r="AA102" s="183"/>
      <c r="AB102" s="183"/>
      <c r="AC102" s="183"/>
      <c r="AD102" s="183"/>
      <c r="AE102" s="183"/>
      <c r="AF102" s="183"/>
      <c r="AG102" s="183"/>
      <c r="AH102" s="183"/>
      <c r="AI102" s="183"/>
      <c r="AJ102" s="183"/>
      <c r="AK102" s="183"/>
      <c r="AL102" s="183"/>
      <c r="AM102" s="183"/>
      <c r="AN102" s="183"/>
      <c r="AO102" s="183"/>
      <c r="AP102" s="183"/>
      <c r="AQ102" s="183"/>
      <c r="AR102" s="183"/>
      <c r="AS102" s="183"/>
      <c r="AT102" s="183"/>
      <c r="AU102" s="183"/>
      <c r="AV102" s="183"/>
      <c r="AW102" s="183"/>
      <c r="AX102" s="183"/>
      <c r="AY102" s="183"/>
      <c r="AZ102" s="183"/>
      <c r="BA102" s="183"/>
      <c r="BB102" s="183"/>
      <c r="BC102" s="183"/>
      <c r="BD102" s="183"/>
      <c r="BE102" s="183"/>
      <c r="BI102" s="722" t="s">
        <v>319</v>
      </c>
      <c r="BJ102" s="722">
        <v>1</v>
      </c>
      <c r="BK102" s="722" t="s">
        <v>320</v>
      </c>
      <c r="BL102" s="771">
        <f>BM102*BN102</f>
        <v>0</v>
      </c>
      <c r="BM102" s="725"/>
      <c r="BN102" s="762"/>
      <c r="BO102" s="226">
        <f>IF(SUM(BM102:BM104=0),0,SUM(BL102:BL104)/SUM(BM102:BM104))</f>
        <v>0</v>
      </c>
      <c r="BP102" s="772">
        <v>0.3</v>
      </c>
      <c r="BQ102" s="771">
        <f>BR102*BS102</f>
        <v>1.7293700000000001</v>
      </c>
      <c r="BR102" s="737">
        <v>7.5190000000000001</v>
      </c>
      <c r="BS102" s="759">
        <v>0.23</v>
      </c>
      <c r="BT102" s="139">
        <f>IF(SUM(BR102:BR104=0),0,SUM(BQ102:BQ104)/SUM(BR102:BR104))</f>
        <v>0.23</v>
      </c>
      <c r="BU102" s="772">
        <v>0.3</v>
      </c>
      <c r="BX102" s="666" t="str">
        <f t="shared" ref="BX102:BX113" si="19">TEXT(CONCATENATE(CC102,"/01/20",CB102),"MMM")</f>
        <v>Oct</v>
      </c>
      <c r="BY102" s="728">
        <f>IF(CB102=$CB114,SUMIF($BI102:$BI113,$BX102,$BR102:$BR113),SUMIF($BI102:$BI113,$BX102,$BM102:$BM113))</f>
        <v>0</v>
      </c>
      <c r="BZ102" s="772">
        <f>IF(IF(CB102=CB114,SUMIF(BI102:BI113,$BX102,BU102:BU113),SUMIF(BI102:BI113,$BX102,BP102:BP113))=0,NA(),IF(CB102=CB114,SUMIF(BI102:BI113,$BX102,BU102:BU113),SUMIF(BI102:BI113,$BX102,BP102:BP113)))</f>
        <v>0.3</v>
      </c>
      <c r="CA102" s="769" t="e">
        <f>IF(IF(CB102=CB114,SUMIF(BI102:BI113,$BX102,BS102:BS113),SUMIF(BI102:BI113,$BX102,BN102:BN113))=0,NA(),IF(CB102=CB114,SUMIF(BI102:BI113,$BX102,BS102:BS113),SUMIF(BI102:BI113,$BX102,BN102:BN113)))</f>
        <v>#N/A</v>
      </c>
      <c r="CB102" s="730">
        <v>20</v>
      </c>
      <c r="CC102" s="730">
        <f t="shared" ref="CC102:CC112" si="20">IF(CC103-1&lt;1,CC103+11,CC103-1)</f>
        <v>10</v>
      </c>
    </row>
    <row r="103" spans="2:81" ht="15" customHeight="1">
      <c r="B103" s="184"/>
      <c r="C103" s="185"/>
      <c r="D103" s="185"/>
      <c r="E103" s="185"/>
      <c r="F103" s="185"/>
      <c r="G103" s="183"/>
      <c r="H103" s="183"/>
      <c r="I103" s="183"/>
      <c r="J103" s="183"/>
      <c r="K103" s="183"/>
      <c r="L103" s="188"/>
      <c r="M103" s="185"/>
      <c r="N103" s="185"/>
      <c r="O103" s="183"/>
      <c r="P103" s="183"/>
      <c r="Q103" s="183"/>
      <c r="R103" s="183"/>
      <c r="S103" s="183"/>
      <c r="T103" s="183"/>
      <c r="U103" s="183"/>
      <c r="V103" s="183"/>
      <c r="W103" s="183"/>
      <c r="X103" s="183"/>
      <c r="Y103" s="183"/>
      <c r="Z103" s="183"/>
      <c r="AA103" s="183"/>
      <c r="AB103" s="183"/>
      <c r="AC103" s="183"/>
      <c r="AD103" s="183"/>
      <c r="AE103" s="183"/>
      <c r="AF103" s="183"/>
      <c r="AG103" s="183"/>
      <c r="AH103" s="183"/>
      <c r="AI103" s="183"/>
      <c r="AJ103" s="183"/>
      <c r="AK103" s="183"/>
      <c r="AL103" s="183"/>
      <c r="AM103" s="183"/>
      <c r="AN103" s="183"/>
      <c r="AO103" s="183"/>
      <c r="AP103" s="183"/>
      <c r="AQ103" s="183"/>
      <c r="AR103" s="183"/>
      <c r="AS103" s="183"/>
      <c r="AT103" s="183"/>
      <c r="AU103" s="183"/>
      <c r="AV103" s="183"/>
      <c r="AW103" s="183"/>
      <c r="AX103" s="183"/>
      <c r="AY103" s="183"/>
      <c r="AZ103" s="183"/>
      <c r="BA103" s="183"/>
      <c r="BB103" s="183"/>
      <c r="BC103" s="183"/>
      <c r="BD103" s="183"/>
      <c r="BE103" s="183"/>
      <c r="BI103" s="722" t="s">
        <v>321</v>
      </c>
      <c r="BJ103" s="722">
        <v>2</v>
      </c>
      <c r="BK103" s="722" t="s">
        <v>320</v>
      </c>
      <c r="BL103" s="771">
        <f t="shared" ref="BL103:BL108" si="21">BM103*BN103</f>
        <v>0</v>
      </c>
      <c r="BM103" s="725"/>
      <c r="BN103" s="762"/>
      <c r="BP103" s="772">
        <v>0.3</v>
      </c>
      <c r="BQ103" s="771">
        <f t="shared" ref="BQ103:BQ108" si="22">BR103*BS103</f>
        <v>0</v>
      </c>
      <c r="BR103" s="758"/>
      <c r="BS103" s="759"/>
      <c r="BT103" s="244"/>
      <c r="BU103" s="772">
        <v>0.3</v>
      </c>
      <c r="BX103" s="666" t="str">
        <f t="shared" si="19"/>
        <v>Nov</v>
      </c>
      <c r="BY103" s="728">
        <f>IF(CB103=$CB114,SUMIF($BI102:$BI113,$BX103,$BR102:$BR113),SUMIF($BI102:$BI113,$BX103,$BM102:$BM113))</f>
        <v>0</v>
      </c>
      <c r="BZ103" s="772">
        <f>IF(IF(CB103=CB114,SUMIF(BI102:BI113,$BX103,BU102:BU113),SUMIF(BI102:BI113,$BX103,BP102:BP113))=0,NA(),IF(CB103=CB114,SUMIF(BI102:BI113,$BX103,BU102:BU113),SUMIF(BI102:BI113,$BX103,BP102:BP113)))</f>
        <v>0.3</v>
      </c>
      <c r="CA103" s="769" t="e">
        <f>IF(IF(CB103=CB114,SUMIF(BI102:BI113,$BX103,BS102:BS113),SUMIF(BI102:BI113,$BX103,BN102:BN113))=0,NA(),IF(CB103=CB114,SUMIF(BI102:BI113,$BX103,BS102:BS113),SUMIF(BI102:BI113,$BX103,BN102:BN113)))</f>
        <v>#N/A</v>
      </c>
      <c r="CB103" s="730">
        <v>20</v>
      </c>
      <c r="CC103" s="730">
        <f t="shared" si="20"/>
        <v>11</v>
      </c>
    </row>
    <row r="104" spans="2:81" ht="15" customHeight="1">
      <c r="B104" s="184"/>
      <c r="C104" s="185"/>
      <c r="D104" s="185"/>
      <c r="E104" s="185"/>
      <c r="F104" s="185"/>
      <c r="G104" s="183"/>
      <c r="H104" s="183"/>
      <c r="I104" s="183"/>
      <c r="J104" s="183"/>
      <c r="K104" s="183"/>
      <c r="L104" s="188"/>
      <c r="M104" s="185"/>
      <c r="N104" s="185"/>
      <c r="O104" s="183"/>
      <c r="P104" s="183"/>
      <c r="Q104" s="183"/>
      <c r="R104" s="183"/>
      <c r="S104" s="183"/>
      <c r="T104" s="183"/>
      <c r="U104" s="183"/>
      <c r="V104" s="183"/>
      <c r="W104" s="183"/>
      <c r="X104" s="183"/>
      <c r="Y104" s="183"/>
      <c r="Z104" s="183"/>
      <c r="AA104" s="183"/>
      <c r="AB104" s="183"/>
      <c r="AC104" s="183"/>
      <c r="AD104" s="183"/>
      <c r="AE104" s="183"/>
      <c r="AF104" s="183"/>
      <c r="AG104" s="183"/>
      <c r="AH104" s="183"/>
      <c r="AI104" s="183"/>
      <c r="AJ104" s="183"/>
      <c r="AK104" s="183"/>
      <c r="AL104" s="183"/>
      <c r="AM104" s="183"/>
      <c r="AN104" s="183"/>
      <c r="AO104" s="183"/>
      <c r="AP104" s="183"/>
      <c r="AQ104" s="183"/>
      <c r="AR104" s="183"/>
      <c r="AS104" s="183"/>
      <c r="AT104" s="183"/>
      <c r="AU104" s="183"/>
      <c r="AV104" s="183"/>
      <c r="AW104" s="183"/>
      <c r="AX104" s="183"/>
      <c r="AY104" s="183"/>
      <c r="AZ104" s="183"/>
      <c r="BA104" s="183"/>
      <c r="BB104" s="183"/>
      <c r="BC104" s="183"/>
      <c r="BD104" s="183"/>
      <c r="BE104" s="183"/>
      <c r="BI104" s="722" t="s">
        <v>322</v>
      </c>
      <c r="BJ104" s="722">
        <v>3</v>
      </c>
      <c r="BK104" s="722" t="s">
        <v>320</v>
      </c>
      <c r="BL104" s="771">
        <f t="shared" si="21"/>
        <v>0</v>
      </c>
      <c r="BM104" s="725"/>
      <c r="BN104" s="762"/>
      <c r="BP104" s="772">
        <v>0.3</v>
      </c>
      <c r="BQ104" s="771">
        <f t="shared" si="22"/>
        <v>0</v>
      </c>
      <c r="BR104" s="758"/>
      <c r="BS104" s="759"/>
      <c r="BT104" s="244"/>
      <c r="BU104" s="772">
        <v>0.3</v>
      </c>
      <c r="BX104" s="666" t="str">
        <f t="shared" si="19"/>
        <v>Dec</v>
      </c>
      <c r="BY104" s="728">
        <f>IF(CB104=$CB114,SUMIF($BI102:$BI113,$BX104,$BR102:$BR113),SUMIF($BI102:$BI113,$BX104,$BM102:$BM113))</f>
        <v>0</v>
      </c>
      <c r="BZ104" s="772">
        <f>IF(IF(CB104=CB114,SUMIF(BI102:BI113,$BX104,BU102:BU113),SUMIF(BI102:BI113,$BX104,BP102:BP113))=0,NA(),IF(CB104=CB114,SUMIF(BI102:BI113,$BX104,BU102:BU113),SUMIF(BI102:BI113,$BX104,BP102:BP113)))</f>
        <v>0.3</v>
      </c>
      <c r="CA104" s="769" t="e">
        <f>IF(IF(CB104=CB114,SUMIF(BI102:BI113,$BX104,BS102:BS113),SUMIF(BI102:BI113,$BX104,BN102:BN113))=0,NA(),IF(CB104=CB114,SUMIF(BI102:BI113,$BX104,BS102:BS113),SUMIF(BI102:BI113,$BX104,BN102:BN113)))</f>
        <v>#N/A</v>
      </c>
      <c r="CB104" s="730">
        <v>20</v>
      </c>
      <c r="CC104" s="730">
        <f t="shared" si="20"/>
        <v>12</v>
      </c>
    </row>
    <row r="105" spans="2:81" ht="15" customHeight="1">
      <c r="B105" s="184"/>
      <c r="C105" s="185"/>
      <c r="D105" s="185"/>
      <c r="E105" s="185"/>
      <c r="F105" s="185"/>
      <c r="G105" s="183"/>
      <c r="H105" s="183"/>
      <c r="I105" s="183"/>
      <c r="J105" s="183"/>
      <c r="K105" s="183"/>
      <c r="L105" s="188"/>
      <c r="M105" s="185"/>
      <c r="N105" s="185"/>
      <c r="O105" s="183"/>
      <c r="P105" s="183"/>
      <c r="Q105" s="183"/>
      <c r="R105" s="183"/>
      <c r="S105" s="183"/>
      <c r="T105" s="183"/>
      <c r="U105" s="183"/>
      <c r="V105" s="183"/>
      <c r="W105" s="183"/>
      <c r="X105" s="183"/>
      <c r="Y105" s="183"/>
      <c r="Z105" s="183"/>
      <c r="AA105" s="183"/>
      <c r="AB105" s="183"/>
      <c r="AC105" s="183"/>
      <c r="AD105" s="183"/>
      <c r="AE105" s="183"/>
      <c r="AF105" s="183"/>
      <c r="AG105" s="183"/>
      <c r="AH105" s="183"/>
      <c r="AI105" s="183"/>
      <c r="AJ105" s="183"/>
      <c r="AK105" s="183"/>
      <c r="AL105" s="183"/>
      <c r="AM105" s="183"/>
      <c r="AN105" s="183"/>
      <c r="AO105" s="183"/>
      <c r="AP105" s="183"/>
      <c r="AQ105" s="183"/>
      <c r="AR105" s="183"/>
      <c r="AS105" s="183"/>
      <c r="AT105" s="183"/>
      <c r="AU105" s="183"/>
      <c r="AV105" s="183"/>
      <c r="AW105" s="183"/>
      <c r="AX105" s="183"/>
      <c r="AY105" s="183"/>
      <c r="AZ105" s="183"/>
      <c r="BA105" s="183"/>
      <c r="BB105" s="183"/>
      <c r="BC105" s="183"/>
      <c r="BD105" s="183"/>
      <c r="BE105" s="183"/>
      <c r="BI105" s="722" t="s">
        <v>323</v>
      </c>
      <c r="BJ105" s="722">
        <v>4</v>
      </c>
      <c r="BK105" s="722" t="s">
        <v>324</v>
      </c>
      <c r="BL105" s="771">
        <f t="shared" si="21"/>
        <v>0</v>
      </c>
      <c r="BM105" s="725"/>
      <c r="BN105" s="762"/>
      <c r="BO105" s="226">
        <f>IF(SUM(BM105:BM107=0),0,SUM(BL105:BL107)/SUM(BM105:BM107))</f>
        <v>0</v>
      </c>
      <c r="BP105" s="772">
        <v>0.3</v>
      </c>
      <c r="BQ105" s="771">
        <f t="shared" si="22"/>
        <v>0</v>
      </c>
      <c r="BR105" s="758"/>
      <c r="BS105" s="755"/>
      <c r="BT105" s="139">
        <f>IF(SUM(BR105:BR107=0),0,SUM(BQ105:BQ107)/SUM(BR105:BR107))</f>
        <v>0</v>
      </c>
      <c r="BU105" s="772">
        <v>0.3</v>
      </c>
      <c r="BX105" s="666" t="str">
        <f t="shared" si="19"/>
        <v>Jan</v>
      </c>
      <c r="BY105" s="728">
        <f>IF(CB105=$CB114,SUMIF($BI102:$BI113,$BX105,$BR102:$BR113),SUMIF($BI102:$BI113,$BX105,$BM102:$BM113))</f>
        <v>0</v>
      </c>
      <c r="BZ105" s="772">
        <f>IF(IF(CB105=CB114,SUMIF(BI102:BI113,$BX105,BU102:BU113),SUMIF(BI102:BI113,$BX105,BP102:BP113))=0,NA(),IF(CB105=CB114,SUMIF(BI102:BI113,$BX105,BU102:BU113),SUMIF(BI102:BI113,$BX105,BP102:BP113)))</f>
        <v>0.3</v>
      </c>
      <c r="CA105" s="769" t="e">
        <f>IF(IF(CB105=CB114,SUMIF(BI102:BI113,$BX105,BS102:BS113),SUMIF(BI102:BI113,$BX105,BN102:BN113))=0,NA(),IF(CB105=CB114,SUMIF(BI102:BI113,$BX105,BS102:BS113),SUMIF(BI102:BI113,$BX105,BN102:BN113)))</f>
        <v>#N/A</v>
      </c>
      <c r="CB105" s="730">
        <v>20</v>
      </c>
      <c r="CC105" s="730">
        <f t="shared" si="20"/>
        <v>1</v>
      </c>
    </row>
    <row r="106" spans="2:81" ht="15" customHeight="1">
      <c r="B106" s="184"/>
      <c r="C106" s="185"/>
      <c r="D106" s="185"/>
      <c r="E106" s="185"/>
      <c r="F106" s="185"/>
      <c r="G106" s="183"/>
      <c r="H106" s="183"/>
      <c r="I106" s="183"/>
      <c r="J106" s="183"/>
      <c r="K106" s="183"/>
      <c r="L106" s="188"/>
      <c r="M106" s="185"/>
      <c r="N106" s="185"/>
      <c r="O106" s="183"/>
      <c r="P106" s="183"/>
      <c r="Q106" s="183"/>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I106" s="722" t="s">
        <v>325</v>
      </c>
      <c r="BJ106" s="722">
        <v>5</v>
      </c>
      <c r="BK106" s="722" t="s">
        <v>324</v>
      </c>
      <c r="BL106" s="771">
        <f t="shared" si="21"/>
        <v>0</v>
      </c>
      <c r="BM106" s="725"/>
      <c r="BN106" s="762"/>
      <c r="BP106" s="772">
        <v>0.3</v>
      </c>
      <c r="BQ106" s="771">
        <f t="shared" si="22"/>
        <v>0</v>
      </c>
      <c r="BR106" s="758"/>
      <c r="BS106" s="755"/>
      <c r="BU106" s="772">
        <v>0.3</v>
      </c>
      <c r="BX106" s="666" t="str">
        <f t="shared" si="19"/>
        <v>Feb</v>
      </c>
      <c r="BY106" s="728">
        <f>IF(CB106=$CB114,SUMIF($BI102:$BI113,$BX106,$BR102:$BR113),SUMIF($BI102:$BI113,$BX106,$BM102:$BM113))</f>
        <v>0</v>
      </c>
      <c r="BZ106" s="772">
        <f>IF(IF(CB106=CB114,SUMIF(BI102:BI113,$BX106,BU102:BU113),SUMIF(BI102:BI113,$BX106,BP102:BP113))=0,NA(),IF(CB106=CB114,SUMIF(BI102:BI113,$BX106,BU102:BU113),SUMIF(BI102:BI113,$BX106,BP102:BP113)))</f>
        <v>0.3</v>
      </c>
      <c r="CA106" s="769" t="e">
        <f>IF(IF(CB106=CB114,SUMIF(BI102:BI113,$BX106,BS102:BS113),SUMIF(BI102:BI113,$BX106,BN102:BN113))=0,NA(),IF(CB106=CB114,SUMIF(BI102:BI113,$BX106,BS102:BS113),SUMIF(BI102:BI113,$BX106,BN102:BN113)))</f>
        <v>#N/A</v>
      </c>
      <c r="CB106" s="730">
        <v>20</v>
      </c>
      <c r="CC106" s="730">
        <f t="shared" si="20"/>
        <v>2</v>
      </c>
    </row>
    <row r="107" spans="2:81" ht="15" customHeight="1">
      <c r="B107" s="184"/>
      <c r="C107" s="185"/>
      <c r="D107" s="185"/>
      <c r="E107" s="185"/>
      <c r="F107" s="185"/>
      <c r="G107" s="183"/>
      <c r="H107" s="183"/>
      <c r="I107" s="183"/>
      <c r="J107" s="183"/>
      <c r="K107" s="183"/>
      <c r="L107" s="188"/>
      <c r="M107" s="185"/>
      <c r="N107" s="185"/>
      <c r="O107" s="183"/>
      <c r="P107" s="183"/>
      <c r="Q107" s="183"/>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I107" s="722" t="s">
        <v>326</v>
      </c>
      <c r="BJ107" s="722">
        <v>6</v>
      </c>
      <c r="BK107" s="722" t="s">
        <v>324</v>
      </c>
      <c r="BL107" s="771">
        <f t="shared" si="21"/>
        <v>0</v>
      </c>
      <c r="BM107" s="725"/>
      <c r="BN107" s="762"/>
      <c r="BP107" s="772">
        <v>0.3</v>
      </c>
      <c r="BQ107" s="771">
        <f t="shared" si="22"/>
        <v>0</v>
      </c>
      <c r="BR107" s="758"/>
      <c r="BS107" s="755"/>
      <c r="BU107" s="772">
        <v>0.3</v>
      </c>
      <c r="BX107" s="666" t="str">
        <f t="shared" si="19"/>
        <v>Mar</v>
      </c>
      <c r="BY107" s="728">
        <f>IF(CB107=$CB114,SUMIF($BI102:$BI113,$BX107,$BR102:$BR113),SUMIF($BI102:$BI113,$BX107,$BM102:$BM113))</f>
        <v>0</v>
      </c>
      <c r="BZ107" s="772">
        <f>IF(IF(CB107=CB114,SUMIF(BI102:BI113,$BX107,BU102:BU113),SUMIF(BI102:BI113,$BX107,BP102:BP113))=0,NA(),IF(CB107=CB114,SUMIF(BI102:BI113,$BX107,BU102:BU113),SUMIF(BI102:BI113,$BX107,BP102:BP113)))</f>
        <v>0.3</v>
      </c>
      <c r="CA107" s="769" t="e">
        <f>IF(IF(CB107=CB114,SUMIF(BI102:BI113,$BX107,BS102:BS113),SUMIF(BI102:BI113,$BX107,BN102:BN113))=0,NA(),IF(CB107=CB114,SUMIF(BI102:BI113,$BX107,BS102:BS113),SUMIF(BI102:BI113,$BX107,BN102:BN113)))</f>
        <v>#N/A</v>
      </c>
      <c r="CB107" s="730">
        <v>20</v>
      </c>
      <c r="CC107" s="730">
        <f t="shared" si="20"/>
        <v>3</v>
      </c>
    </row>
    <row r="108" spans="2:81" ht="14.65" customHeight="1">
      <c r="B108" s="184"/>
      <c r="C108" s="185"/>
      <c r="D108" s="185"/>
      <c r="E108" s="185"/>
      <c r="F108" s="185"/>
      <c r="G108" s="183"/>
      <c r="H108" s="183"/>
      <c r="I108" s="183"/>
      <c r="J108" s="183"/>
      <c r="K108" s="183"/>
      <c r="L108" s="188"/>
      <c r="M108" s="185"/>
      <c r="N108" s="185"/>
      <c r="O108" s="183"/>
      <c r="P108" s="183"/>
      <c r="Q108" s="183"/>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I108" s="722" t="s">
        <v>327</v>
      </c>
      <c r="BJ108" s="722">
        <v>7</v>
      </c>
      <c r="BK108" s="722" t="s">
        <v>328</v>
      </c>
      <c r="BL108" s="771">
        <f t="shared" si="21"/>
        <v>0.32572799999999996</v>
      </c>
      <c r="BM108" s="725">
        <v>3.3929999999999998</v>
      </c>
      <c r="BN108" s="762">
        <v>9.6000000000000002E-2</v>
      </c>
      <c r="BO108" s="139">
        <f>IF(SUM(BM108:BM110=0),0,SUM(BL108:BL110)/SUM(BM108:BM110))</f>
        <v>9.5338750974062109E-2</v>
      </c>
      <c r="BP108" s="772">
        <v>0.3</v>
      </c>
      <c r="BQ108" s="771">
        <f t="shared" si="22"/>
        <v>0</v>
      </c>
      <c r="BR108" s="737"/>
      <c r="BS108" s="773"/>
      <c r="BT108" s="139">
        <f>IF(SUM(BR108:BR110=0),0,SUM(BQ108:BQ110)/SUM(BR108:BR110))</f>
        <v>0</v>
      </c>
      <c r="BU108" s="772">
        <v>0.3</v>
      </c>
      <c r="BX108" s="666" t="str">
        <f t="shared" si="19"/>
        <v>Apr</v>
      </c>
      <c r="BY108" s="728">
        <f>IF(CB108=$CB114,SUMIF($BI102:$BI113,$BX108,$BR102:$BR113),SUMIF($BI102:$BI113,$BX108,$BM102:$BM113))</f>
        <v>3.3929999999999998</v>
      </c>
      <c r="BZ108" s="772">
        <f>IF(IF(CB108=CB114,SUMIF(BI102:BI113,$BX108,BU102:BU113),SUMIF(BI102:BI113,$BX108,BP102:BP113))=0,NA(),IF(CB108=CB114,SUMIF(BI102:BI113,$BX108,BU102:BU113),SUMIF(BI102:BI113,$BX108,BP102:BP113)))</f>
        <v>0.3</v>
      </c>
      <c r="CA108" s="769">
        <f>IF(IF(CB108=CB114,SUMIF(BI102:BI113,$BX108,BS102:BS113),SUMIF(BI102:BI113,$BX108,BN102:BN113))=0,NA(),IF(CB108=CB114,SUMIF(BI102:BI113,$BX108,BS102:BS113),SUMIF(BI102:BI113,$BX108,BN102:BN113)))</f>
        <v>9.6000000000000002E-2</v>
      </c>
      <c r="CB108" s="730">
        <v>20</v>
      </c>
      <c r="CC108" s="730">
        <f t="shared" si="20"/>
        <v>4</v>
      </c>
    </row>
    <row r="109" spans="2:81" ht="15">
      <c r="B109" s="184"/>
      <c r="C109" s="185"/>
      <c r="D109" s="185"/>
      <c r="E109" s="185"/>
      <c r="F109" s="185"/>
      <c r="G109" s="183"/>
      <c r="H109" s="183"/>
      <c r="I109" s="183"/>
      <c r="J109" s="183"/>
      <c r="K109" s="183"/>
      <c r="L109" s="188"/>
      <c r="M109" s="185"/>
      <c r="N109" s="185"/>
      <c r="O109" s="183"/>
      <c r="P109" s="183"/>
      <c r="Q109" s="183"/>
      <c r="R109" s="183"/>
      <c r="S109" s="183"/>
      <c r="T109" s="183"/>
      <c r="U109" s="183"/>
      <c r="V109" s="183"/>
      <c r="W109" s="183"/>
      <c r="X109" s="183"/>
      <c r="Y109" s="183"/>
      <c r="Z109" s="183"/>
      <c r="AA109" s="183"/>
      <c r="AB109" s="183"/>
      <c r="AC109" s="183"/>
      <c r="AD109" s="183"/>
      <c r="AE109" s="183"/>
      <c r="AF109" s="183"/>
      <c r="AG109" s="183"/>
      <c r="AH109" s="183"/>
      <c r="AI109" s="183"/>
      <c r="AJ109" s="183"/>
      <c r="AK109" s="183"/>
      <c r="AL109" s="183"/>
      <c r="AM109" s="183"/>
      <c r="AN109" s="183"/>
      <c r="AO109" s="183"/>
      <c r="AP109" s="183"/>
      <c r="AQ109" s="183"/>
      <c r="AR109" s="183"/>
      <c r="AS109" s="183"/>
      <c r="AT109" s="183"/>
      <c r="AU109" s="183"/>
      <c r="AV109" s="183"/>
      <c r="AW109" s="183"/>
      <c r="AX109" s="183"/>
      <c r="AY109" s="183"/>
      <c r="AZ109" s="183"/>
      <c r="BA109" s="183"/>
      <c r="BB109" s="183"/>
      <c r="BC109" s="183"/>
      <c r="BD109" s="183"/>
      <c r="BE109" s="183"/>
      <c r="BI109" s="722" t="s">
        <v>329</v>
      </c>
      <c r="BJ109" s="722">
        <v>8</v>
      </c>
      <c r="BK109" s="722" t="s">
        <v>328</v>
      </c>
      <c r="BL109" s="771">
        <f>BM109*BN109</f>
        <v>0.29981999999999998</v>
      </c>
      <c r="BM109" s="725">
        <v>2.63</v>
      </c>
      <c r="BN109" s="762">
        <v>0.114</v>
      </c>
      <c r="BP109" s="772">
        <v>0.3</v>
      </c>
      <c r="BQ109" s="771">
        <f>BR109*BS109</f>
        <v>0</v>
      </c>
      <c r="BR109" s="737"/>
      <c r="BS109" s="773"/>
      <c r="BU109" s="772">
        <v>0.3</v>
      </c>
      <c r="BX109" s="666" t="str">
        <f t="shared" si="19"/>
        <v>May</v>
      </c>
      <c r="BY109" s="728">
        <f>IF(CB109=$CB114,SUMIF($BI102:$BI113,$BX109,$BR102:$BR113),SUMIF($BI102:$BI113,$BX109,$BM102:$BM113))</f>
        <v>2.63</v>
      </c>
      <c r="BZ109" s="772">
        <f>IF(IF(CB109=CB114,SUMIF(BI102:BI113,$BX109,BU102:BU113),SUMIF(BI102:BI113,$BX109,BP102:BP113))=0,NA(),IF(CB109=CB114,SUMIF(BI102:BI113,$BX109,BU102:BU113),SUMIF(BI102:BI113,$BX109,BP102:BP113)))</f>
        <v>0.3</v>
      </c>
      <c r="CA109" s="769">
        <f>IF(IF(CB109=CB114,SUMIF(BI102:BI113,$BX109,BS102:BS113),SUMIF(BI102:BI113,$BX109,BN102:BN113))=0,NA(),IF(CB109=CB114,SUMIF(BI102:BI113,$BX109,BS102:BS113),SUMIF(BI102:BI113,$BX109,BN102:BN113)))</f>
        <v>0.114</v>
      </c>
      <c r="CB109" s="730">
        <v>20</v>
      </c>
      <c r="CC109" s="730">
        <f t="shared" si="20"/>
        <v>5</v>
      </c>
    </row>
    <row r="110" spans="2:81" ht="14.65" customHeight="1">
      <c r="B110" s="184"/>
      <c r="C110" s="185"/>
      <c r="D110" s="185"/>
      <c r="E110" s="185"/>
      <c r="F110" s="185"/>
      <c r="G110" s="183"/>
      <c r="H110" s="183"/>
      <c r="I110" s="183"/>
      <c r="J110" s="183"/>
      <c r="K110" s="183"/>
      <c r="L110" s="188"/>
      <c r="M110" s="185"/>
      <c r="N110" s="185"/>
      <c r="O110" s="183"/>
      <c r="P110" s="183"/>
      <c r="Q110" s="183"/>
      <c r="R110" s="183"/>
      <c r="S110" s="183"/>
      <c r="T110" s="183"/>
      <c r="U110" s="183"/>
      <c r="V110" s="183"/>
      <c r="W110" s="183"/>
      <c r="X110" s="183"/>
      <c r="Y110" s="183"/>
      <c r="Z110" s="183"/>
      <c r="AA110" s="183"/>
      <c r="AB110" s="183"/>
      <c r="AC110" s="183"/>
      <c r="AD110" s="183"/>
      <c r="AE110" s="183"/>
      <c r="AF110" s="183"/>
      <c r="AG110" s="183"/>
      <c r="AH110" s="183"/>
      <c r="AI110" s="183"/>
      <c r="AJ110" s="183"/>
      <c r="AK110" s="183"/>
      <c r="AL110" s="183"/>
      <c r="AM110" s="183"/>
      <c r="AN110" s="183"/>
      <c r="AO110" s="183"/>
      <c r="AP110" s="183"/>
      <c r="AQ110" s="183"/>
      <c r="AR110" s="183"/>
      <c r="AS110" s="183"/>
      <c r="AT110" s="183"/>
      <c r="AU110" s="183"/>
      <c r="AV110" s="183"/>
      <c r="AW110" s="183"/>
      <c r="AX110" s="183"/>
      <c r="AY110" s="183"/>
      <c r="AZ110" s="183"/>
      <c r="BA110" s="183"/>
      <c r="BB110" s="183"/>
      <c r="BC110" s="183"/>
      <c r="BD110" s="183"/>
      <c r="BE110" s="183"/>
      <c r="BI110" s="722" t="s">
        <v>331</v>
      </c>
      <c r="BJ110" s="722">
        <v>9</v>
      </c>
      <c r="BK110" s="722" t="s">
        <v>328</v>
      </c>
      <c r="BL110" s="771">
        <f t="shared" ref="BL110:BL113" si="23">BM110*BN110</f>
        <v>0.23088</v>
      </c>
      <c r="BM110" s="725">
        <v>2.96</v>
      </c>
      <c r="BN110" s="762">
        <v>7.8E-2</v>
      </c>
      <c r="BP110" s="772">
        <v>0.3</v>
      </c>
      <c r="BQ110" s="771">
        <f t="shared" ref="BQ110:BQ113" si="24">BR110*BS110</f>
        <v>0</v>
      </c>
      <c r="BR110" s="737"/>
      <c r="BS110" s="773"/>
      <c r="BU110" s="772">
        <v>0.3</v>
      </c>
      <c r="BX110" s="666" t="str">
        <f t="shared" si="19"/>
        <v>Jun</v>
      </c>
      <c r="BY110" s="728">
        <f>IF(CB110=$CB114,SUMIF($BI102:$BI113,$BX110,$BR102:$BR113),SUMIF($BI102:$BI113,$BX110,$BM102:$BM113))</f>
        <v>2.96</v>
      </c>
      <c r="BZ110" s="772">
        <f>IF(IF(CB110=CB114,SUMIF(BI102:BI113,$BX110,BU102:BU113),SUMIF(BI102:BI113,$BX110,BP102:BP113))=0,NA(),IF(CB110=CB114,SUMIF(BI102:BI113,$BX110,BU102:BU113),SUMIF(BI102:BI113,$BX110,BP102:BP113)))</f>
        <v>0.3</v>
      </c>
      <c r="CA110" s="769">
        <f>IF(IF(CB110=CB114,SUMIF(BI102:BI113,$BX110,BS102:BS113),SUMIF(BI102:BI113,$BX110,BN102:BN113))=0,NA(),IF(CB110=CB114,SUMIF(BI102:BI113,$BX110,BS102:BS113),SUMIF(BI102:BI113,$BX110,BN102:BN113)))</f>
        <v>7.8E-2</v>
      </c>
      <c r="CB110" s="730">
        <v>20</v>
      </c>
      <c r="CC110" s="730">
        <f t="shared" si="20"/>
        <v>6</v>
      </c>
    </row>
    <row r="111" spans="2:81" ht="14.65" customHeight="1">
      <c r="B111" s="184"/>
      <c r="C111" s="185"/>
      <c r="D111" s="185"/>
      <c r="E111" s="185"/>
      <c r="F111" s="185"/>
      <c r="G111" s="183"/>
      <c r="H111" s="183"/>
      <c r="I111" s="183"/>
      <c r="J111" s="183"/>
      <c r="K111" s="183"/>
      <c r="L111" s="188"/>
      <c r="M111" s="185"/>
      <c r="N111" s="185"/>
      <c r="O111" s="183"/>
      <c r="P111" s="183"/>
      <c r="Q111" s="183"/>
      <c r="R111" s="183"/>
      <c r="S111" s="183"/>
      <c r="T111" s="183"/>
      <c r="U111" s="183"/>
      <c r="V111" s="183"/>
      <c r="W111" s="183"/>
      <c r="X111" s="183"/>
      <c r="Y111" s="183"/>
      <c r="Z111" s="183"/>
      <c r="AA111" s="183"/>
      <c r="AB111" s="183"/>
      <c r="AC111" s="183"/>
      <c r="AD111" s="183"/>
      <c r="AE111" s="183"/>
      <c r="AF111" s="183"/>
      <c r="AG111" s="183"/>
      <c r="AH111" s="183"/>
      <c r="AI111" s="183"/>
      <c r="AJ111" s="183"/>
      <c r="AK111" s="183"/>
      <c r="AL111" s="183"/>
      <c r="AM111" s="183"/>
      <c r="AN111" s="183"/>
      <c r="AO111" s="183"/>
      <c r="AP111" s="183"/>
      <c r="AQ111" s="183"/>
      <c r="AR111" s="183"/>
      <c r="AS111" s="183"/>
      <c r="AT111" s="183"/>
      <c r="AU111" s="183"/>
      <c r="AV111" s="183"/>
      <c r="AW111" s="183"/>
      <c r="AX111" s="183"/>
      <c r="AY111" s="183"/>
      <c r="AZ111" s="183"/>
      <c r="BA111" s="183"/>
      <c r="BB111" s="183"/>
      <c r="BC111" s="183"/>
      <c r="BD111" s="183"/>
      <c r="BE111" s="183"/>
      <c r="BI111" s="722" t="s">
        <v>337</v>
      </c>
      <c r="BJ111" s="722">
        <v>10</v>
      </c>
      <c r="BK111" s="722" t="s">
        <v>338</v>
      </c>
      <c r="BL111" s="771">
        <f t="shared" si="23"/>
        <v>0.23041200000000001</v>
      </c>
      <c r="BM111" s="725">
        <v>2.9540000000000002</v>
      </c>
      <c r="BN111" s="762">
        <v>7.8E-2</v>
      </c>
      <c r="BO111" s="139">
        <f>IF(SUM(BM111:BM113=0),0,SUM(BL111:BL113)/SUM(BM111:BM113))</f>
        <v>8.8958827862814116E-2</v>
      </c>
      <c r="BP111" s="772">
        <v>0.3</v>
      </c>
      <c r="BQ111" s="771">
        <f t="shared" si="24"/>
        <v>0</v>
      </c>
      <c r="BR111" s="737"/>
      <c r="BS111" s="773"/>
      <c r="BT111" s="139">
        <f>IF(SUM(BR111:BR113=0),0,SUM(BQ111:BQ113)/SUM(BR111:BR113))</f>
        <v>0</v>
      </c>
      <c r="BU111" s="772">
        <v>0.3</v>
      </c>
      <c r="BV111" s="6"/>
      <c r="BX111" s="666" t="str">
        <f t="shared" si="19"/>
        <v>Jul</v>
      </c>
      <c r="BY111" s="728">
        <f>IF(CB111=$CB114,SUMIF($BI102:$BI113,$BX111,$BR102:$BR113),SUMIF($BI102:$BI113,$BX111,$BM102:$BM113))</f>
        <v>2.9540000000000002</v>
      </c>
      <c r="BZ111" s="772">
        <f>IF(IF(CB111=CB114,SUMIF(BI102:BI113,$BX111,BU102:BU113),SUMIF(BI102:BI113,$BX111,BP102:BP113))=0,NA(),IF(CB111=CB114,SUMIF(BI102:BI113,$BX111,BU102:BU113),SUMIF(BI102:BI113,$BX111,BP102:BP113)))</f>
        <v>0.3</v>
      </c>
      <c r="CA111" s="769">
        <f>IF(IF(CB111=CB114,SUMIF(BI102:BI113,$BX111,BS102:BS113),SUMIF(BI102:BI113,$BX111,BN102:BN113))=0,NA(),IF(CB111=CB114,SUMIF(BI102:BI113,$BX111,BS102:BS113),SUMIF(BI102:BI113,$BX111,BN102:BN113)))</f>
        <v>7.8E-2</v>
      </c>
      <c r="CB111" s="730">
        <v>20</v>
      </c>
      <c r="CC111" s="730">
        <f t="shared" si="20"/>
        <v>7</v>
      </c>
    </row>
    <row r="112" spans="2:81" ht="14.65" customHeight="1">
      <c r="B112" s="184"/>
      <c r="C112" s="185"/>
      <c r="D112" s="185"/>
      <c r="E112" s="185"/>
      <c r="F112" s="185"/>
      <c r="G112" s="183"/>
      <c r="H112" s="183"/>
      <c r="I112" s="183"/>
      <c r="J112" s="183"/>
      <c r="K112" s="183"/>
      <c r="L112" s="188"/>
      <c r="M112" s="185"/>
      <c r="N112" s="185"/>
      <c r="O112" s="183"/>
      <c r="P112" s="183"/>
      <c r="Q112" s="183"/>
      <c r="R112" s="183"/>
      <c r="S112" s="183"/>
      <c r="T112" s="183"/>
      <c r="U112" s="183"/>
      <c r="V112" s="183"/>
      <c r="W112" s="183"/>
      <c r="X112" s="183"/>
      <c r="Y112" s="183"/>
      <c r="Z112" s="183"/>
      <c r="AA112" s="183"/>
      <c r="AB112" s="183"/>
      <c r="AC112" s="183"/>
      <c r="AD112" s="183"/>
      <c r="AE112" s="183"/>
      <c r="AF112" s="183"/>
      <c r="AG112" s="183"/>
      <c r="AH112" s="183"/>
      <c r="AI112" s="183"/>
      <c r="AJ112" s="183"/>
      <c r="AK112" s="183"/>
      <c r="AL112" s="183"/>
      <c r="AM112" s="183"/>
      <c r="AN112" s="183"/>
      <c r="AO112" s="183"/>
      <c r="AP112" s="183"/>
      <c r="AQ112" s="183"/>
      <c r="AR112" s="183"/>
      <c r="AS112" s="183"/>
      <c r="AT112" s="183"/>
      <c r="AU112" s="183"/>
      <c r="AV112" s="183"/>
      <c r="AW112" s="183"/>
      <c r="AX112" s="183"/>
      <c r="AY112" s="183"/>
      <c r="AZ112" s="183"/>
      <c r="BA112" s="183"/>
      <c r="BB112" s="183"/>
      <c r="BC112" s="183"/>
      <c r="BD112" s="183"/>
      <c r="BE112" s="183"/>
      <c r="BI112" s="722" t="s">
        <v>343</v>
      </c>
      <c r="BJ112" s="722">
        <v>11</v>
      </c>
      <c r="BK112" s="722" t="s">
        <v>338</v>
      </c>
      <c r="BL112" s="771">
        <f t="shared" si="23"/>
        <v>0.31754999999999994</v>
      </c>
      <c r="BM112" s="725">
        <v>3.65</v>
      </c>
      <c r="BN112" s="762">
        <v>8.6999999999999994E-2</v>
      </c>
      <c r="BO112" s="137"/>
      <c r="BP112" s="772">
        <v>0.3</v>
      </c>
      <c r="BQ112" s="771">
        <f t="shared" si="24"/>
        <v>0</v>
      </c>
      <c r="BR112" s="737"/>
      <c r="BS112" s="773"/>
      <c r="BT112" s="137"/>
      <c r="BU112" s="772">
        <v>0.3</v>
      </c>
      <c r="BV112" s="6"/>
      <c r="BX112" s="666" t="str">
        <f t="shared" si="19"/>
        <v>Aug</v>
      </c>
      <c r="BY112" s="728">
        <f>IF(CB112=$CB114,SUMIF($BI102:$BI113,$BX112,$BR102:$BR113),SUMIF($BI102:$BI113,$BX112,$BM102:$BM113))</f>
        <v>3.65</v>
      </c>
      <c r="BZ112" s="772">
        <f>IF(IF(CB112=CB114,SUMIF(BI102:BI113,$BX112,BU102:BU113),SUMIF(BI102:BI113,$BX112,BP102:BP113))=0,NA(),IF(CB112=CB114,SUMIF(BI102:BI113,$BX112,BU102:BU113),SUMIF(BI102:BI113,$BX112,BP102:BP113)))</f>
        <v>0.3</v>
      </c>
      <c r="CA112" s="769">
        <f>IF(IF(CB112=CB114,SUMIF(BI102:BI113,$BX112,BS102:BS113),SUMIF(BI102:BI113,$BX112,BN102:BN113))=0,NA(),IF(CB112=CB114,SUMIF(BI102:BI113,$BX112,BS102:BS113),SUMIF(BI102:BI113,$BX112,BN102:BN113)))</f>
        <v>8.6999999999999994E-2</v>
      </c>
      <c r="CB112" s="730">
        <v>20</v>
      </c>
      <c r="CC112" s="730">
        <f t="shared" si="20"/>
        <v>8</v>
      </c>
    </row>
    <row r="113" spans="2:81" ht="14.65" customHeight="1">
      <c r="AC113" s="183"/>
      <c r="AD113" s="183"/>
      <c r="AE113" s="183"/>
      <c r="AF113" s="183"/>
      <c r="AG113" s="183"/>
      <c r="AH113" s="183"/>
      <c r="AI113" s="183"/>
      <c r="AJ113" s="183"/>
      <c r="AK113" s="183"/>
      <c r="AL113" s="183"/>
      <c r="AM113" s="183"/>
      <c r="AN113" s="183"/>
      <c r="AO113" s="183"/>
      <c r="AP113" s="183"/>
      <c r="AQ113" s="183"/>
      <c r="AR113" s="183"/>
      <c r="AS113" s="183"/>
      <c r="AT113" s="183"/>
      <c r="AU113" s="183"/>
      <c r="AV113" s="183"/>
      <c r="AW113" s="183"/>
      <c r="AX113" s="183"/>
      <c r="AY113" s="183"/>
      <c r="AZ113" s="183"/>
      <c r="BA113" s="183"/>
      <c r="BB113" s="183"/>
      <c r="BC113" s="183"/>
      <c r="BD113" s="183"/>
      <c r="BE113" s="183"/>
      <c r="BI113" s="722" t="s">
        <v>344</v>
      </c>
      <c r="BJ113" s="722">
        <v>12</v>
      </c>
      <c r="BK113" s="722" t="s">
        <v>338</v>
      </c>
      <c r="BL113" s="771">
        <f t="shared" si="23"/>
        <v>0.5388480000000001</v>
      </c>
      <c r="BM113" s="725">
        <v>5.6130000000000004</v>
      </c>
      <c r="BN113" s="762">
        <v>9.6000000000000002E-2</v>
      </c>
      <c r="BO113" s="137"/>
      <c r="BP113" s="772">
        <v>0.3</v>
      </c>
      <c r="BQ113" s="771">
        <f t="shared" si="24"/>
        <v>0</v>
      </c>
      <c r="BR113" s="737"/>
      <c r="BS113" s="773"/>
      <c r="BT113" s="137"/>
      <c r="BU113" s="772">
        <v>0.3</v>
      </c>
      <c r="BV113" s="6"/>
      <c r="BX113" s="666" t="str">
        <f t="shared" si="19"/>
        <v>Sep</v>
      </c>
      <c r="BY113" s="728">
        <f>IF(CB113=$CB114,SUMIF($BI102:$BI113,$BX113,$BR102:$BR113),SUMIF($BI102:$BI113,$BX113,$BM102:$BM113))</f>
        <v>5.6130000000000004</v>
      </c>
      <c r="BZ113" s="772">
        <f>IF(IF(CB113=CB114,SUMIF(BI102:BI113,$BX113,BU102:BU113),SUMIF(BI102:BI113,$BX113,BP102:BP113))=0,NA(),IF(CB113=CB114,SUMIF(BI102:BI113,$BX113,BU102:BU113),SUMIF(BI102:BI113,$BX113,BP102:BP113)))</f>
        <v>0.3</v>
      </c>
      <c r="CA113" s="769">
        <f>IF(IF(CB113=CB114,SUMIF(BI102:BI113,$BX113,BS102:BS113),SUMIF(BI102:BI113,$BX113,BN102:BN113))=0,NA(),IF(CB113=CB114,SUMIF(BI102:BI113,$BX113,BS102:BS113),SUMIF(BI102:BI113,$BX113,BN102:BN113)))</f>
        <v>9.6000000000000002E-2</v>
      </c>
      <c r="CB113" s="730">
        <v>20</v>
      </c>
      <c r="CC113" s="730">
        <f>IF(CC114-1&lt;1,CC114+11,CC114-1)</f>
        <v>9</v>
      </c>
    </row>
    <row r="114" spans="2:81" ht="14.65" customHeight="1">
      <c r="B114" s="44" t="s">
        <v>242</v>
      </c>
      <c r="C114" s="44"/>
      <c r="D114" s="44"/>
      <c r="E114" s="87"/>
      <c r="F114" s="94"/>
      <c r="G114" s="94"/>
      <c r="H114" s="94"/>
      <c r="I114" s="94"/>
      <c r="J114" s="94"/>
      <c r="K114" s="94"/>
      <c r="L114" s="94"/>
      <c r="M114" s="94"/>
      <c r="N114" s="94"/>
      <c r="O114" s="94"/>
      <c r="P114" s="94"/>
      <c r="Q114" s="94"/>
      <c r="R114" s="94"/>
      <c r="S114" s="94"/>
      <c r="T114" s="94"/>
      <c r="U114" s="94"/>
      <c r="V114" s="94"/>
      <c r="W114" s="94"/>
      <c r="X114" s="94"/>
      <c r="Y114" s="94"/>
      <c r="Z114" s="94"/>
      <c r="AA114" s="94"/>
      <c r="AB114" s="94"/>
      <c r="AC114" s="183"/>
      <c r="AD114" s="183"/>
      <c r="AE114" s="44" t="s">
        <v>242</v>
      </c>
      <c r="AF114" s="44"/>
      <c r="AG114" s="44"/>
      <c r="AH114" s="87"/>
      <c r="AI114" s="94"/>
      <c r="AJ114" s="94"/>
      <c r="AK114" s="94"/>
      <c r="AL114" s="94"/>
      <c r="AM114" s="94"/>
      <c r="AN114" s="94"/>
      <c r="AO114" s="94"/>
      <c r="AP114" s="94"/>
      <c r="AQ114" s="94"/>
      <c r="AR114" s="94"/>
      <c r="AS114" s="94"/>
      <c r="AT114" s="94"/>
      <c r="AU114" s="94"/>
      <c r="AV114" s="94"/>
      <c r="AW114" s="94"/>
      <c r="AX114" s="94"/>
      <c r="AY114" s="94"/>
      <c r="AZ114" s="94"/>
      <c r="BA114" s="94"/>
      <c r="BB114" s="94"/>
      <c r="BC114" s="94"/>
      <c r="BD114" s="94"/>
      <c r="BE114" s="94"/>
      <c r="BJ114" s="6"/>
      <c r="BK114" s="6"/>
      <c r="BL114" s="6"/>
      <c r="BM114" s="6"/>
      <c r="BN114" s="6"/>
      <c r="BO114" s="6"/>
      <c r="BP114" s="6"/>
      <c r="BQ114" s="6"/>
      <c r="BR114" s="6"/>
      <c r="BS114" s="6"/>
      <c r="BT114" s="6"/>
      <c r="BU114" s="6"/>
      <c r="BV114" s="6"/>
      <c r="BW114" s="667" t="str">
        <f>Cover!$M$34</f>
        <v>OCT FY-24</v>
      </c>
      <c r="BX114" s="666" t="str">
        <f>TEXT(CONCATENATE(CC114,"/01/20",CB114),"MMM")</f>
        <v>Oct</v>
      </c>
      <c r="BY114" s="728">
        <f>SUMIF($BI102:$BI113,$BX114,$BR102:$BR113)</f>
        <v>7.5190000000000001</v>
      </c>
      <c r="BZ114" s="772">
        <f>IF(IF(CB114=CB114,SUMIF(BI102:BI113,$BX114,BU102:BU113),SUMIF(BI102:BI113,$BX114,BP102:BP113))=0,NA(),IF(CB114=CB114,SUMIF(BI102:BI113,$BX114,BU102:BU113),SUMIF(BI102:BI113,$BX114,BP102:BP113)))</f>
        <v>0.3</v>
      </c>
      <c r="CA114" s="769">
        <f>IF(SUMIF($BI102:$BI113,$BX114,$BS102:$BS113)=0,NA(),SUMIF($BI102:$BI113,$BX114,$BS102:$BS113))</f>
        <v>0.23</v>
      </c>
      <c r="CB114" s="730">
        <v>21</v>
      </c>
      <c r="CC114" s="730">
        <f>MONTH(DATEVALUE(LEFT(BW114,3)&amp;" 1"))</f>
        <v>10</v>
      </c>
    </row>
    <row r="115" spans="2:81" ht="14.65" customHeight="1">
      <c r="B115" s="1510" t="s">
        <v>598</v>
      </c>
      <c r="C115" s="1511"/>
      <c r="D115" s="1511"/>
      <c r="E115" s="1511"/>
      <c r="F115" s="1511"/>
      <c r="G115" s="1511"/>
      <c r="H115" s="1511"/>
      <c r="I115" s="1511"/>
      <c r="J115" s="1511"/>
      <c r="K115" s="1511"/>
      <c r="L115" s="1511"/>
      <c r="M115" s="1511"/>
      <c r="N115" s="1511"/>
      <c r="O115" s="1511"/>
      <c r="P115" s="1511"/>
      <c r="Q115" s="1511"/>
      <c r="R115" s="1511"/>
      <c r="S115" s="1511"/>
      <c r="T115" s="1511"/>
      <c r="U115" s="1511"/>
      <c r="V115" s="1511"/>
      <c r="W115" s="1511"/>
      <c r="X115" s="1511"/>
      <c r="Y115" s="1511"/>
      <c r="Z115" s="1511"/>
      <c r="AA115" s="1511"/>
      <c r="AB115" s="1512"/>
      <c r="AC115" s="183"/>
      <c r="AD115" s="183"/>
      <c r="AE115" s="1510"/>
      <c r="AF115" s="1511"/>
      <c r="AG115" s="1511"/>
      <c r="AH115" s="1511"/>
      <c r="AI115" s="1511"/>
      <c r="AJ115" s="1511"/>
      <c r="AK115" s="1511"/>
      <c r="AL115" s="1511"/>
      <c r="AM115" s="1511"/>
      <c r="AN115" s="1511"/>
      <c r="AO115" s="1511"/>
      <c r="AP115" s="1511"/>
      <c r="AQ115" s="1511"/>
      <c r="AR115" s="1511"/>
      <c r="AS115" s="1511"/>
      <c r="AT115" s="1511"/>
      <c r="AU115" s="1511"/>
      <c r="AV115" s="1511"/>
      <c r="AW115" s="1511"/>
      <c r="AX115" s="1511"/>
      <c r="AY115" s="1511"/>
      <c r="AZ115" s="1511"/>
      <c r="BA115" s="1511"/>
      <c r="BB115" s="1511"/>
      <c r="BC115" s="1511"/>
      <c r="BD115" s="1511"/>
      <c r="BE115" s="1512"/>
    </row>
    <row r="116" spans="2:81" ht="14.65" customHeight="1">
      <c r="B116" s="1513"/>
      <c r="C116" s="1514"/>
      <c r="D116" s="1514"/>
      <c r="E116" s="1514"/>
      <c r="F116" s="1514"/>
      <c r="G116" s="1514"/>
      <c r="H116" s="1514"/>
      <c r="I116" s="1514"/>
      <c r="J116" s="1514"/>
      <c r="K116" s="1514"/>
      <c r="L116" s="1514"/>
      <c r="M116" s="1514"/>
      <c r="N116" s="1514"/>
      <c r="O116" s="1514"/>
      <c r="P116" s="1514"/>
      <c r="Q116" s="1514"/>
      <c r="R116" s="1514"/>
      <c r="S116" s="1514"/>
      <c r="T116" s="1514"/>
      <c r="U116" s="1514"/>
      <c r="V116" s="1514"/>
      <c r="W116" s="1514"/>
      <c r="X116" s="1514"/>
      <c r="Y116" s="1514"/>
      <c r="Z116" s="1514"/>
      <c r="AA116" s="1514"/>
      <c r="AB116" s="1515"/>
      <c r="AC116" s="183"/>
      <c r="AD116" s="183"/>
      <c r="AE116" s="1513"/>
      <c r="AF116" s="1514"/>
      <c r="AG116" s="1514"/>
      <c r="AH116" s="1514"/>
      <c r="AI116" s="1514"/>
      <c r="AJ116" s="1514"/>
      <c r="AK116" s="1514"/>
      <c r="AL116" s="1514"/>
      <c r="AM116" s="1514"/>
      <c r="AN116" s="1514"/>
      <c r="AO116" s="1514"/>
      <c r="AP116" s="1514"/>
      <c r="AQ116" s="1514"/>
      <c r="AR116" s="1514"/>
      <c r="AS116" s="1514"/>
      <c r="AT116" s="1514"/>
      <c r="AU116" s="1514"/>
      <c r="AV116" s="1514"/>
      <c r="AW116" s="1514"/>
      <c r="AX116" s="1514"/>
      <c r="AY116" s="1514"/>
      <c r="AZ116" s="1514"/>
      <c r="BA116" s="1514"/>
      <c r="BB116" s="1514"/>
      <c r="BC116" s="1514"/>
      <c r="BD116" s="1514"/>
      <c r="BE116" s="1515"/>
      <c r="BI116" s="1" t="s">
        <v>292</v>
      </c>
      <c r="BJ116" s="166" t="s">
        <v>599</v>
      </c>
      <c r="BK116" s="166"/>
      <c r="BL116" s="166"/>
      <c r="BM116" s="166"/>
      <c r="BN116" s="166"/>
      <c r="BO116" s="166"/>
      <c r="BP116" s="166"/>
      <c r="BQ116" s="166"/>
      <c r="BR116" s="166"/>
      <c r="BS116" s="166"/>
      <c r="BT116" s="166"/>
      <c r="BU116" s="166"/>
    </row>
    <row r="117" spans="2:81" ht="14.65" customHeight="1">
      <c r="B117" s="1513"/>
      <c r="C117" s="1514"/>
      <c r="D117" s="1514"/>
      <c r="E117" s="1514"/>
      <c r="F117" s="1514"/>
      <c r="G117" s="1514"/>
      <c r="H117" s="1514"/>
      <c r="I117" s="1514"/>
      <c r="J117" s="1514"/>
      <c r="K117" s="1514"/>
      <c r="L117" s="1514"/>
      <c r="M117" s="1514"/>
      <c r="N117" s="1514"/>
      <c r="O117" s="1514"/>
      <c r="P117" s="1514"/>
      <c r="Q117" s="1514"/>
      <c r="R117" s="1514"/>
      <c r="S117" s="1514"/>
      <c r="T117" s="1514"/>
      <c r="U117" s="1514"/>
      <c r="V117" s="1514"/>
      <c r="W117" s="1514"/>
      <c r="X117" s="1514"/>
      <c r="Y117" s="1514"/>
      <c r="Z117" s="1514"/>
      <c r="AA117" s="1514"/>
      <c r="AB117" s="1515"/>
      <c r="AC117" s="183"/>
      <c r="AD117" s="183"/>
      <c r="AE117" s="1513"/>
      <c r="AF117" s="1514"/>
      <c r="AG117" s="1514"/>
      <c r="AH117" s="1514"/>
      <c r="AI117" s="1514"/>
      <c r="AJ117" s="1514"/>
      <c r="AK117" s="1514"/>
      <c r="AL117" s="1514"/>
      <c r="AM117" s="1514"/>
      <c r="AN117" s="1514"/>
      <c r="AO117" s="1514"/>
      <c r="AP117" s="1514"/>
      <c r="AQ117" s="1514"/>
      <c r="AR117" s="1514"/>
      <c r="AS117" s="1514"/>
      <c r="AT117" s="1514"/>
      <c r="AU117" s="1514"/>
      <c r="AV117" s="1514"/>
      <c r="AW117" s="1514"/>
      <c r="AX117" s="1514"/>
      <c r="AY117" s="1514"/>
      <c r="AZ117" s="1514"/>
      <c r="BA117" s="1514"/>
      <c r="BB117" s="1514"/>
      <c r="BC117" s="1514"/>
      <c r="BD117" s="1514"/>
      <c r="BE117" s="1515"/>
      <c r="BI117" s="54" t="s">
        <v>296</v>
      </c>
      <c r="BJ117" s="165" t="s">
        <v>600</v>
      </c>
      <c r="BK117" s="165"/>
      <c r="BL117" s="165"/>
      <c r="BM117" s="165"/>
      <c r="BN117" s="165"/>
      <c r="BO117" s="165"/>
      <c r="BP117" s="165"/>
      <c r="BQ117" s="165"/>
      <c r="BR117" s="165"/>
      <c r="BS117" s="165"/>
      <c r="BT117" s="165"/>
      <c r="BU117" s="165"/>
    </row>
    <row r="118" spans="2:81" ht="14.65" customHeight="1" thickBot="1">
      <c r="B118" s="1516"/>
      <c r="C118" s="1517"/>
      <c r="D118" s="1517"/>
      <c r="E118" s="1517"/>
      <c r="F118" s="1517"/>
      <c r="G118" s="1517"/>
      <c r="H118" s="1517"/>
      <c r="I118" s="1517"/>
      <c r="J118" s="1517"/>
      <c r="K118" s="1517"/>
      <c r="L118" s="1517"/>
      <c r="M118" s="1517"/>
      <c r="N118" s="1517"/>
      <c r="O118" s="1517"/>
      <c r="P118" s="1517"/>
      <c r="Q118" s="1517"/>
      <c r="R118" s="1517"/>
      <c r="S118" s="1517"/>
      <c r="T118" s="1517"/>
      <c r="U118" s="1517"/>
      <c r="V118" s="1517"/>
      <c r="W118" s="1517"/>
      <c r="X118" s="1517"/>
      <c r="Y118" s="1517"/>
      <c r="Z118" s="1517"/>
      <c r="AA118" s="1517"/>
      <c r="AB118" s="1518"/>
      <c r="AC118" s="183"/>
      <c r="AD118" s="183"/>
      <c r="AE118" s="1516"/>
      <c r="AF118" s="1517"/>
      <c r="AG118" s="1517"/>
      <c r="AH118" s="1517"/>
      <c r="AI118" s="1517"/>
      <c r="AJ118" s="1517"/>
      <c r="AK118" s="1517"/>
      <c r="AL118" s="1517"/>
      <c r="AM118" s="1517"/>
      <c r="AN118" s="1517"/>
      <c r="AO118" s="1517"/>
      <c r="AP118" s="1517"/>
      <c r="AQ118" s="1517"/>
      <c r="AR118" s="1517"/>
      <c r="AS118" s="1517"/>
      <c r="AT118" s="1517"/>
      <c r="AU118" s="1517"/>
      <c r="AV118" s="1517"/>
      <c r="AW118" s="1517"/>
      <c r="AX118" s="1517"/>
      <c r="AY118" s="1517"/>
      <c r="AZ118" s="1517"/>
      <c r="BA118" s="1517"/>
      <c r="BB118" s="1517"/>
      <c r="BC118" s="1517"/>
      <c r="BD118" s="1517"/>
      <c r="BE118" s="1518"/>
      <c r="BI118" s="1" t="s">
        <v>300</v>
      </c>
      <c r="BJ118" s="228" t="s">
        <v>601</v>
      </c>
      <c r="BK118" s="165"/>
      <c r="BL118" s="165"/>
      <c r="BM118" s="165"/>
      <c r="BN118" s="165"/>
      <c r="BO118" s="165"/>
      <c r="BP118" s="165"/>
      <c r="BQ118" s="165"/>
      <c r="BR118" s="165"/>
      <c r="BS118" s="165"/>
      <c r="BT118" s="165"/>
      <c r="BU118" s="165"/>
    </row>
    <row r="119" spans="2:81" ht="14.65" customHeight="1" thickBot="1">
      <c r="B119" s="184"/>
      <c r="C119" s="185"/>
      <c r="D119" s="185"/>
      <c r="E119" s="185"/>
      <c r="F119" s="185"/>
      <c r="G119" s="183"/>
      <c r="H119" s="183"/>
      <c r="I119" s="183"/>
      <c r="J119" s="183"/>
      <c r="K119" s="183"/>
      <c r="L119" s="188"/>
      <c r="M119" s="185"/>
      <c r="N119" s="185"/>
      <c r="O119" s="183"/>
      <c r="P119" s="183"/>
      <c r="Q119" s="183"/>
      <c r="R119" s="183"/>
      <c r="S119" s="183"/>
      <c r="T119" s="183"/>
      <c r="U119" s="183"/>
      <c r="V119" s="183"/>
      <c r="W119" s="183"/>
      <c r="X119" s="183"/>
      <c r="Y119" s="183"/>
      <c r="Z119" s="183"/>
      <c r="AA119" s="183"/>
      <c r="AB119" s="183"/>
      <c r="AC119" s="183"/>
      <c r="AD119" s="183"/>
      <c r="AE119" s="183"/>
      <c r="AF119" s="183"/>
      <c r="AG119" s="183"/>
      <c r="AH119" s="183"/>
      <c r="AI119" s="183"/>
      <c r="AJ119" s="183"/>
      <c r="AK119" s="183"/>
      <c r="AL119" s="183"/>
      <c r="AM119" s="183"/>
      <c r="AN119" s="183"/>
      <c r="AO119" s="183"/>
      <c r="AP119" s="183"/>
      <c r="AQ119" s="183"/>
      <c r="AR119" s="183"/>
      <c r="AS119" s="183"/>
      <c r="AT119" s="183"/>
      <c r="AU119" s="183"/>
      <c r="AV119" s="183"/>
      <c r="AW119" s="183"/>
      <c r="AX119" s="183"/>
      <c r="AY119" s="183"/>
      <c r="AZ119" s="183"/>
      <c r="BA119" s="183"/>
      <c r="BB119" s="183"/>
      <c r="BC119" s="183"/>
      <c r="BD119" s="183"/>
      <c r="BE119" s="183"/>
      <c r="BI119" s="2"/>
      <c r="BJ119" s="2"/>
      <c r="BK119" s="2"/>
      <c r="BL119" s="1490" t="s">
        <v>487</v>
      </c>
      <c r="BM119" s="1491"/>
      <c r="BN119" s="1491"/>
      <c r="BO119" s="1491"/>
      <c r="BP119" s="1521"/>
      <c r="BQ119" s="1490" t="s">
        <v>522</v>
      </c>
      <c r="BR119" s="1491"/>
      <c r="BS119" s="1491"/>
      <c r="BT119" s="1491"/>
      <c r="BU119" s="1492"/>
      <c r="BW119" s="1490" t="s">
        <v>303</v>
      </c>
      <c r="BX119" s="1491"/>
      <c r="BY119" s="1491"/>
      <c r="BZ119" s="1491"/>
      <c r="CA119" s="1491"/>
      <c r="CB119" s="1491"/>
      <c r="CC119" s="1492"/>
    </row>
    <row r="120" spans="2:81" ht="14.65" customHeight="1">
      <c r="B120" s="184"/>
      <c r="C120" s="185"/>
      <c r="D120" s="185"/>
      <c r="E120" s="185"/>
      <c r="F120" s="185"/>
      <c r="G120" s="183"/>
      <c r="H120" s="183"/>
      <c r="I120" s="183"/>
      <c r="J120" s="183"/>
      <c r="K120" s="183"/>
      <c r="L120" s="188"/>
      <c r="M120" s="185"/>
      <c r="N120" s="185"/>
      <c r="O120" s="183"/>
      <c r="P120" s="183"/>
      <c r="Q120" s="183"/>
      <c r="R120" s="183"/>
      <c r="S120" s="183"/>
      <c r="T120" s="183"/>
      <c r="U120" s="183"/>
      <c r="V120" s="183"/>
      <c r="W120" s="183"/>
      <c r="X120" s="183"/>
      <c r="Y120" s="183"/>
      <c r="Z120" s="183"/>
      <c r="AA120" s="183"/>
      <c r="AB120" s="183"/>
      <c r="AC120" s="183"/>
      <c r="AD120" s="183"/>
      <c r="AE120" s="183"/>
      <c r="AF120" s="183"/>
      <c r="AG120" s="183"/>
      <c r="AH120" s="183"/>
      <c r="AI120" s="183"/>
      <c r="AJ120" s="183"/>
      <c r="AK120" s="183"/>
      <c r="AL120" s="183"/>
      <c r="AM120" s="183"/>
      <c r="AN120" s="183"/>
      <c r="AO120" s="183"/>
      <c r="AP120" s="183"/>
      <c r="AQ120" s="183"/>
      <c r="AR120" s="183"/>
      <c r="AS120" s="183"/>
      <c r="AT120" s="183"/>
      <c r="AU120" s="183"/>
      <c r="AV120" s="183"/>
      <c r="AW120" s="183"/>
      <c r="AX120" s="183"/>
      <c r="AY120" s="183"/>
      <c r="AZ120" s="183"/>
      <c r="BA120" s="183"/>
      <c r="BB120" s="183"/>
      <c r="BC120" s="183"/>
      <c r="BD120" s="183"/>
      <c r="BE120" s="183"/>
      <c r="BI120" s="720" t="s">
        <v>23</v>
      </c>
      <c r="BJ120" s="720" t="s">
        <v>37</v>
      </c>
      <c r="BK120" s="720" t="s">
        <v>304</v>
      </c>
      <c r="BL120" s="721" t="s">
        <v>305</v>
      </c>
      <c r="BM120" s="721" t="s">
        <v>306</v>
      </c>
      <c r="BN120" s="721" t="s">
        <v>488</v>
      </c>
      <c r="BO120" s="135" t="s">
        <v>489</v>
      </c>
      <c r="BP120" s="721" t="s">
        <v>490</v>
      </c>
      <c r="BQ120" s="721" t="s">
        <v>305</v>
      </c>
      <c r="BR120" s="721" t="s">
        <v>523</v>
      </c>
      <c r="BS120" s="721" t="s">
        <v>524</v>
      </c>
      <c r="BT120" s="135" t="s">
        <v>525</v>
      </c>
      <c r="BU120" s="721" t="s">
        <v>526</v>
      </c>
      <c r="BW120" s="164" t="s">
        <v>314</v>
      </c>
      <c r="BX120" s="164" t="s">
        <v>23</v>
      </c>
      <c r="BY120" s="168" t="s">
        <v>315</v>
      </c>
      <c r="BZ120" s="164" t="s">
        <v>122</v>
      </c>
      <c r="CA120" s="164" t="s">
        <v>316</v>
      </c>
      <c r="CB120" s="164" t="s">
        <v>317</v>
      </c>
      <c r="CC120" s="164" t="s">
        <v>318</v>
      </c>
    </row>
    <row r="121" spans="2:81" ht="47.1" customHeight="1">
      <c r="B121" s="1534" t="s">
        <v>431</v>
      </c>
      <c r="C121" s="1535"/>
      <c r="D121" s="1535"/>
      <c r="E121" s="1535"/>
      <c r="F121" s="1535"/>
      <c r="G121" s="1535"/>
      <c r="H121" s="1535"/>
      <c r="I121" s="1535"/>
      <c r="J121" s="1535"/>
      <c r="K121" s="1535"/>
      <c r="L121" s="1536"/>
      <c r="M121" s="1537" t="s">
        <v>432</v>
      </c>
      <c r="N121" s="1538"/>
      <c r="O121" s="1538"/>
      <c r="P121" s="1538"/>
      <c r="Q121" s="1538"/>
      <c r="R121" s="1538"/>
      <c r="S121" s="1538"/>
      <c r="T121" s="1538"/>
      <c r="U121" s="1538"/>
      <c r="V121" s="1539"/>
      <c r="W121" s="1537" t="s">
        <v>433</v>
      </c>
      <c r="X121" s="1538"/>
      <c r="Y121" s="1538"/>
      <c r="Z121" s="1538"/>
      <c r="AA121" s="1538"/>
      <c r="AB121" s="1538"/>
      <c r="AC121" s="1538"/>
      <c r="AD121" s="1538"/>
      <c r="AE121" s="1538"/>
      <c r="AF121" s="1539"/>
      <c r="AG121" s="1553" t="s">
        <v>434</v>
      </c>
      <c r="AH121" s="1554"/>
      <c r="AI121" s="1554"/>
      <c r="AJ121" s="1554"/>
      <c r="AK121" s="1554"/>
      <c r="AL121" s="1554"/>
      <c r="AM121" s="1554"/>
      <c r="AN121" s="1554"/>
      <c r="AO121" s="1554"/>
      <c r="AP121" s="1555"/>
      <c r="AQ121" s="1534" t="s">
        <v>435</v>
      </c>
      <c r="AR121" s="1535"/>
      <c r="AS121" s="1535"/>
      <c r="AT121" s="1535"/>
      <c r="AU121" s="1536"/>
      <c r="AV121" s="1549" t="s">
        <v>436</v>
      </c>
      <c r="AW121" s="1550"/>
      <c r="AX121" s="1550"/>
      <c r="AY121" s="1550"/>
      <c r="AZ121" s="1551"/>
      <c r="BA121" s="1549" t="s">
        <v>437</v>
      </c>
      <c r="BB121" s="1550"/>
      <c r="BC121" s="1550"/>
      <c r="BD121" s="1550"/>
      <c r="BE121" s="1551"/>
      <c r="BI121" s="722" t="s">
        <v>319</v>
      </c>
      <c r="BJ121" s="722">
        <v>1</v>
      </c>
      <c r="BK121" s="722" t="s">
        <v>320</v>
      </c>
      <c r="BL121" s="774"/>
      <c r="BM121" s="775"/>
      <c r="BN121" s="776">
        <f>IF(BM121=0,0,BL121/BM121)</f>
        <v>0</v>
      </c>
      <c r="BO121" s="141">
        <f>IF(SUM(BM121:BM123=0),0,SUM(BL121:BL123)/SUM(BM121:BM123))</f>
        <v>0</v>
      </c>
      <c r="BP121" s="777">
        <v>5.63</v>
      </c>
      <c r="BQ121" s="778">
        <v>43.83</v>
      </c>
      <c r="BR121" s="779">
        <v>7.8609999999999998</v>
      </c>
      <c r="BS121" s="776">
        <f>IF(BR121=0,0,BQ121/BR121)</f>
        <v>5.5756265106220582</v>
      </c>
      <c r="BT121" s="141">
        <f>IF(SUM(BR121:BR123=0),0,SUM(BQ121:BQ123)/SUM(BR121:BR123))</f>
        <v>5.5756265106220582</v>
      </c>
      <c r="BU121" s="777">
        <v>5.63</v>
      </c>
      <c r="BX121" s="666" t="str">
        <f t="shared" ref="BX121:BX132" si="25">TEXT(CONCATENATE(CC121,"/01/20",CB121),"MMM")</f>
        <v>Oct</v>
      </c>
      <c r="BY121" s="728">
        <f>IF(CB121=$CB133,SUMIF($BI121:$BI132,$BX121,$BR121:$BR132),SUMIF($BI121:$BI132,$BX121,$BM121:$BM132))</f>
        <v>0</v>
      </c>
      <c r="BZ121" s="780">
        <f>IF(IF(CB121=CB133,SUMIF(BI121:BI132,$BX121,BU121:BU132),SUMIF(BI121:BI132,$BX121,BP121:BP132))=0,NA(),IF(CB121=CB133,SUMIF(BI121:BI132,$BX121,BU121:BU132),SUMIF(BI121:BI132,$BX121,BP121:BP132)))</f>
        <v>5.63</v>
      </c>
      <c r="CA121" s="781" t="e">
        <f>IF(IF(CB121=CB133,SUMIF(BI121:BI132,$BX121,BS121:BS132),SUMIF(BI121:BI132,$BX121,BN121:BN132))=0,NA(),IF(CB121=CB133,SUMIF(BI121:BI132,$BX121,BS121:BS132),SUMIF(BI121:BI132,$BX121,BN121:BN132)))</f>
        <v>#N/A</v>
      </c>
      <c r="CB121" s="730">
        <v>20</v>
      </c>
      <c r="CC121" s="730">
        <f t="shared" ref="CC121:CC131" si="26">IF(CC122-1&lt;1,CC122+11,CC122-1)</f>
        <v>10</v>
      </c>
    </row>
    <row r="122" spans="2:81" ht="47.1" customHeight="1">
      <c r="B122" s="1557" t="s">
        <v>602</v>
      </c>
      <c r="C122" s="1558"/>
      <c r="D122" s="1558"/>
      <c r="E122" s="1558"/>
      <c r="F122" s="1558"/>
      <c r="G122" s="1558"/>
      <c r="H122" s="1558"/>
      <c r="I122" s="1558"/>
      <c r="J122" s="1558"/>
      <c r="K122" s="1558"/>
      <c r="L122" s="1559"/>
      <c r="M122" s="1543"/>
      <c r="N122" s="1544"/>
      <c r="O122" s="1544"/>
      <c r="P122" s="1544"/>
      <c r="Q122" s="1544"/>
      <c r="R122" s="1544"/>
      <c r="S122" s="1544"/>
      <c r="T122" s="1544"/>
      <c r="U122" s="1544"/>
      <c r="V122" s="1545"/>
      <c r="W122" s="1543"/>
      <c r="X122" s="1544"/>
      <c r="Y122" s="1544"/>
      <c r="Z122" s="1544"/>
      <c r="AA122" s="1544"/>
      <c r="AB122" s="1544"/>
      <c r="AC122" s="1544"/>
      <c r="AD122" s="1544"/>
      <c r="AE122" s="1544"/>
      <c r="AF122" s="1545"/>
      <c r="AG122" s="1563"/>
      <c r="AH122" s="1564"/>
      <c r="AI122" s="1564"/>
      <c r="AJ122" s="1564"/>
      <c r="AK122" s="1564"/>
      <c r="AL122" s="1564"/>
      <c r="AM122" s="1564"/>
      <c r="AN122" s="1564"/>
      <c r="AO122" s="1564"/>
      <c r="AP122" s="1565"/>
      <c r="AQ122" s="1641"/>
      <c r="AR122" s="1567"/>
      <c r="AS122" s="1567"/>
      <c r="AT122" s="1567"/>
      <c r="AU122" s="1568"/>
      <c r="AV122" s="1560"/>
      <c r="AW122" s="1561"/>
      <c r="AX122" s="1561"/>
      <c r="AY122" s="1561"/>
      <c r="AZ122" s="1562"/>
      <c r="BA122" s="1547"/>
      <c r="BB122" s="1548"/>
      <c r="BC122" s="1548"/>
      <c r="BD122" s="1548"/>
      <c r="BE122" s="1548"/>
      <c r="BI122" s="722" t="s">
        <v>321</v>
      </c>
      <c r="BJ122" s="722">
        <v>2</v>
      </c>
      <c r="BK122" s="722" t="s">
        <v>320</v>
      </c>
      <c r="BL122" s="774"/>
      <c r="BM122" s="775"/>
      <c r="BN122" s="776">
        <f t="shared" ref="BN122:BN132" si="27">IF(BM122=0,0,BL122/BM122)</f>
        <v>0</v>
      </c>
      <c r="BO122" s="137"/>
      <c r="BP122" s="777">
        <v>5.63</v>
      </c>
      <c r="BQ122" s="778"/>
      <c r="BR122" s="779"/>
      <c r="BS122" s="776">
        <f>IF(BR122=0,0,BQ122/BR122)</f>
        <v>0</v>
      </c>
      <c r="BT122" s="137"/>
      <c r="BU122" s="777">
        <v>5.63</v>
      </c>
      <c r="BX122" s="666" t="str">
        <f t="shared" si="25"/>
        <v>Nov</v>
      </c>
      <c r="BY122" s="728">
        <f>IF(CB122=$CB133,SUMIF($BI121:$BI132,$BX122,$BR121:$BR132),SUMIF($BI121:$BI132,$BX122,$BM121:$BM132))</f>
        <v>0</v>
      </c>
      <c r="BZ122" s="780">
        <f>IF(IF(CB122=CB133,SUMIF(BI121:BI132,$BX122,BU121:BU132),SUMIF(BI121:BI132,$BX122,BP121:BP132))=0,NA(),IF(CB122=CB133,SUMIF(BI121:BI132,$BX122,BU121:BU132),SUMIF(BI121:BI132,$BX122,BP121:BP132)))</f>
        <v>5.63</v>
      </c>
      <c r="CA122" s="781" t="e">
        <f>IF(IF(CB122=CB133,SUMIF(BI121:BI132,$BX122,BS121:BS132),SUMIF(BI121:BI132,$BX122,BN121:BN132))=0,NA(),IF(CB122=CB133,SUMIF(BI121:BI132,$BX122,BS121:BS132),SUMIF(BI121:BI132,$BX122,BN121:BN132)))</f>
        <v>#N/A</v>
      </c>
      <c r="CB122" s="730">
        <v>20</v>
      </c>
      <c r="CC122" s="730">
        <f t="shared" si="26"/>
        <v>11</v>
      </c>
    </row>
    <row r="123" spans="2:81" ht="14.65" customHeight="1">
      <c r="B123" s="1552"/>
      <c r="C123" s="1552"/>
      <c r="D123" s="1552"/>
      <c r="E123" s="1552"/>
      <c r="F123" s="1552"/>
      <c r="G123" s="1552"/>
      <c r="H123" s="1552"/>
      <c r="I123" s="1552"/>
      <c r="J123" s="1546"/>
      <c r="K123" s="1546"/>
      <c r="L123" s="1546"/>
      <c r="M123" s="1546"/>
      <c r="N123" s="1546"/>
      <c r="O123" s="1546"/>
      <c r="P123" s="1546"/>
      <c r="Q123" s="1546"/>
      <c r="R123" s="1546"/>
      <c r="S123" s="1546"/>
      <c r="T123" s="1546"/>
      <c r="U123" s="1546"/>
      <c r="V123" s="1546"/>
      <c r="W123" s="1546"/>
      <c r="X123" s="1556"/>
      <c r="Y123" s="1556"/>
      <c r="Z123" s="1556"/>
      <c r="AA123" s="1556"/>
      <c r="AB123" s="1556"/>
      <c r="AC123" s="1556"/>
      <c r="AD123" s="1556"/>
      <c r="AE123" s="1556"/>
      <c r="AF123" s="1556"/>
      <c r="AG123" s="1556"/>
      <c r="AH123" s="1556"/>
      <c r="AI123" s="1556"/>
      <c r="AJ123" s="1546"/>
      <c r="AK123" s="1546"/>
      <c r="AL123" s="1546"/>
      <c r="AM123" s="1546"/>
      <c r="AN123" s="1546"/>
      <c r="AO123" s="1546"/>
      <c r="AP123" s="1546"/>
      <c r="AQ123" s="1546"/>
      <c r="AR123" s="1546"/>
      <c r="AS123" s="1546"/>
      <c r="AT123" s="1546"/>
      <c r="AU123" s="1546"/>
      <c r="AV123" s="1546"/>
      <c r="AW123" s="1546"/>
      <c r="AX123" s="1546"/>
      <c r="AY123" s="1546"/>
      <c r="AZ123" s="1546"/>
      <c r="BA123" s="1546"/>
      <c r="BB123" s="1546"/>
      <c r="BC123" s="1546"/>
      <c r="BD123" s="1546"/>
      <c r="BE123" s="1546"/>
      <c r="BI123" s="722" t="s">
        <v>322</v>
      </c>
      <c r="BJ123" s="722">
        <v>3</v>
      </c>
      <c r="BK123" s="722" t="s">
        <v>320</v>
      </c>
      <c r="BL123" s="774"/>
      <c r="BM123" s="775"/>
      <c r="BN123" s="776">
        <f t="shared" si="27"/>
        <v>0</v>
      </c>
      <c r="BO123" s="137"/>
      <c r="BP123" s="777">
        <v>5.63</v>
      </c>
      <c r="BQ123" s="778"/>
      <c r="BR123" s="779"/>
      <c r="BS123" s="776">
        <f t="shared" ref="BS123:BS132" si="28">IF(BR123=0,0,BQ123/BR123)</f>
        <v>0</v>
      </c>
      <c r="BT123" s="137"/>
      <c r="BU123" s="777">
        <v>5.63</v>
      </c>
      <c r="BX123" s="666" t="str">
        <f t="shared" si="25"/>
        <v>Dec</v>
      </c>
      <c r="BY123" s="728">
        <f>IF(CB123=$CB133,SUMIF($BI121:$BI132,$BX123,$BR121:$BR132),SUMIF($BI121:$BI132,$BX123,$BM121:$BM132))</f>
        <v>0</v>
      </c>
      <c r="BZ123" s="780">
        <f>IF(IF(CB123=CB133,SUMIF(BI121:BI132,$BX123,BU121:BU132),SUMIF(BI121:BI132,$BX123,BP121:BP132))=0,NA(),IF(CB123=CB133,SUMIF(BI121:BI132,$BX123,BU121:BU132),SUMIF(BI121:BI132,$BX123,BP121:BP132)))</f>
        <v>5.63</v>
      </c>
      <c r="CA123" s="781" t="e">
        <f>IF(IF(CB123=CB133,SUMIF(BI121:BI132,$BX123,BS121:BS132),SUMIF(BI121:BI132,$BX123,BN121:BN132))=0,NA(),IF(CB123=CB133,SUMIF(BI121:BI132,$BX123,BS121:BS132),SUMIF(BI121:BI132,$BX123,BN121:BN132)))</f>
        <v>#N/A</v>
      </c>
      <c r="CB123" s="730">
        <v>20</v>
      </c>
      <c r="CC123" s="730">
        <f t="shared" si="26"/>
        <v>12</v>
      </c>
    </row>
    <row r="124" spans="2:81" ht="47.1" customHeight="1">
      <c r="B124" s="1534" t="s">
        <v>534</v>
      </c>
      <c r="C124" s="1535"/>
      <c r="D124" s="1535"/>
      <c r="E124" s="1535"/>
      <c r="F124" s="1535"/>
      <c r="G124" s="1535"/>
      <c r="H124" s="1535"/>
      <c r="I124" s="1535"/>
      <c r="J124" s="1535"/>
      <c r="K124" s="1535"/>
      <c r="L124" s="1536"/>
      <c r="M124" s="1537" t="s">
        <v>432</v>
      </c>
      <c r="N124" s="1538"/>
      <c r="O124" s="1538"/>
      <c r="P124" s="1538"/>
      <c r="Q124" s="1538"/>
      <c r="R124" s="1538"/>
      <c r="S124" s="1538"/>
      <c r="T124" s="1538"/>
      <c r="U124" s="1538"/>
      <c r="V124" s="1539"/>
      <c r="W124" s="1537" t="s">
        <v>433</v>
      </c>
      <c r="X124" s="1538"/>
      <c r="Y124" s="1538"/>
      <c r="Z124" s="1538"/>
      <c r="AA124" s="1538"/>
      <c r="AB124" s="1538"/>
      <c r="AC124" s="1538"/>
      <c r="AD124" s="1538"/>
      <c r="AE124" s="1538"/>
      <c r="AF124" s="1539"/>
      <c r="AG124" s="1553" t="s">
        <v>434</v>
      </c>
      <c r="AH124" s="1554"/>
      <c r="AI124" s="1554"/>
      <c r="AJ124" s="1554"/>
      <c r="AK124" s="1554"/>
      <c r="AL124" s="1554"/>
      <c r="AM124" s="1554"/>
      <c r="AN124" s="1554"/>
      <c r="AO124" s="1554"/>
      <c r="AP124" s="1555"/>
      <c r="AQ124" s="1534" t="s">
        <v>435</v>
      </c>
      <c r="AR124" s="1535"/>
      <c r="AS124" s="1535"/>
      <c r="AT124" s="1535"/>
      <c r="AU124" s="1536"/>
      <c r="AV124" s="1549" t="s">
        <v>436</v>
      </c>
      <c r="AW124" s="1550"/>
      <c r="AX124" s="1550"/>
      <c r="AY124" s="1550"/>
      <c r="AZ124" s="1551"/>
      <c r="BA124" s="1549" t="s">
        <v>437</v>
      </c>
      <c r="BB124" s="1550"/>
      <c r="BC124" s="1550"/>
      <c r="BD124" s="1550"/>
      <c r="BE124" s="1551"/>
      <c r="BI124" s="722" t="s">
        <v>323</v>
      </c>
      <c r="BJ124" s="722">
        <v>4</v>
      </c>
      <c r="BK124" s="722" t="s">
        <v>324</v>
      </c>
      <c r="BL124" s="774"/>
      <c r="BM124" s="775"/>
      <c r="BN124" s="776">
        <f t="shared" si="27"/>
        <v>0</v>
      </c>
      <c r="BO124" s="141">
        <f>IF(SUM(BM124:BM126=0),0,SUM(BL124:BL126)/SUM(BM124:BM126))</f>
        <v>0</v>
      </c>
      <c r="BP124" s="777">
        <v>5.63</v>
      </c>
      <c r="BQ124" s="778"/>
      <c r="BR124" s="779"/>
      <c r="BS124" s="776">
        <f>IF(BR124=0,0,BQ124/BR124)</f>
        <v>0</v>
      </c>
      <c r="BT124" s="141">
        <f>IF(SUM(BR124:BR126=0),0,SUM(BQ124:BQ126)/SUM(BR124:BR126))</f>
        <v>0</v>
      </c>
      <c r="BU124" s="777">
        <v>5.63</v>
      </c>
      <c r="BX124" s="666" t="str">
        <f t="shared" si="25"/>
        <v>Jan</v>
      </c>
      <c r="BY124" s="728">
        <f>IF(CB124=$CB133,SUMIF($BI121:$BI132,$BX124,$BR121:$BR132),SUMIF($BI121:$BI132,$BX124,$BM121:$BM132))</f>
        <v>0</v>
      </c>
      <c r="BZ124" s="780">
        <f>IF(IF(CB124=CB133,SUMIF(BI121:BI132,$BX124,BU121:BU132),SUMIF(BI121:BI132,$BX124,BP121:BP132))=0,NA(),IF(CB124=CB133,SUMIF(BI121:BI132,$BX124,BU121:BU132),SUMIF(BI121:BI132,$BX124,BP121:BP132)))</f>
        <v>5.63</v>
      </c>
      <c r="CA124" s="781" t="e">
        <f>IF(IF(CB124=CB133,SUMIF(BI121:BI132,$BX124,BS121:BS132),SUMIF(BI121:BI132,$BX124,BN121:BN132))=0,NA(),IF(CB124=CB133,SUMIF(BI121:BI132,$BX124,BS121:BS132),SUMIF(BI121:BI132,$BX124,BN121:BN132)))</f>
        <v>#N/A</v>
      </c>
      <c r="CB124" s="730">
        <v>20</v>
      </c>
      <c r="CC124" s="730">
        <f t="shared" si="26"/>
        <v>1</v>
      </c>
    </row>
    <row r="125" spans="2:81" ht="47.1" customHeight="1">
      <c r="B125" s="1557" t="s">
        <v>603</v>
      </c>
      <c r="C125" s="1558"/>
      <c r="D125" s="1558"/>
      <c r="E125" s="1558"/>
      <c r="F125" s="1558"/>
      <c r="G125" s="1558"/>
      <c r="H125" s="1558"/>
      <c r="I125" s="1558"/>
      <c r="J125" s="1558"/>
      <c r="K125" s="1558"/>
      <c r="L125" s="1559"/>
      <c r="M125" s="1543"/>
      <c r="N125" s="1544"/>
      <c r="O125" s="1544"/>
      <c r="P125" s="1544"/>
      <c r="Q125" s="1544"/>
      <c r="R125" s="1544"/>
      <c r="S125" s="1544"/>
      <c r="T125" s="1544"/>
      <c r="U125" s="1544"/>
      <c r="V125" s="1545"/>
      <c r="W125" s="1543"/>
      <c r="X125" s="1544"/>
      <c r="Y125" s="1544"/>
      <c r="Z125" s="1544"/>
      <c r="AA125" s="1544"/>
      <c r="AB125" s="1544"/>
      <c r="AC125" s="1544"/>
      <c r="AD125" s="1544"/>
      <c r="AE125" s="1544"/>
      <c r="AF125" s="1545"/>
      <c r="AG125" s="1563"/>
      <c r="AH125" s="1564"/>
      <c r="AI125" s="1564"/>
      <c r="AJ125" s="1564"/>
      <c r="AK125" s="1564"/>
      <c r="AL125" s="1564"/>
      <c r="AM125" s="1564"/>
      <c r="AN125" s="1564"/>
      <c r="AO125" s="1564"/>
      <c r="AP125" s="1565"/>
      <c r="AQ125" s="1641"/>
      <c r="AR125" s="1567"/>
      <c r="AS125" s="1567"/>
      <c r="AT125" s="1567"/>
      <c r="AU125" s="1568"/>
      <c r="AV125" s="1560"/>
      <c r="AW125" s="1561"/>
      <c r="AX125" s="1561"/>
      <c r="AY125" s="1561"/>
      <c r="AZ125" s="1562"/>
      <c r="BA125" s="1547"/>
      <c r="BB125" s="1548"/>
      <c r="BC125" s="1548"/>
      <c r="BD125" s="1548"/>
      <c r="BE125" s="1548"/>
      <c r="BI125" s="722" t="s">
        <v>325</v>
      </c>
      <c r="BJ125" s="722">
        <v>5</v>
      </c>
      <c r="BK125" s="722" t="s">
        <v>324</v>
      </c>
      <c r="BL125" s="774"/>
      <c r="BM125" s="775"/>
      <c r="BN125" s="776">
        <f t="shared" si="27"/>
        <v>0</v>
      </c>
      <c r="BO125" s="137"/>
      <c r="BP125" s="777">
        <v>5.63</v>
      </c>
      <c r="BQ125" s="737"/>
      <c r="BR125" s="779"/>
      <c r="BS125" s="776">
        <f t="shared" si="28"/>
        <v>0</v>
      </c>
      <c r="BT125" s="137"/>
      <c r="BU125" s="777">
        <v>5.63</v>
      </c>
      <c r="BX125" s="666" t="str">
        <f t="shared" si="25"/>
        <v>Feb</v>
      </c>
      <c r="BY125" s="728">
        <f>IF(CB125=$CB133,SUMIF($BI121:$BI132,$BX125,$BR121:$BR132),SUMIF($BI121:$BI132,$BX125,$BM121:$BM132))</f>
        <v>0</v>
      </c>
      <c r="BZ125" s="780">
        <f>IF(IF(CB125=CB133,SUMIF(BI121:BI132,$BX125,BU121:BU132),SUMIF(BI121:BI132,$BX125,BP121:BP132))=0,NA(),IF(CB125=CB133,SUMIF(BI121:BI132,$BX125,BU121:BU132),SUMIF(BI121:BI132,$BX125,BP121:BP132)))</f>
        <v>5.63</v>
      </c>
      <c r="CA125" s="781" t="e">
        <f>IF(IF(CB125=CB133,SUMIF(BI121:BI132,$BX125,BS121:BS132),SUMIF(BI121:BI132,$BX125,BN121:BN132))=0,NA(),IF(CB125=CB133,SUMIF(BI121:BI132,$BX125,BS121:BS132),SUMIF(BI121:BI132,$BX125,BN121:BN132)))</f>
        <v>#N/A</v>
      </c>
      <c r="CB125" s="730">
        <v>20</v>
      </c>
      <c r="CC125" s="730">
        <f t="shared" si="26"/>
        <v>2</v>
      </c>
    </row>
    <row r="126" spans="2:81" ht="14.65" customHeight="1">
      <c r="B126" s="14"/>
      <c r="C126" s="16"/>
      <c r="V126" s="16"/>
      <c r="W126" s="16"/>
      <c r="X126" s="16"/>
      <c r="Y126" s="15"/>
      <c r="Z126" s="15"/>
      <c r="AA126" s="15"/>
      <c r="AB126" s="15"/>
      <c r="AC126" s="15"/>
      <c r="AD126" s="42"/>
      <c r="AE126" s="16"/>
      <c r="AF126" s="16"/>
      <c r="BI126" s="722" t="s">
        <v>326</v>
      </c>
      <c r="BJ126" s="722">
        <v>6</v>
      </c>
      <c r="BK126" s="722" t="s">
        <v>324</v>
      </c>
      <c r="BL126" s="774"/>
      <c r="BM126" s="775"/>
      <c r="BN126" s="776">
        <f t="shared" si="27"/>
        <v>0</v>
      </c>
      <c r="BO126" s="137"/>
      <c r="BP126" s="777">
        <v>5.63</v>
      </c>
      <c r="BQ126" s="737"/>
      <c r="BR126" s="779"/>
      <c r="BS126" s="776">
        <f t="shared" si="28"/>
        <v>0</v>
      </c>
      <c r="BT126" s="137"/>
      <c r="BU126" s="777">
        <v>5.63</v>
      </c>
      <c r="BX126" s="666" t="str">
        <f t="shared" si="25"/>
        <v>Mar</v>
      </c>
      <c r="BY126" s="728">
        <f>IF(CB126=$CB133,SUMIF($BI121:$BI132,$BX126,$BR121:$BR132),SUMIF($BI121:$BI132,$BX126,$BM121:$BM132))</f>
        <v>0</v>
      </c>
      <c r="BZ126" s="780">
        <f>IF(IF(CB126=CB133,SUMIF(BI121:BI132,$BX126,BU121:BU132),SUMIF(BI121:BI132,$BX126,BP121:BP132))=0,NA(),IF(CB126=CB133,SUMIF(BI121:BI132,$BX126,BU121:BU132),SUMIF(BI121:BI132,$BX126,BP121:BP132)))</f>
        <v>5.63</v>
      </c>
      <c r="CA126" s="781" t="e">
        <f>IF(IF(CB126=CB133,SUMIF(BI121:BI132,$BX126,BS121:BS132),SUMIF(BI121:BI132,$BX126,BN121:BN132))=0,NA(),IF(CB126=CB133,SUMIF(BI121:BI132,$BX126,BS121:BS132),SUMIF(BI121:BI132,$BX126,BN121:BN132)))</f>
        <v>#N/A</v>
      </c>
      <c r="CB126" s="730">
        <v>20</v>
      </c>
      <c r="CC126" s="730">
        <f t="shared" si="26"/>
        <v>3</v>
      </c>
    </row>
    <row r="127" spans="2:81" ht="47.1" customHeight="1">
      <c r="BI127" s="722" t="s">
        <v>327</v>
      </c>
      <c r="BJ127" s="722">
        <v>7</v>
      </c>
      <c r="BK127" s="722" t="s">
        <v>328</v>
      </c>
      <c r="BL127" s="774">
        <v>49.646000000000001</v>
      </c>
      <c r="BM127" s="775">
        <v>6.0739999999999998</v>
      </c>
      <c r="BN127" s="776">
        <f t="shared" si="27"/>
        <v>8.17352650642081</v>
      </c>
      <c r="BO127" s="141">
        <f>IF(SUM(BM127:BM129=0),0,SUM(BL127:BL129)/SUM(BM127:BM129))</f>
        <v>8.9336581709145406</v>
      </c>
      <c r="BP127" s="777">
        <v>5.63</v>
      </c>
      <c r="BQ127" s="737"/>
      <c r="BR127" s="737"/>
      <c r="BS127" s="776">
        <f t="shared" si="28"/>
        <v>0</v>
      </c>
      <c r="BT127" s="141">
        <f>IF(SUM(BR127:BR129=0),0,SUM(BQ127:BQ129)/SUM(BR127:BR129))</f>
        <v>0</v>
      </c>
      <c r="BU127" s="777">
        <v>5.63</v>
      </c>
      <c r="BX127" s="666" t="str">
        <f t="shared" si="25"/>
        <v>Apr</v>
      </c>
      <c r="BY127" s="728">
        <f>IF(CB127=$CB133,SUMIF($BI121:$BI132,$BX127,$BR121:$BR132),SUMIF($BI121:$BI132,$BX127,$BM121:$BM132))</f>
        <v>6.0739999999999998</v>
      </c>
      <c r="BZ127" s="780">
        <f>IF(IF(CB127=CB133,SUMIF(BI121:BI132,$BX127,BU121:BU132),SUMIF(BI121:BI132,$BX127,BP121:BP132))=0,NA(),IF(CB127=CB133,SUMIF(BI121:BI132,$BX127,BU121:BU132),SUMIF(BI121:BI132,$BX127,BP121:BP132)))</f>
        <v>5.63</v>
      </c>
      <c r="CA127" s="781">
        <f>IF(IF(CB127=CB133,SUMIF(BI121:BI132,$BX127,BS121:BS132),SUMIF(BI121:BI132,$BX127,BN121:BN132))=0,NA(),IF(CB127=CB133,SUMIF(BI121:BI132,$BX127,BS121:BS132),SUMIF(BI121:BI132,$BX127,BN121:BN132)))</f>
        <v>8.17352650642081</v>
      </c>
      <c r="CB127" s="730">
        <v>20</v>
      </c>
      <c r="CC127" s="730">
        <f t="shared" si="26"/>
        <v>4</v>
      </c>
    </row>
    <row r="128" spans="2:81" ht="14.65" customHeight="1">
      <c r="BI128" s="722" t="s">
        <v>329</v>
      </c>
      <c r="BJ128" s="722">
        <v>8</v>
      </c>
      <c r="BK128" s="722" t="s">
        <v>328</v>
      </c>
      <c r="BL128" s="774">
        <v>45.604999999999997</v>
      </c>
      <c r="BM128" s="775">
        <v>4.5110000000000001</v>
      </c>
      <c r="BN128" s="776">
        <f t="shared" si="27"/>
        <v>10.109731766792285</v>
      </c>
      <c r="BO128" s="137"/>
      <c r="BP128" s="777">
        <v>5.63</v>
      </c>
      <c r="BQ128" s="737"/>
      <c r="BR128" s="737"/>
      <c r="BS128" s="776">
        <f t="shared" si="28"/>
        <v>0</v>
      </c>
      <c r="BT128" s="137"/>
      <c r="BU128" s="777">
        <v>5.63</v>
      </c>
      <c r="BX128" s="666" t="str">
        <f t="shared" si="25"/>
        <v>May</v>
      </c>
      <c r="BY128" s="728">
        <f>IF(CB128=$CB133,SUMIF($BI121:$BI132,$BX128,$BR121:$BR132),SUMIF($BI121:$BI132,$BX128,$BM121:$BM132))</f>
        <v>4.5110000000000001</v>
      </c>
      <c r="BZ128" s="780">
        <f>IF(IF(CB128=CB133,SUMIF(BI121:BI132,$BX128,BU121:BU132),SUMIF(BI121:BI132,$BX128,BP121:BP132))=0,NA(),IF(CB128=CB133,SUMIF(BI121:BI132,$BX128,BU121:BU132),SUMIF(BI121:BI132,$BX128,BP121:BP132)))</f>
        <v>5.63</v>
      </c>
      <c r="CA128" s="781">
        <f>IF(IF(CB128=CB133,SUMIF(BI121:BI132,$BX128,BS121:BS132),SUMIF(BI121:BI132,$BX128,BN121:BN132))=0,NA(),IF(CB128=CB133,SUMIF(BI121:BI132,$BX128,BS121:BS132),SUMIF(BI121:BI132,$BX128,BN121:BN132)))</f>
        <v>10.109731766792285</v>
      </c>
      <c r="CB128" s="730">
        <v>20</v>
      </c>
      <c r="CC128" s="730">
        <f t="shared" si="26"/>
        <v>5</v>
      </c>
    </row>
    <row r="129" spans="61:81" ht="47.1" customHeight="1">
      <c r="BI129" s="722" t="s">
        <v>331</v>
      </c>
      <c r="BJ129" s="722">
        <v>9</v>
      </c>
      <c r="BK129" s="722" t="s">
        <v>328</v>
      </c>
      <c r="BL129" s="774">
        <v>47.759</v>
      </c>
      <c r="BM129" s="775">
        <v>5.423</v>
      </c>
      <c r="BN129" s="776">
        <f t="shared" si="27"/>
        <v>8.8067490319011625</v>
      </c>
      <c r="BO129" s="181"/>
      <c r="BP129" s="777">
        <v>5.63</v>
      </c>
      <c r="BQ129" s="737"/>
      <c r="BR129" s="737"/>
      <c r="BS129" s="776">
        <f t="shared" si="28"/>
        <v>0</v>
      </c>
      <c r="BT129" s="137"/>
      <c r="BU129" s="777">
        <v>5.63</v>
      </c>
      <c r="BX129" s="666" t="str">
        <f t="shared" si="25"/>
        <v>Jun</v>
      </c>
      <c r="BY129" s="728">
        <f>IF(CB129=$CB133,SUMIF($BI121:$BI132,$BX129,$BR121:$BR132),SUMIF($BI121:$BI132,$BX129,$BM121:$BM132))</f>
        <v>5.423</v>
      </c>
      <c r="BZ129" s="780">
        <f>IF(IF(CB129=CB133,SUMIF(BI121:BI132,$BX129,BU121:BU132),SUMIF(BI121:BI132,$BX129,BP121:BP132))=0,NA(),IF(CB129=CB133,SUMIF(BI121:BI132,$BX129,BU121:BU132),SUMIF(BI121:BI132,$BX129,BP121:BP132)))</f>
        <v>5.63</v>
      </c>
      <c r="CA129" s="781">
        <f>IF(IF(CB129=CB133,SUMIF(BI121:BI132,$BX129,BS121:BS132),SUMIF(BI121:BI132,$BX129,BN121:BN132))=0,NA(),IF(CB129=CB133,SUMIF(BI121:BI132,$BX129,BS121:BS132),SUMIF(BI121:BI132,$BX129,BN121:BN132)))</f>
        <v>8.8067490319011625</v>
      </c>
      <c r="CB129" s="730">
        <v>20</v>
      </c>
      <c r="CC129" s="730">
        <f t="shared" si="26"/>
        <v>6</v>
      </c>
    </row>
    <row r="130" spans="61:81" ht="47.1" customHeight="1">
      <c r="BI130" s="722" t="s">
        <v>337</v>
      </c>
      <c r="BJ130" s="722">
        <v>10</v>
      </c>
      <c r="BK130" s="722" t="s">
        <v>338</v>
      </c>
      <c r="BL130" s="774">
        <v>45.078000000000003</v>
      </c>
      <c r="BM130" s="775">
        <v>5.4960000000000004</v>
      </c>
      <c r="BN130" s="776">
        <f t="shared" si="27"/>
        <v>8.2019650655021827</v>
      </c>
      <c r="BO130" s="141">
        <f>IF(SUM(BM130:BM132=0),0,SUM(BL130:BL132)/SUM(BM130:BM132))</f>
        <v>6.6057367588594875</v>
      </c>
      <c r="BP130" s="777">
        <v>5.63</v>
      </c>
      <c r="BQ130" s="737"/>
      <c r="BR130" s="737"/>
      <c r="BS130" s="776">
        <f t="shared" si="28"/>
        <v>0</v>
      </c>
      <c r="BT130" s="141">
        <f>IF(SUM(BR130:BR132=0),0,SUM(BQ130:BQ132)/SUM(BR130:BR132))</f>
        <v>0</v>
      </c>
      <c r="BU130" s="777">
        <v>5.63</v>
      </c>
      <c r="BV130" s="6"/>
      <c r="BX130" s="666" t="str">
        <f t="shared" si="25"/>
        <v>Jul</v>
      </c>
      <c r="BY130" s="728">
        <f>IF(CB130=$CB133,SUMIF($BI121:$BI132,$BX130,$BR121:$BR132),SUMIF($BI121:$BI132,$BX130,$BM121:$BM132))</f>
        <v>5.4960000000000004</v>
      </c>
      <c r="BZ130" s="780">
        <f>IF(IF(CB130=CB133,SUMIF(BI121:BI132,$BX130,BU121:BU132),SUMIF(BI121:BI132,$BX130,BP121:BP132))=0,NA(),IF(CB130=CB133,SUMIF(BI121:BI132,$BX130,BU121:BU132),SUMIF(BI121:BI132,$BX130,BP121:BP132)))</f>
        <v>5.63</v>
      </c>
      <c r="CA130" s="781">
        <f>IF(IF(CB130=CB133,SUMIF(BI121:BI132,$BX130,BS121:BS132),SUMIF(BI121:BI132,$BX130,BN121:BN132))=0,NA(),IF(CB130=CB133,SUMIF(BI121:BI132,$BX130,BS121:BS132),SUMIF(BI121:BI132,$BX130,BN121:BN132)))</f>
        <v>8.2019650655021827</v>
      </c>
      <c r="CB130" s="730">
        <v>20</v>
      </c>
      <c r="CC130" s="730">
        <f t="shared" si="26"/>
        <v>7</v>
      </c>
    </row>
    <row r="131" spans="61:81" ht="47.1" customHeight="1">
      <c r="BI131" s="722" t="s">
        <v>343</v>
      </c>
      <c r="BJ131" s="722">
        <v>11</v>
      </c>
      <c r="BK131" s="722" t="s">
        <v>338</v>
      </c>
      <c r="BL131" s="774">
        <v>46.527999999999999</v>
      </c>
      <c r="BM131" s="775">
        <v>7.1109999999999998</v>
      </c>
      <c r="BN131" s="776">
        <f t="shared" si="27"/>
        <v>6.5431022359724373</v>
      </c>
      <c r="BP131" s="777">
        <v>5.63</v>
      </c>
      <c r="BQ131" s="737"/>
      <c r="BR131" s="737"/>
      <c r="BS131" s="776">
        <f t="shared" si="28"/>
        <v>0</v>
      </c>
      <c r="BU131" s="777">
        <v>5.63</v>
      </c>
      <c r="BV131" s="6"/>
      <c r="BX131" s="666" t="str">
        <f t="shared" si="25"/>
        <v>Aug</v>
      </c>
      <c r="BY131" s="728">
        <f>IF(CB131=$CB133,SUMIF($BI121:$BI132,$BX131,$BR121:$BR132),SUMIF($BI121:$BI132,$BX131,$BM121:$BM132))</f>
        <v>7.1109999999999998</v>
      </c>
      <c r="BZ131" s="780">
        <f>IF(IF(CB131=CB133,SUMIF(BI121:BI132,$BX131,BU121:BU132),SUMIF(BI121:BI132,$BX131,BP121:BP132))=0,NA(),IF(CB131=CB133,SUMIF(BI121:BI132,$BX131,BU121:BU132),SUMIF(BI121:BI132,$BX131,BP121:BP132)))</f>
        <v>5.63</v>
      </c>
      <c r="CA131" s="781">
        <f>IF(IF(CB131=CB133,SUMIF(BI121:BI132,$BX131,BS121:BS132),SUMIF(BI121:BI132,$BX131,BN121:BN132))=0,NA(),IF(CB131=CB133,SUMIF(BI121:BI132,$BX131,BS121:BS132),SUMIF(BI121:BI132,$BX131,BN121:BN132)))</f>
        <v>6.5431022359724373</v>
      </c>
      <c r="CB131" s="730">
        <v>20</v>
      </c>
      <c r="CC131" s="730">
        <f t="shared" si="26"/>
        <v>8</v>
      </c>
    </row>
    <row r="132" spans="61:81" ht="14.65" customHeight="1">
      <c r="BI132" s="722" t="s">
        <v>344</v>
      </c>
      <c r="BJ132" s="722">
        <v>12</v>
      </c>
      <c r="BK132" s="722" t="s">
        <v>338</v>
      </c>
      <c r="BL132" s="774">
        <v>62.921999999999997</v>
      </c>
      <c r="BM132" s="775">
        <v>10.786</v>
      </c>
      <c r="BN132" s="776">
        <f t="shared" si="27"/>
        <v>5.8336732801780089</v>
      </c>
      <c r="BP132" s="777">
        <v>5.63</v>
      </c>
      <c r="BQ132" s="737"/>
      <c r="BR132" s="737"/>
      <c r="BS132" s="776">
        <f t="shared" si="28"/>
        <v>0</v>
      </c>
      <c r="BU132" s="777">
        <v>5.63</v>
      </c>
      <c r="BV132" s="6"/>
      <c r="BX132" s="666" t="str">
        <f t="shared" si="25"/>
        <v>Sep</v>
      </c>
      <c r="BY132" s="728">
        <f>IF(CB132=$CB133,SUMIF($BI121:$BI132,$BX132,$BR121:$BR132),SUMIF($BI121:$BI132,$BX132,$BM121:$BM132))</f>
        <v>10.786</v>
      </c>
      <c r="BZ132" s="780">
        <f>IF(IF(CB132=CB133,SUMIF(BI121:BI132,$BX132,BU121:BU132),SUMIF(BI121:BI132,$BX132,BP121:BP132))=0,NA(),IF(CB132=CB133,SUMIF(BI121:BI132,$BX132,BU121:BU132),SUMIF(BI121:BI132,$BX132,BP121:BP132)))</f>
        <v>5.63</v>
      </c>
      <c r="CA132" s="781">
        <f>IF(IF(CB132=CB133,SUMIF(BI121:BI132,$BX132,BS121:BS132),SUMIF(BI121:BI132,$BX132,BN121:BN132))=0,NA(),IF(CB132=CB133,SUMIF(BI121:BI132,$BX132,BS121:BS132),SUMIF(BI121:BI132,$BX132,BN121:BN132)))</f>
        <v>5.8336732801780089</v>
      </c>
      <c r="CB132" s="730">
        <v>20</v>
      </c>
      <c r="CC132" s="730">
        <f>IF(CC133-1&lt;1,CC133+11,CC133-1)</f>
        <v>9</v>
      </c>
    </row>
    <row r="133" spans="61:81" ht="14.65" customHeight="1">
      <c r="BJ133" s="6"/>
      <c r="BK133" s="6"/>
      <c r="BL133" s="6"/>
      <c r="BM133" s="6"/>
      <c r="BN133" s="6"/>
      <c r="BO133" s="6"/>
      <c r="BP133" s="6"/>
      <c r="BQ133" s="6"/>
      <c r="BR133" s="6"/>
      <c r="BS133" s="6"/>
      <c r="BT133" s="6"/>
      <c r="BU133" s="6"/>
      <c r="BV133" s="6"/>
      <c r="BW133" s="667" t="str">
        <f>Cover!$M$34</f>
        <v>OCT FY-24</v>
      </c>
      <c r="BX133" s="666" t="str">
        <f>TEXT(CONCATENATE(CC133,"/01/20",CB133),"MMM")</f>
        <v>Oct</v>
      </c>
      <c r="BY133" s="728">
        <f>SUMIF($BI121:$BI132,$BX133,$BR121:$BR132)</f>
        <v>7.8609999999999998</v>
      </c>
      <c r="BZ133" s="780">
        <f>IF(IF(CB133=CB133,SUMIF(BI121:BI132,$BX133,BU121:BU132),SUMIF(BI121:BI132,$BX133,BP121:BP132))=0,NA(),IF(CB133=CB133,SUMIF(BI121:BI132,$BX133,BU121:BU132),SUMIF(BI121:BI132,$BX133,BP121:BP132)))</f>
        <v>5.63</v>
      </c>
      <c r="CA133" s="781">
        <f>IF(SUMIF($BI121:$BI132,$BX133,$BS121:$BS132)=0,NA(),SUMIF($BI121:$BI132,$BX133,$BS121:$BS132))</f>
        <v>5.5756265106220582</v>
      </c>
      <c r="CB133" s="730">
        <v>21</v>
      </c>
      <c r="CC133" s="730">
        <f>MONTH(DATEVALUE(LEFT(BW133,3)&amp;" 1"))</f>
        <v>10</v>
      </c>
    </row>
  </sheetData>
  <mergeCells count="160">
    <mergeCell ref="BL119:BP119"/>
    <mergeCell ref="BQ119:BU119"/>
    <mergeCell ref="BW119:CC119"/>
    <mergeCell ref="B43:J43"/>
    <mergeCell ref="K43:M43"/>
    <mergeCell ref="N43:P43"/>
    <mergeCell ref="Q43:S43"/>
    <mergeCell ref="T43:V43"/>
    <mergeCell ref="W43:Y43"/>
    <mergeCell ref="Z43:AB43"/>
    <mergeCell ref="AC43:BE43"/>
    <mergeCell ref="BL100:BP100"/>
    <mergeCell ref="BQ100:BU100"/>
    <mergeCell ref="BW100:CC100"/>
    <mergeCell ref="B125:L125"/>
    <mergeCell ref="W125:AF125"/>
    <mergeCell ref="W124:AF124"/>
    <mergeCell ref="AQ121:AU121"/>
    <mergeCell ref="AV121:AZ121"/>
    <mergeCell ref="BA121:BE121"/>
    <mergeCell ref="AV124:AZ124"/>
    <mergeCell ref="B124:L124"/>
    <mergeCell ref="M124:V124"/>
    <mergeCell ref="M122:V122"/>
    <mergeCell ref="AG124:AP124"/>
    <mergeCell ref="AQ124:AU124"/>
    <mergeCell ref="AJ123:AS123"/>
    <mergeCell ref="AT123:AW123"/>
    <mergeCell ref="AX123:BA123"/>
    <mergeCell ref="AG125:AP125"/>
    <mergeCell ref="AQ125:AU125"/>
    <mergeCell ref="AV125:AZ125"/>
    <mergeCell ref="BA125:BE125"/>
    <mergeCell ref="M125:V125"/>
    <mergeCell ref="AG122:AP122"/>
    <mergeCell ref="AQ122:AU122"/>
    <mergeCell ref="AV122:AZ122"/>
    <mergeCell ref="BA122:BE122"/>
    <mergeCell ref="BA124:BE124"/>
    <mergeCell ref="BB18:BE18"/>
    <mergeCell ref="AS15:AX15"/>
    <mergeCell ref="AZ15:BE15"/>
    <mergeCell ref="Q39:S39"/>
    <mergeCell ref="AU18:AX18"/>
    <mergeCell ref="BB19:BE19"/>
    <mergeCell ref="B29:AB32"/>
    <mergeCell ref="AU19:AX19"/>
    <mergeCell ref="AU23:AX23"/>
    <mergeCell ref="BB23:BE23"/>
    <mergeCell ref="AU24:AX24"/>
    <mergeCell ref="AN19:AQ19"/>
    <mergeCell ref="BB24:BE24"/>
    <mergeCell ref="AC39:BE39"/>
    <mergeCell ref="B35:J37"/>
    <mergeCell ref="Q35:S37"/>
    <mergeCell ref="T35:AB35"/>
    <mergeCell ref="AC35:BE37"/>
    <mergeCell ref="K36:M37"/>
    <mergeCell ref="T39:V39"/>
    <mergeCell ref="W39:Y39"/>
    <mergeCell ref="Z38:AB38"/>
    <mergeCell ref="N39:P39"/>
    <mergeCell ref="Z36:AB37"/>
    <mergeCell ref="B38:J38"/>
    <mergeCell ref="K38:M38"/>
    <mergeCell ref="B42:J42"/>
    <mergeCell ref="K42:M42"/>
    <mergeCell ref="N42:P42"/>
    <mergeCell ref="Q42:S42"/>
    <mergeCell ref="T42:V42"/>
    <mergeCell ref="W42:Y42"/>
    <mergeCell ref="Z42:AB42"/>
    <mergeCell ref="Q38:S38"/>
    <mergeCell ref="T38:V38"/>
    <mergeCell ref="B121:L121"/>
    <mergeCell ref="B122:L122"/>
    <mergeCell ref="B123:I123"/>
    <mergeCell ref="J123:W123"/>
    <mergeCell ref="X123:AI123"/>
    <mergeCell ref="M121:V121"/>
    <mergeCell ref="W121:AF121"/>
    <mergeCell ref="AG121:AP121"/>
    <mergeCell ref="W41:Y41"/>
    <mergeCell ref="W122:AF122"/>
    <mergeCell ref="AC42:BE42"/>
    <mergeCell ref="B115:AB118"/>
    <mergeCell ref="AE115:BE118"/>
    <mergeCell ref="BB123:BE123"/>
    <mergeCell ref="X15:AB15"/>
    <mergeCell ref="B66:AB69"/>
    <mergeCell ref="AE66:BE69"/>
    <mergeCell ref="B89:AB92"/>
    <mergeCell ref="AE89:BE92"/>
    <mergeCell ref="Q40:S40"/>
    <mergeCell ref="T40:V40"/>
    <mergeCell ref="W40:Y40"/>
    <mergeCell ref="Z40:AB40"/>
    <mergeCell ref="B39:J39"/>
    <mergeCell ref="I16:L16"/>
    <mergeCell ref="N16:Q16"/>
    <mergeCell ref="S16:V16"/>
    <mergeCell ref="B41:J41"/>
    <mergeCell ref="AC38:BE38"/>
    <mergeCell ref="Z41:AB41"/>
    <mergeCell ref="I15:V15"/>
    <mergeCell ref="B40:J40"/>
    <mergeCell ref="K40:M40"/>
    <mergeCell ref="AN23:AQ23"/>
    <mergeCell ref="AN24:AQ24"/>
    <mergeCell ref="Z39:AB39"/>
    <mergeCell ref="N40:P40"/>
    <mergeCell ref="N38:P38"/>
    <mergeCell ref="BI1:BU1"/>
    <mergeCell ref="BJ21:BU21"/>
    <mergeCell ref="BQ24:BU24"/>
    <mergeCell ref="BJ23:BU23"/>
    <mergeCell ref="B2:BE2"/>
    <mergeCell ref="B3:BE3"/>
    <mergeCell ref="AN22:AQ22"/>
    <mergeCell ref="AU22:AX22"/>
    <mergeCell ref="BB22:BE22"/>
    <mergeCell ref="AN17:AQ17"/>
    <mergeCell ref="AU17:AX17"/>
    <mergeCell ref="AE8:BE11"/>
    <mergeCell ref="H4:J4"/>
    <mergeCell ref="B5:AR5"/>
    <mergeCell ref="BB17:BE17"/>
    <mergeCell ref="BJ22:BU22"/>
    <mergeCell ref="BL24:BP24"/>
    <mergeCell ref="B8:AB11"/>
    <mergeCell ref="V14:W14"/>
    <mergeCell ref="B15:G15"/>
    <mergeCell ref="AE15:AJ15"/>
    <mergeCell ref="AL15:AO15"/>
    <mergeCell ref="AP15:AQ15"/>
    <mergeCell ref="AN18:AQ18"/>
    <mergeCell ref="BW24:CC24"/>
    <mergeCell ref="AE29:BE32"/>
    <mergeCell ref="K35:P35"/>
    <mergeCell ref="K41:M41"/>
    <mergeCell ref="K39:M39"/>
    <mergeCell ref="BW43:CC43"/>
    <mergeCell ref="BW62:CC62"/>
    <mergeCell ref="BW81:CC81"/>
    <mergeCell ref="W38:Y38"/>
    <mergeCell ref="N36:P37"/>
    <mergeCell ref="T36:V37"/>
    <mergeCell ref="BJ40:BU40"/>
    <mergeCell ref="BL43:BP43"/>
    <mergeCell ref="BQ43:BU43"/>
    <mergeCell ref="BL62:BP62"/>
    <mergeCell ref="BQ62:BU62"/>
    <mergeCell ref="W36:Y37"/>
    <mergeCell ref="N41:P41"/>
    <mergeCell ref="Q41:S41"/>
    <mergeCell ref="T41:V41"/>
    <mergeCell ref="BL81:BP81"/>
    <mergeCell ref="BQ81:BU81"/>
    <mergeCell ref="AC40:BE40"/>
    <mergeCell ref="AC41:BE41"/>
  </mergeCells>
  <conditionalFormatting sqref="K39">
    <cfRule type="cellIs" dxfId="1132" priority="1070" stopIfTrue="1" operator="greaterThan">
      <formula>$Q39*1.1</formula>
    </cfRule>
    <cfRule type="cellIs" dxfId="1131" priority="1071" operator="greaterThan">
      <formula>$Q39</formula>
    </cfRule>
    <cfRule type="cellIs" dxfId="1130" priority="1072" operator="lessThanOrEqual">
      <formula>$Q39</formula>
    </cfRule>
  </conditionalFormatting>
  <conditionalFormatting sqref="T39 W39">
    <cfRule type="cellIs" dxfId="1129" priority="1055" stopIfTrue="1" operator="greaterThan">
      <formula>$Q39*1.1</formula>
    </cfRule>
    <cfRule type="cellIs" dxfId="1128" priority="1056" operator="greaterThan">
      <formula>$Q39</formula>
    </cfRule>
    <cfRule type="cellIs" dxfId="1127" priority="1057" operator="lessThanOrEqual">
      <formula>$Q39</formula>
    </cfRule>
  </conditionalFormatting>
  <conditionalFormatting sqref="Z39">
    <cfRule type="cellIs" dxfId="1126" priority="1043" stopIfTrue="1" operator="greaterThan">
      <formula>$Q39*1.1</formula>
    </cfRule>
    <cfRule type="cellIs" dxfId="1125" priority="1044" operator="greaterThan">
      <formula>$Q39</formula>
    </cfRule>
    <cfRule type="cellIs" dxfId="1124" priority="1045" operator="lessThanOrEqual">
      <formula>$Q39</formula>
    </cfRule>
  </conditionalFormatting>
  <conditionalFormatting sqref="K38">
    <cfRule type="cellIs" dxfId="1123" priority="1040" operator="greaterThanOrEqual">
      <formula>$Q38</formula>
    </cfRule>
    <cfRule type="cellIs" dxfId="1122" priority="1041" operator="lessThan">
      <formula>$Q38*0.9</formula>
    </cfRule>
    <cfRule type="cellIs" dxfId="1121" priority="1042" operator="lessThan">
      <formula>$Q38</formula>
    </cfRule>
  </conditionalFormatting>
  <conditionalFormatting sqref="T38 W38 Z38">
    <cfRule type="cellIs" dxfId="1120" priority="1037" operator="greaterThanOrEqual">
      <formula>$Q38</formula>
    </cfRule>
    <cfRule type="cellIs" dxfId="1119" priority="1038" operator="lessThan">
      <formula>$Q38*0.9</formula>
    </cfRule>
    <cfRule type="cellIs" dxfId="1118" priority="1039" operator="lessThan">
      <formula>$Q38</formula>
    </cfRule>
  </conditionalFormatting>
  <conditionalFormatting sqref="K40:K41">
    <cfRule type="cellIs" dxfId="1117" priority="1034" stopIfTrue="1" operator="greaterThan">
      <formula>$Q40*1.1</formula>
    </cfRule>
    <cfRule type="cellIs" dxfId="1116" priority="1035" operator="greaterThan">
      <formula>$Q40</formula>
    </cfRule>
    <cfRule type="cellIs" dxfId="1115" priority="1036" operator="lessThanOrEqual">
      <formula>$Q40</formula>
    </cfRule>
  </conditionalFormatting>
  <conditionalFormatting sqref="T40:T41 W40:W41">
    <cfRule type="cellIs" dxfId="1114" priority="1031" stopIfTrue="1" operator="greaterThan">
      <formula>$Q40*1.1</formula>
    </cfRule>
    <cfRule type="cellIs" dxfId="1113" priority="1032" operator="greaterThan">
      <formula>$Q40</formula>
    </cfRule>
    <cfRule type="cellIs" dxfId="1112" priority="1033" operator="lessThanOrEqual">
      <formula>$Q40</formula>
    </cfRule>
  </conditionalFormatting>
  <conditionalFormatting sqref="Z40:Z41">
    <cfRule type="cellIs" dxfId="1111" priority="1028" stopIfTrue="1" operator="greaterThan">
      <formula>$Q40*1.1</formula>
    </cfRule>
    <cfRule type="cellIs" dxfId="1110" priority="1029" operator="greaterThan">
      <formula>$Q40</formula>
    </cfRule>
    <cfRule type="cellIs" dxfId="1109" priority="1030" operator="lessThanOrEqual">
      <formula>$Q40</formula>
    </cfRule>
  </conditionalFormatting>
  <conditionalFormatting sqref="A1:BH6 BF35:BG38 BV15 B33:BE34 B35:J37 BF30:BH34 AC35:BE37 A67:A84 B70:BE87 A20:D24 A25 B44:BE64 A30:A61 B38:AB41 B25:D28 U26:AB27 AY25:BA27 AR25:AT27 AK25:AM27 F25:F27 H27:L27 H25 J25:L25 B123:BE123 B126:BE1048576 BV92:BV95 BJ95:BU95 A90:A92 B95:BE112 B119:BE120 AC113:BE113 AC114:AD118 BW134:CC1048576 BF39:BH41 A97:A1048576 BF44:BH1048576 BF42:BG43 B124:AU124 U25:W25">
    <cfRule type="cellIs" dxfId="1108" priority="1018" operator="equal">
      <formula>"XXX"</formula>
    </cfRule>
  </conditionalFormatting>
  <conditionalFormatting sqref="A62:A66 AD65">
    <cfRule type="cellIs" dxfId="1107" priority="1004" operator="equal">
      <formula>"XXX"</formula>
    </cfRule>
  </conditionalFormatting>
  <conditionalFormatting sqref="F65:AB65 B65:D65">
    <cfRule type="cellIs" dxfId="1106" priority="1003" operator="equal">
      <formula>"XXX"</formula>
    </cfRule>
  </conditionalFormatting>
  <conditionalFormatting sqref="A7:BH7 A15:A19 AC15:AD15 A26:A29 F28:AD28 BF17:BH29 AC17:AD19 BF15:BH15 U24:W24 A8:A11 BF8:BH11 A12:BH14 AC16:AG16 AI16:BH16 AJ17 AI22 F24 H20:H24 J24:L24 AC20:AH20">
    <cfRule type="cellIs" dxfId="1105" priority="1015" operator="equal">
      <formula>"XXX"</formula>
    </cfRule>
  </conditionalFormatting>
  <conditionalFormatting sqref="AE28:AG28 AI28:BE28 AY22:BA24 AR22:AT24 AK22:AM24">
    <cfRule type="cellIs" dxfId="1104" priority="1014" operator="equal">
      <formula>"XXX"</formula>
    </cfRule>
  </conditionalFormatting>
  <conditionalFormatting sqref="AJ22">
    <cfRule type="cellIs" dxfId="1103" priority="1006" operator="equal">
      <formula>"XXX"</formula>
    </cfRule>
  </conditionalFormatting>
  <conditionalFormatting sqref="BB17:BE18 BB22:BE22 BB23">
    <cfRule type="cellIs" dxfId="1102" priority="1005" operator="lessThan">
      <formula>0</formula>
    </cfRule>
  </conditionalFormatting>
  <conditionalFormatting sqref="AI65:BE65 AE65:AG65">
    <cfRule type="cellIs" dxfId="1101" priority="1001" operator="equal">
      <formula>"XXX"</formula>
    </cfRule>
  </conditionalFormatting>
  <conditionalFormatting sqref="A85:A89 AD88">
    <cfRule type="cellIs" dxfId="1100" priority="999" operator="equal">
      <formula>"XXX"</formula>
    </cfRule>
  </conditionalFormatting>
  <conditionalFormatting sqref="F88:AB88 B88:D88">
    <cfRule type="cellIs" dxfId="1099" priority="998" operator="equal">
      <formula>"XXX"</formula>
    </cfRule>
  </conditionalFormatting>
  <conditionalFormatting sqref="AI88:BE88 AE88:AG88">
    <cfRule type="cellIs" dxfId="1098" priority="996" operator="equal">
      <formula>"XXX"</formula>
    </cfRule>
  </conditionalFormatting>
  <conditionalFormatting sqref="N39">
    <cfRule type="cellIs" dxfId="1097" priority="992" stopIfTrue="1" operator="greaterThan">
      <formula>$Q39*1.1</formula>
    </cfRule>
    <cfRule type="cellIs" dxfId="1096" priority="993" operator="greaterThan">
      <formula>$Q39</formula>
    </cfRule>
    <cfRule type="cellIs" dxfId="1095" priority="994" operator="lessThanOrEqual">
      <formula>$Q39</formula>
    </cfRule>
  </conditionalFormatting>
  <conditionalFormatting sqref="N38">
    <cfRule type="cellIs" dxfId="1094" priority="989" operator="greaterThanOrEqual">
      <formula>$Q38</formula>
    </cfRule>
    <cfRule type="cellIs" dxfId="1093" priority="990" operator="lessThan">
      <formula>$Q38*0.9</formula>
    </cfRule>
    <cfRule type="cellIs" dxfId="1092" priority="991" operator="lessThan">
      <formula>$Q38</formula>
    </cfRule>
  </conditionalFormatting>
  <conditionalFormatting sqref="N40:N41">
    <cfRule type="cellIs" dxfId="1091" priority="986" stopIfTrue="1" operator="greaterThan">
      <formula>$Q40*1.1</formula>
    </cfRule>
    <cfRule type="cellIs" dxfId="1090" priority="987" operator="greaterThan">
      <formula>$Q40</formula>
    </cfRule>
    <cfRule type="cellIs" dxfId="1089" priority="988" operator="lessThanOrEqual">
      <formula>$Q40</formula>
    </cfRule>
  </conditionalFormatting>
  <conditionalFormatting sqref="N39">
    <cfRule type="cellIs" dxfId="1088" priority="927" stopIfTrue="1" operator="greaterThan">
      <formula>$Q39*1.1</formula>
    </cfRule>
    <cfRule type="cellIs" dxfId="1087" priority="928" operator="greaterThan">
      <formula>$Q39</formula>
    </cfRule>
    <cfRule type="cellIs" dxfId="1086" priority="929" operator="lessThanOrEqual">
      <formula>$Q39</formula>
    </cfRule>
  </conditionalFormatting>
  <conditionalFormatting sqref="N38">
    <cfRule type="cellIs" dxfId="1085" priority="924" operator="greaterThanOrEqual">
      <formula>$Q38</formula>
    </cfRule>
    <cfRule type="cellIs" dxfId="1084" priority="925" operator="lessThan">
      <formula>$Q38*0.9</formula>
    </cfRule>
    <cfRule type="cellIs" dxfId="1083" priority="926" operator="lessThan">
      <formula>$Q38</formula>
    </cfRule>
  </conditionalFormatting>
  <conditionalFormatting sqref="N40:N41">
    <cfRule type="cellIs" dxfId="1082" priority="921" stopIfTrue="1" operator="greaterThan">
      <formula>$Q40*1.1</formula>
    </cfRule>
    <cfRule type="cellIs" dxfId="1081" priority="922" operator="greaterThan">
      <formula>$Q40</formula>
    </cfRule>
    <cfRule type="cellIs" dxfId="1080" priority="923" operator="lessThanOrEqual">
      <formula>$Q40</formula>
    </cfRule>
  </conditionalFormatting>
  <conditionalFormatting sqref="AU17:AX18 AU22:AX23">
    <cfRule type="cellIs" dxfId="1079" priority="899" operator="lessThan">
      <formula>0</formula>
    </cfRule>
  </conditionalFormatting>
  <conditionalFormatting sqref="M122:AU122 M125:AU125 B121:AU121">
    <cfRule type="cellIs" dxfId="1078" priority="733" operator="equal">
      <formula>"XXX"</formula>
    </cfRule>
  </conditionalFormatting>
  <conditionalFormatting sqref="B122:L122">
    <cfRule type="cellIs" dxfId="1077" priority="732" operator="equal">
      <formula>"XXX"</formula>
    </cfRule>
  </conditionalFormatting>
  <conditionalFormatting sqref="B125:L125">
    <cfRule type="cellIs" dxfId="1076" priority="731" operator="equal">
      <formula>"XXX"</formula>
    </cfRule>
  </conditionalFormatting>
  <conditionalFormatting sqref="BH38">
    <cfRule type="cellIs" dxfId="1075" priority="728" operator="equal">
      <formula>"XXX"</formula>
    </cfRule>
  </conditionalFormatting>
  <conditionalFormatting sqref="BH39">
    <cfRule type="cellIs" dxfId="1074" priority="727" operator="equal">
      <formula>"XXX"</formula>
    </cfRule>
  </conditionalFormatting>
  <conditionalFormatting sqref="BH40">
    <cfRule type="cellIs" dxfId="1073" priority="726" operator="equal">
      <formula>"XXX"</formula>
    </cfRule>
  </conditionalFormatting>
  <conditionalFormatting sqref="BH41">
    <cfRule type="cellIs" dxfId="1072" priority="725" operator="equal">
      <formula>"XXX"</formula>
    </cfRule>
  </conditionalFormatting>
  <conditionalFormatting sqref="BW1:BX3 BY1:CC23 BW17:BX23 BW77:CC80 BX15:BX16">
    <cfRule type="cellIs" dxfId="1071" priority="693" operator="equal">
      <formula>"XXX"</formula>
    </cfRule>
  </conditionalFormatting>
  <conditionalFormatting sqref="BW40:BX42 BW59:BW61 BY39:CC42 BX58:CC61">
    <cfRule type="cellIs" dxfId="1070" priority="692" operator="equal">
      <formula>"XXX"</formula>
    </cfRule>
  </conditionalFormatting>
  <conditionalFormatting sqref="BW26:BX38">
    <cfRule type="cellIs" dxfId="1069" priority="691" operator="equal">
      <formula>"XXX"</formula>
    </cfRule>
  </conditionalFormatting>
  <conditionalFormatting sqref="BW45:BX57">
    <cfRule type="cellIs" dxfId="1068" priority="687" operator="equal">
      <formula>"XXX"</formula>
    </cfRule>
  </conditionalFormatting>
  <conditionalFormatting sqref="BW64:BX76">
    <cfRule type="cellIs" dxfId="1067" priority="684" operator="equal">
      <formula>"XXX"</formula>
    </cfRule>
  </conditionalFormatting>
  <conditionalFormatting sqref="BW83:BX95">
    <cfRule type="cellIs" dxfId="1066" priority="677" operator="equal">
      <formula>"XXX"</formula>
    </cfRule>
  </conditionalFormatting>
  <conditionalFormatting sqref="I24">
    <cfRule type="cellIs" dxfId="1065" priority="648" operator="equal">
      <formula>"XXX"</formula>
    </cfRule>
  </conditionalFormatting>
  <conditionalFormatting sqref="I24 I27">
    <cfRule type="cellIs" dxfId="1064" priority="647" operator="equal">
      <formula>$A$1</formula>
    </cfRule>
  </conditionalFormatting>
  <conditionalFormatting sqref="AD89:AD92">
    <cfRule type="cellIs" dxfId="1063" priority="525" operator="equal">
      <formula>"XXX"</formula>
    </cfRule>
  </conditionalFormatting>
  <conditionalFormatting sqref="B89">
    <cfRule type="cellIs" dxfId="1062" priority="338" operator="equal">
      <formula>"XXX"</formula>
    </cfRule>
  </conditionalFormatting>
  <conditionalFormatting sqref="AE89">
    <cfRule type="cellIs" dxfId="1061" priority="337" operator="equal">
      <formula>"XXX"</formula>
    </cfRule>
  </conditionalFormatting>
  <conditionalFormatting sqref="BR27:BR34">
    <cfRule type="expression" dxfId="1060" priority="278">
      <formula>(AND($BJ27=$BX$5,LEN($BQ27)=0))</formula>
    </cfRule>
  </conditionalFormatting>
  <conditionalFormatting sqref="BR27:BS34">
    <cfRule type="expression" dxfId="1059" priority="277">
      <formula>(AND($BJ27=$BX$5,LEN($BR27)=0))</formula>
    </cfRule>
  </conditionalFormatting>
  <conditionalFormatting sqref="BR46:BR50">
    <cfRule type="expression" dxfId="1058" priority="276">
      <formula>(AND($BJ46=$BX$5,LEN($BQ46)=0))</formula>
    </cfRule>
  </conditionalFormatting>
  <conditionalFormatting sqref="BS46:BS53">
    <cfRule type="expression" dxfId="1057" priority="275">
      <formula>(AND($BJ46=$BX$5,LEN($BR46)=0))</formula>
    </cfRule>
  </conditionalFormatting>
  <conditionalFormatting sqref="BR65:BR69 BR71:BR72">
    <cfRule type="expression" dxfId="1056" priority="274">
      <formula>(AND($BJ65=$BX$5,LEN($BQ65)=0))</formula>
    </cfRule>
  </conditionalFormatting>
  <conditionalFormatting sqref="BR65:BS69 BR71:BS72 BS70">
    <cfRule type="expression" dxfId="1055" priority="273">
      <formula>(AND($BJ65=$BX$5,LEN($BR65)=0))</formula>
    </cfRule>
  </conditionalFormatting>
  <conditionalFormatting sqref="BR84:BR88">
    <cfRule type="expression" dxfId="1054" priority="272">
      <formula>(AND($BJ84=$BX$5,LEN($BQ84)=0))</formula>
    </cfRule>
  </conditionalFormatting>
  <conditionalFormatting sqref="BR84:BS88 BS89:BS91">
    <cfRule type="expression" dxfId="1053" priority="271">
      <formula>(AND($BJ84=$BX$5,LEN($BR84)=0))</formula>
    </cfRule>
  </conditionalFormatting>
  <conditionalFormatting sqref="BJ16:BV16">
    <cfRule type="expression" dxfId="1052" priority="269">
      <formula>(AND(BJ$5=$BX$5,LEN(BJ$16)=0))</formula>
    </cfRule>
  </conditionalFormatting>
  <conditionalFormatting sqref="BJ16">
    <cfRule type="expression" dxfId="1051" priority="270">
      <formula>(AND(BJ$5=$BX$5,LEN(BJ$16)=0))</formula>
    </cfRule>
  </conditionalFormatting>
  <conditionalFormatting sqref="G24">
    <cfRule type="cellIs" dxfId="1050" priority="264" operator="equal">
      <formula>"XXX"</formula>
    </cfRule>
  </conditionalFormatting>
  <conditionalFormatting sqref="G27">
    <cfRule type="cellIs" dxfId="1049" priority="263" operator="equal">
      <formula>"XXX"</formula>
    </cfRule>
  </conditionalFormatting>
  <conditionalFormatting sqref="F22">
    <cfRule type="cellIs" dxfId="1048" priority="262" operator="equal">
      <formula>"XXX"</formula>
    </cfRule>
  </conditionalFormatting>
  <conditionalFormatting sqref="G22:G23">
    <cfRule type="cellIs" dxfId="1047" priority="261" operator="equal">
      <formula>"XXX"</formula>
    </cfRule>
  </conditionalFormatting>
  <conditionalFormatting sqref="G22:G23">
    <cfRule type="cellIs" dxfId="1046" priority="260" operator="notEqual">
      <formula>0</formula>
    </cfRule>
  </conditionalFormatting>
  <conditionalFormatting sqref="G25">
    <cfRule type="cellIs" dxfId="1045" priority="259" operator="equal">
      <formula>"XXX"</formula>
    </cfRule>
  </conditionalFormatting>
  <conditionalFormatting sqref="G25">
    <cfRule type="cellIs" dxfId="1044" priority="258" operator="notEqual">
      <formula>0</formula>
    </cfRule>
  </conditionalFormatting>
  <conditionalFormatting sqref="I25">
    <cfRule type="cellIs" dxfId="1043" priority="252" operator="equal">
      <formula>$A$1</formula>
    </cfRule>
  </conditionalFormatting>
  <conditionalFormatting sqref="BR90:BR91">
    <cfRule type="expression" dxfId="1042" priority="251">
      <formula>(AND($BJ90=$BX$5,LEN($BQ90)=0))</formula>
    </cfRule>
  </conditionalFormatting>
  <conditionalFormatting sqref="BR90:BR91">
    <cfRule type="expression" dxfId="1041" priority="250">
      <formula>(AND($BJ90=$BX$5,LEN($BR90)=0))</formula>
    </cfRule>
  </conditionalFormatting>
  <conditionalFormatting sqref="BV111:BV114 BJ114:BU114">
    <cfRule type="cellIs" dxfId="1040" priority="247" operator="equal">
      <formula>"XXX"</formula>
    </cfRule>
  </conditionalFormatting>
  <conditionalFormatting sqref="BW96:CC99">
    <cfRule type="cellIs" dxfId="1039" priority="246" operator="equal">
      <formula>"XXX"</formula>
    </cfRule>
  </conditionalFormatting>
  <conditionalFormatting sqref="BW102:BX114">
    <cfRule type="cellIs" dxfId="1038" priority="245" operator="equal">
      <formula>"XXX"</formula>
    </cfRule>
  </conditionalFormatting>
  <conditionalFormatting sqref="BR103:BR107">
    <cfRule type="expression" dxfId="1037" priority="244">
      <formula>(AND($BJ103=$BX$5,LEN($BQ103)=0))</formula>
    </cfRule>
  </conditionalFormatting>
  <conditionalFormatting sqref="BR103:BS107 BS108:BS110">
    <cfRule type="expression" dxfId="1036" priority="243">
      <formula>(AND($BJ103=$BX$5,LEN($BR103)=0))</formula>
    </cfRule>
  </conditionalFormatting>
  <conditionalFormatting sqref="BR109:BR110">
    <cfRule type="expression" dxfId="1035" priority="242">
      <formula>(AND($BJ109=$BX$5,LEN($BQ109)=0))</formula>
    </cfRule>
  </conditionalFormatting>
  <conditionalFormatting sqref="BR109:BR110">
    <cfRule type="expression" dxfId="1034" priority="241">
      <formula>(AND($BJ109=$BX$5,LEN($BR109)=0))</formula>
    </cfRule>
  </conditionalFormatting>
  <conditionalFormatting sqref="K42">
    <cfRule type="cellIs" dxfId="1033" priority="236" operator="greaterThanOrEqual">
      <formula>$Q42</formula>
    </cfRule>
    <cfRule type="cellIs" dxfId="1032" priority="237" operator="lessThan">
      <formula>$Q42*0.9</formula>
    </cfRule>
    <cfRule type="cellIs" dxfId="1031" priority="238" operator="lessThan">
      <formula>$Q42</formula>
    </cfRule>
  </conditionalFormatting>
  <conditionalFormatting sqref="T42 Z42 W42">
    <cfRule type="cellIs" dxfId="1030" priority="233" operator="greaterThanOrEqual">
      <formula>$Q42-0.005</formula>
    </cfRule>
    <cfRule type="cellIs" dxfId="1029" priority="234" operator="lessThan">
      <formula>$Q42*0.9</formula>
    </cfRule>
    <cfRule type="cellIs" dxfId="1028" priority="235" operator="lessThan">
      <formula>$Q42-0.005</formula>
    </cfRule>
  </conditionalFormatting>
  <conditionalFormatting sqref="K42:P42 T42:AB42">
    <cfRule type="cellIs" dxfId="1027" priority="232" operator="equal">
      <formula>"XXX"</formula>
    </cfRule>
  </conditionalFormatting>
  <conditionalFormatting sqref="N42">
    <cfRule type="cellIs" dxfId="1026" priority="229" operator="greaterThanOrEqual">
      <formula>$Q42</formula>
    </cfRule>
    <cfRule type="cellIs" dxfId="1025" priority="230" operator="lessThan">
      <formula>$Q42*0.9</formula>
    </cfRule>
    <cfRule type="cellIs" dxfId="1024" priority="231" operator="lessThan">
      <formula>$Q42</formula>
    </cfRule>
  </conditionalFormatting>
  <conditionalFormatting sqref="N42">
    <cfRule type="cellIs" dxfId="1023" priority="226" operator="greaterThanOrEqual">
      <formula>$Q42</formula>
    </cfRule>
    <cfRule type="cellIs" dxfId="1022" priority="227" operator="lessThan">
      <formula>$Q42*0.9</formula>
    </cfRule>
    <cfRule type="cellIs" dxfId="1021" priority="228" operator="lessThan">
      <formula>$Q42</formula>
    </cfRule>
  </conditionalFormatting>
  <conditionalFormatting sqref="T42">
    <cfRule type="cellIs" dxfId="1020" priority="225" operator="greaterThanOrEqual">
      <formula>$Q$41*-1.9</formula>
    </cfRule>
  </conditionalFormatting>
  <conditionalFormatting sqref="T42">
    <cfRule type="cellIs" dxfId="1019" priority="222" operator="greaterThanOrEqual">
      <formula>$Q42</formula>
    </cfRule>
    <cfRule type="cellIs" dxfId="1018" priority="223" operator="lessThan">
      <formula>$Q42*0.9</formula>
    </cfRule>
    <cfRule type="cellIs" dxfId="1017" priority="224" operator="lessThan">
      <formula>$Q42</formula>
    </cfRule>
  </conditionalFormatting>
  <conditionalFormatting sqref="W42">
    <cfRule type="cellIs" dxfId="1016" priority="221" operator="greaterThanOrEqual">
      <formula>$Q$41*-1.9</formula>
    </cfRule>
  </conditionalFormatting>
  <conditionalFormatting sqref="W42">
    <cfRule type="cellIs" dxfId="1015" priority="218" operator="greaterThanOrEqual">
      <formula>$Q42</formula>
    </cfRule>
    <cfRule type="cellIs" dxfId="1014" priority="219" operator="lessThan">
      <formula>$Q42*1</formula>
    </cfRule>
    <cfRule type="cellIs" dxfId="1013" priority="220" operator="lessThan">
      <formula>$Q42</formula>
    </cfRule>
  </conditionalFormatting>
  <conditionalFormatting sqref="W42">
    <cfRule type="cellIs" dxfId="1012" priority="217" operator="greaterThanOrEqual">
      <formula>$Q$41*-1.9</formula>
    </cfRule>
  </conditionalFormatting>
  <conditionalFormatting sqref="W42">
    <cfRule type="cellIs" dxfId="1011" priority="214" operator="greaterThanOrEqual">
      <formula>$Q42</formula>
    </cfRule>
    <cfRule type="cellIs" dxfId="1010" priority="215" operator="lessThan">
      <formula>$Q42*0.9</formula>
    </cfRule>
    <cfRule type="cellIs" dxfId="1009" priority="216" operator="lessThan">
      <formula>$Q42</formula>
    </cfRule>
  </conditionalFormatting>
  <conditionalFormatting sqref="B93:BE94 A93:A96">
    <cfRule type="cellIs" dxfId="1008" priority="213" operator="equal">
      <formula>"XXX"</formula>
    </cfRule>
  </conditionalFormatting>
  <conditionalFormatting sqref="B113:AB113">
    <cfRule type="cellIs" dxfId="1007" priority="211" operator="equal">
      <formula>"XXX"</formula>
    </cfRule>
  </conditionalFormatting>
  <conditionalFormatting sqref="F114:AB114 B114:D114">
    <cfRule type="cellIs" dxfId="1006" priority="210" operator="equal">
      <formula>"XXX"</formula>
    </cfRule>
  </conditionalFormatting>
  <conditionalFormatting sqref="AI114:BE114 AE114:AG114">
    <cfRule type="cellIs" dxfId="1005" priority="208" operator="equal">
      <formula>"XXX"</formula>
    </cfRule>
  </conditionalFormatting>
  <conditionalFormatting sqref="AE115">
    <cfRule type="cellIs" dxfId="1004" priority="207" operator="equal">
      <formula>"XXX"</formula>
    </cfRule>
  </conditionalFormatting>
  <conditionalFormatting sqref="B42:J42">
    <cfRule type="cellIs" dxfId="1003" priority="206" operator="equal">
      <formula>"XXX"</formula>
    </cfRule>
  </conditionalFormatting>
  <conditionalFormatting sqref="Q42:S42">
    <cfRule type="cellIs" dxfId="1002" priority="205" operator="equal">
      <formula>"XXX"</formula>
    </cfRule>
  </conditionalFormatting>
  <conditionalFormatting sqref="BH42">
    <cfRule type="cellIs" dxfId="1001" priority="203" operator="equal">
      <formula>"XXX"</formula>
    </cfRule>
  </conditionalFormatting>
  <conditionalFormatting sqref="BV130:BV133 BJ133:BU133">
    <cfRule type="cellIs" dxfId="1000" priority="202" operator="equal">
      <formula>"XXX"</formula>
    </cfRule>
  </conditionalFormatting>
  <conditionalFormatting sqref="BW115:CC118">
    <cfRule type="cellIs" dxfId="999" priority="201" operator="equal">
      <formula>"XXX"</formula>
    </cfRule>
  </conditionalFormatting>
  <conditionalFormatting sqref="BW121:BX133">
    <cfRule type="cellIs" dxfId="998" priority="200" operator="equal">
      <formula>"XXX"</formula>
    </cfRule>
  </conditionalFormatting>
  <conditionalFormatting sqref="BQ125:BQ129">
    <cfRule type="expression" dxfId="997" priority="195">
      <formula>(AND($BJ125=$BX$5,LEN($BQ125)=0))</formula>
    </cfRule>
  </conditionalFormatting>
  <conditionalFormatting sqref="BR128:BR129">
    <cfRule type="expression" dxfId="996" priority="193">
      <formula>(AND($BJ128=$BX$5,LEN($BQ128)=0))</formula>
    </cfRule>
  </conditionalFormatting>
  <conditionalFormatting sqref="BR128:BR129">
    <cfRule type="expression" dxfId="995" priority="192">
      <formula>(AND($BJ128=$BX$5,LEN($BR128)=0))</formula>
    </cfRule>
  </conditionalFormatting>
  <conditionalFormatting sqref="K43">
    <cfRule type="cellIs" dxfId="994" priority="189" stopIfTrue="1" operator="greaterThanOrEqual">
      <formula>$Q43*1.1</formula>
    </cfRule>
    <cfRule type="cellIs" dxfId="993" priority="190" operator="lessThan">
      <formula>$Q43</formula>
    </cfRule>
    <cfRule type="cellIs" dxfId="992" priority="191" operator="greaterThanOrEqual">
      <formula>$Q43</formula>
    </cfRule>
  </conditionalFormatting>
  <conditionalFormatting sqref="T43 W43">
    <cfRule type="cellIs" dxfId="991" priority="186" stopIfTrue="1" operator="greaterThan">
      <formula>$Q43*1.1</formula>
    </cfRule>
    <cfRule type="cellIs" dxfId="990" priority="187" operator="greaterThan">
      <formula>$Q43</formula>
    </cfRule>
    <cfRule type="cellIs" dxfId="989" priority="188" operator="lessThanOrEqual">
      <formula>$Q43</formula>
    </cfRule>
  </conditionalFormatting>
  <conditionalFormatting sqref="Z43">
    <cfRule type="cellIs" dxfId="988" priority="183" stopIfTrue="1" operator="greaterThan">
      <formula>$Q43*1.1</formula>
    </cfRule>
    <cfRule type="cellIs" dxfId="987" priority="184" operator="greaterThan">
      <formula>$Q43</formula>
    </cfRule>
    <cfRule type="cellIs" dxfId="986" priority="185" operator="lessThanOrEqual">
      <formula>$Q43</formula>
    </cfRule>
  </conditionalFormatting>
  <conditionalFormatting sqref="K43:P43 T43:AB43">
    <cfRule type="expression" dxfId="985" priority="154" stopIfTrue="1">
      <formula>$Q$42=0</formula>
    </cfRule>
    <cfRule type="cellIs" dxfId="984" priority="182" operator="equal">
      <formula>"XXX"</formula>
    </cfRule>
  </conditionalFormatting>
  <conditionalFormatting sqref="N43">
    <cfRule type="cellIs" dxfId="983" priority="179" stopIfTrue="1" operator="greaterThan">
      <formula>$Q43*1.1</formula>
    </cfRule>
    <cfRule type="cellIs" dxfId="982" priority="180" operator="greaterThan">
      <formula>$Q43</formula>
    </cfRule>
    <cfRule type="cellIs" dxfId="981" priority="181" operator="lessThanOrEqual">
      <formula>$Q43</formula>
    </cfRule>
  </conditionalFormatting>
  <conditionalFormatting sqref="N43">
    <cfRule type="cellIs" dxfId="980" priority="176" stopIfTrue="1" operator="greaterThan">
      <formula>$Q43*1.1</formula>
    </cfRule>
    <cfRule type="cellIs" dxfId="979" priority="177" operator="greaterThan">
      <formula>$Q43</formula>
    </cfRule>
    <cfRule type="cellIs" dxfId="978" priority="178" operator="lessThanOrEqual">
      <formula>$Q43</formula>
    </cfRule>
  </conditionalFormatting>
  <conditionalFormatting sqref="T43 W43 Z43">
    <cfRule type="cellIs" dxfId="977" priority="170" stopIfTrue="1" operator="lessThan">
      <formula>$Q43*1.1</formula>
    </cfRule>
    <cfRule type="cellIs" dxfId="976" priority="171" operator="lessThan">
      <formula>$Q43</formula>
    </cfRule>
    <cfRule type="cellIs" dxfId="975" priority="172" operator="greaterThanOrEqual">
      <formula>$Q43</formula>
    </cfRule>
  </conditionalFormatting>
  <conditionalFormatting sqref="N43">
    <cfRule type="cellIs" dxfId="974" priority="173" stopIfTrue="1" operator="greaterThan">
      <formula>$Q43*1.1</formula>
    </cfRule>
    <cfRule type="cellIs" dxfId="973" priority="174" operator="lessThan">
      <formula>$Q43</formula>
    </cfRule>
    <cfRule type="cellIs" dxfId="972" priority="175" operator="greaterThanOrEqual">
      <formula>$Q43</formula>
    </cfRule>
  </conditionalFormatting>
  <conditionalFormatting sqref="K43">
    <cfRule type="cellIs" dxfId="971" priority="167" operator="lessThanOrEqual">
      <formula>$Q43</formula>
    </cfRule>
    <cfRule type="cellIs" dxfId="970" priority="168" operator="greaterThan">
      <formula>$Q43*0.9</formula>
    </cfRule>
    <cfRule type="cellIs" dxfId="969" priority="169" operator="greaterThan">
      <formula>$Q43</formula>
    </cfRule>
  </conditionalFormatting>
  <conditionalFormatting sqref="W43 Z43">
    <cfRule type="cellIs" dxfId="968" priority="164" operator="lessThanOrEqual">
      <formula>$Q43</formula>
    </cfRule>
    <cfRule type="cellIs" dxfId="967" priority="165" operator="greaterThan">
      <formula>$Q43*0.9</formula>
    </cfRule>
    <cfRule type="cellIs" dxfId="966" priority="166" operator="greaterThan">
      <formula>$Q43</formula>
    </cfRule>
  </conditionalFormatting>
  <conditionalFormatting sqref="T43">
    <cfRule type="cellIs" dxfId="965" priority="161" operator="lessThanOrEqual">
      <formula>$Q43</formula>
    </cfRule>
    <cfRule type="cellIs" dxfId="964" priority="162" operator="greaterThan">
      <formula>$Q43*0.9</formula>
    </cfRule>
    <cfRule type="cellIs" dxfId="963" priority="163" operator="greaterThan">
      <formula>$Q43</formula>
    </cfRule>
  </conditionalFormatting>
  <conditionalFormatting sqref="N43">
    <cfRule type="cellIs" dxfId="962" priority="158" operator="lessThanOrEqual">
      <formula>$Q43</formula>
    </cfRule>
    <cfRule type="cellIs" dxfId="961" priority="159" operator="greaterThan">
      <formula>$Q43*0.9</formula>
    </cfRule>
    <cfRule type="cellIs" dxfId="960" priority="160" operator="lessThan">
      <formula>$Q43</formula>
    </cfRule>
  </conditionalFormatting>
  <conditionalFormatting sqref="N43">
    <cfRule type="cellIs" dxfId="959" priority="155" operator="lessThanOrEqual">
      <formula>$Q43</formula>
    </cfRule>
    <cfRule type="cellIs" dxfId="958" priority="156" operator="greaterThan">
      <formula>$Q43*0.9</formula>
    </cfRule>
    <cfRule type="cellIs" dxfId="957" priority="157" operator="greaterThan">
      <formula>$Q43</formula>
    </cfRule>
  </conditionalFormatting>
  <conditionalFormatting sqref="B43:J43">
    <cfRule type="cellIs" dxfId="956" priority="151" operator="equal">
      <formula>"XXX"</formula>
    </cfRule>
  </conditionalFormatting>
  <conditionalFormatting sqref="Q43:S43">
    <cfRule type="cellIs" dxfId="955" priority="150" operator="equal">
      <formula>"XXX"</formula>
    </cfRule>
  </conditionalFormatting>
  <conditionalFormatting sqref="BR70">
    <cfRule type="expression" dxfId="954" priority="148">
      <formula>(AND($BJ70=$BX$5,LEN($BQ70)=0))</formula>
    </cfRule>
  </conditionalFormatting>
  <conditionalFormatting sqref="BR89">
    <cfRule type="expression" dxfId="953" priority="147">
      <formula>(AND($BJ89=$BX$5,LEN($BQ89)=0))</formula>
    </cfRule>
  </conditionalFormatting>
  <conditionalFormatting sqref="BR108">
    <cfRule type="expression" dxfId="952" priority="146">
      <formula>(AND($BJ108=$BX$5,LEN($BQ108)=0))</formula>
    </cfRule>
  </conditionalFormatting>
  <conditionalFormatting sqref="BR127">
    <cfRule type="expression" dxfId="951" priority="145">
      <formula>(AND($BJ127=$BX$5,LEN($BQ127)=0))</formula>
    </cfRule>
  </conditionalFormatting>
  <conditionalFormatting sqref="BH43">
    <cfRule type="cellIs" dxfId="950" priority="144" operator="equal">
      <formula>"XXX"</formula>
    </cfRule>
  </conditionalFormatting>
  <conditionalFormatting sqref="BH43">
    <cfRule type="cellIs" dxfId="949" priority="143" operator="equal">
      <formula>"XXX"</formula>
    </cfRule>
  </conditionalFormatting>
  <conditionalFormatting sqref="BR52:BR53">
    <cfRule type="expression" dxfId="948" priority="142">
      <formula>(AND($BJ52=$BX$5,LEN($BQ52)=0))</formula>
    </cfRule>
  </conditionalFormatting>
  <conditionalFormatting sqref="BR52:BR53">
    <cfRule type="expression" dxfId="947" priority="141">
      <formula>(AND($BJ52=$BX$5,LEN($BR52)=0))</formula>
    </cfRule>
  </conditionalFormatting>
  <conditionalFormatting sqref="BR51">
    <cfRule type="expression" dxfId="946" priority="140">
      <formula>(AND($BJ51=$BX$5,LEN($BQ51)=0))</formula>
    </cfRule>
  </conditionalFormatting>
  <conditionalFormatting sqref="H26 J26:L26">
    <cfRule type="cellIs" dxfId="945" priority="135" operator="equal">
      <formula>"XXX"</formula>
    </cfRule>
  </conditionalFormatting>
  <conditionalFormatting sqref="I26">
    <cfRule type="cellIs" dxfId="944" priority="133" operator="equal">
      <formula>"XXX"</formula>
    </cfRule>
  </conditionalFormatting>
  <conditionalFormatting sqref="I26">
    <cfRule type="cellIs" dxfId="943" priority="132" operator="equal">
      <formula>$A$1</formula>
    </cfRule>
  </conditionalFormatting>
  <conditionalFormatting sqref="G26">
    <cfRule type="cellIs" dxfId="942" priority="131" operator="equal">
      <formula>"XXX"</formula>
    </cfRule>
  </conditionalFormatting>
  <conditionalFormatting sqref="G26">
    <cfRule type="expression" dxfId="941" priority="129">
      <formula>$G$25=0</formula>
    </cfRule>
    <cfRule type="cellIs" dxfId="940" priority="130" operator="notEqual">
      <formula>0</formula>
    </cfRule>
  </conditionalFormatting>
  <conditionalFormatting sqref="BR35">
    <cfRule type="expression" dxfId="939" priority="125">
      <formula>(AND($BJ35=$BX$5,LEN($BQ35)=0))</formula>
    </cfRule>
  </conditionalFormatting>
  <conditionalFormatting sqref="BR35:BS35">
    <cfRule type="expression" dxfId="938" priority="124">
      <formula>(AND($BJ35=$BX$5,LEN($BR35)=0))</formula>
    </cfRule>
  </conditionalFormatting>
  <conditionalFormatting sqref="BR54">
    <cfRule type="expression" dxfId="937" priority="123">
      <formula>(AND($BJ54=$BX$5,LEN($BQ54)=0))</formula>
    </cfRule>
  </conditionalFormatting>
  <conditionalFormatting sqref="BS54">
    <cfRule type="expression" dxfId="936" priority="122">
      <formula>(AND($BJ54=$BX$5,LEN($BR54)=0))</formula>
    </cfRule>
  </conditionalFormatting>
  <conditionalFormatting sqref="BR73">
    <cfRule type="expression" dxfId="935" priority="121">
      <formula>(AND($BJ73=$BX$5,LEN($BQ73)=0))</formula>
    </cfRule>
  </conditionalFormatting>
  <conditionalFormatting sqref="BR73:BS73">
    <cfRule type="expression" dxfId="934" priority="120">
      <formula>(AND($BJ73=$BX$5,LEN($BR73)=0))</formula>
    </cfRule>
  </conditionalFormatting>
  <conditionalFormatting sqref="BR92">
    <cfRule type="expression" dxfId="933" priority="119">
      <formula>(AND($BJ92=$BX$5,LEN($BQ92)=0))</formula>
    </cfRule>
  </conditionalFormatting>
  <conditionalFormatting sqref="BR92:BS92">
    <cfRule type="expression" dxfId="932" priority="118">
      <formula>(AND($BJ92=$BX$5,LEN($BR92)=0))</formula>
    </cfRule>
  </conditionalFormatting>
  <conditionalFormatting sqref="BR111">
    <cfRule type="expression" dxfId="931" priority="117">
      <formula>(AND($BJ111=$BX$5,LEN($BQ111)=0))</formula>
    </cfRule>
  </conditionalFormatting>
  <conditionalFormatting sqref="BR111:BS111">
    <cfRule type="expression" dxfId="930" priority="116">
      <formula>(AND($BJ111=$BX$5,LEN($BR111)=0))</formula>
    </cfRule>
  </conditionalFormatting>
  <conditionalFormatting sqref="BQ130">
    <cfRule type="expression" dxfId="929" priority="115">
      <formula>(AND($BJ130=$BX$5,LEN($BQ130)=0))</formula>
    </cfRule>
  </conditionalFormatting>
  <conditionalFormatting sqref="BR130">
    <cfRule type="expression" dxfId="928" priority="114">
      <formula>(AND($BJ130=$BX$5,LEN($BR130)=0))</formula>
    </cfRule>
  </conditionalFormatting>
  <conditionalFormatting sqref="AC29:AD32">
    <cfRule type="cellIs" dxfId="927" priority="100" operator="equal">
      <formula>"XXX"</formula>
    </cfRule>
  </conditionalFormatting>
  <conditionalFormatting sqref="B29">
    <cfRule type="cellIs" dxfId="926" priority="99" operator="equal">
      <formula>"XXX"</formula>
    </cfRule>
  </conditionalFormatting>
  <conditionalFormatting sqref="AE29">
    <cfRule type="cellIs" dxfId="925" priority="98" operator="equal">
      <formula>"XXX"</formula>
    </cfRule>
  </conditionalFormatting>
  <conditionalFormatting sqref="BR36">
    <cfRule type="expression" dxfId="924" priority="97">
      <formula>(AND($BJ36=$BX$5,LEN($BQ36)=0))</formula>
    </cfRule>
  </conditionalFormatting>
  <conditionalFormatting sqref="BR36">
    <cfRule type="expression" dxfId="923" priority="96">
      <formula>(AND($BJ36=$BX$5,LEN($BR36)=0))</formula>
    </cfRule>
  </conditionalFormatting>
  <conditionalFormatting sqref="BS36">
    <cfRule type="expression" dxfId="922" priority="95">
      <formula>(AND($BJ36=$BX$5,LEN($BR36)=0))</formula>
    </cfRule>
  </conditionalFormatting>
  <conditionalFormatting sqref="BR55">
    <cfRule type="expression" dxfId="921" priority="94">
      <formula>(AND($BJ55=$BX$5,LEN($BQ55)=0))</formula>
    </cfRule>
  </conditionalFormatting>
  <conditionalFormatting sqref="BS55">
    <cfRule type="expression" dxfId="920" priority="93">
      <formula>(AND($BJ55=$BX$5,LEN($BR55)=0))</formula>
    </cfRule>
  </conditionalFormatting>
  <conditionalFormatting sqref="BR74">
    <cfRule type="expression" dxfId="919" priority="92">
      <formula>(AND($BJ74=$BX$5,LEN($BQ74)=0))</formula>
    </cfRule>
  </conditionalFormatting>
  <conditionalFormatting sqref="BR74:BS74">
    <cfRule type="expression" dxfId="918" priority="91">
      <formula>(AND($BJ74=$BX$5,LEN($BR74)=0))</formula>
    </cfRule>
  </conditionalFormatting>
  <conditionalFormatting sqref="BR93">
    <cfRule type="expression" dxfId="917" priority="90">
      <formula>(AND($BJ93=$BX$5,LEN($BQ93)=0))</formula>
    </cfRule>
  </conditionalFormatting>
  <conditionalFormatting sqref="BR93:BS93">
    <cfRule type="expression" dxfId="916" priority="89">
      <formula>(AND($BJ93=$BX$5,LEN($BR93)=0))</formula>
    </cfRule>
  </conditionalFormatting>
  <conditionalFormatting sqref="BR112">
    <cfRule type="expression" dxfId="915" priority="88">
      <formula>(AND($BJ112=$BX$5,LEN($BQ112)=0))</formula>
    </cfRule>
  </conditionalFormatting>
  <conditionalFormatting sqref="BR112:BS112">
    <cfRule type="expression" dxfId="914" priority="87">
      <formula>(AND($BJ112=$BX$5,LEN($BR112)=0))</formula>
    </cfRule>
  </conditionalFormatting>
  <conditionalFormatting sqref="BQ131">
    <cfRule type="expression" dxfId="913" priority="86">
      <formula>(AND($BJ131=$BX$5,LEN($BQ131)=0))</formula>
    </cfRule>
  </conditionalFormatting>
  <conditionalFormatting sqref="BR131">
    <cfRule type="expression" dxfId="912" priority="85">
      <formula>(AND($BJ131=$BX$5,LEN($BR131)=0))</formula>
    </cfRule>
  </conditionalFormatting>
  <conditionalFormatting sqref="BA121:BE121">
    <cfRule type="cellIs" dxfId="911" priority="73" operator="equal">
      <formula>"XXX"</formula>
    </cfRule>
  </conditionalFormatting>
  <conditionalFormatting sqref="AV122">
    <cfRule type="cellIs" dxfId="910" priority="72" operator="equal">
      <formula>"XXX"</formula>
    </cfRule>
  </conditionalFormatting>
  <conditionalFormatting sqref="AV122">
    <cfRule type="cellIs" dxfId="909" priority="71" operator="equal">
      <formula>"XXX"</formula>
    </cfRule>
  </conditionalFormatting>
  <conditionalFormatting sqref="BA122">
    <cfRule type="cellIs" dxfId="908" priority="68" operator="equal">
      <formula>"Paused"</formula>
    </cfRule>
    <cfRule type="cellIs" dxfId="907" priority="69" operator="equal">
      <formula>"Caution"</formula>
    </cfRule>
    <cfRule type="cellIs" dxfId="906" priority="70" operator="equal">
      <formula>"On Track"</formula>
    </cfRule>
  </conditionalFormatting>
  <conditionalFormatting sqref="BA122:BE122">
    <cfRule type="cellIs" dxfId="905" priority="67" operator="equal">
      <formula>"""Cancelled"""</formula>
    </cfRule>
  </conditionalFormatting>
  <conditionalFormatting sqref="AV121">
    <cfRule type="cellIs" dxfId="904" priority="65" operator="equal">
      <formula>"XXX"</formula>
    </cfRule>
  </conditionalFormatting>
  <conditionalFormatting sqref="AV121">
    <cfRule type="cellIs" dxfId="903" priority="66" operator="equal">
      <formula>"XXX"</formula>
    </cfRule>
  </conditionalFormatting>
  <conditionalFormatting sqref="BA124:BE124">
    <cfRule type="cellIs" dxfId="902" priority="64" operator="equal">
      <formula>"XXX"</formula>
    </cfRule>
  </conditionalFormatting>
  <conditionalFormatting sqref="AV125">
    <cfRule type="cellIs" dxfId="901" priority="63" operator="equal">
      <formula>"XXX"</formula>
    </cfRule>
  </conditionalFormatting>
  <conditionalFormatting sqref="AV125">
    <cfRule type="cellIs" dxfId="900" priority="62" operator="equal">
      <formula>"XXX"</formula>
    </cfRule>
  </conditionalFormatting>
  <conditionalFormatting sqref="BA125">
    <cfRule type="cellIs" dxfId="899" priority="59" operator="equal">
      <formula>"Paused"</formula>
    </cfRule>
    <cfRule type="cellIs" dxfId="898" priority="60" operator="equal">
      <formula>"Caution"</formula>
    </cfRule>
    <cfRule type="cellIs" dxfId="897" priority="61" operator="equal">
      <formula>"On Track"</formula>
    </cfRule>
  </conditionalFormatting>
  <conditionalFormatting sqref="BA125:BE125">
    <cfRule type="cellIs" dxfId="896" priority="58" operator="equal">
      <formula>"""Cancelled"""</formula>
    </cfRule>
  </conditionalFormatting>
  <conditionalFormatting sqref="AV124">
    <cfRule type="cellIs" dxfId="895" priority="56" operator="equal">
      <formula>"XXX"</formula>
    </cfRule>
  </conditionalFormatting>
  <conditionalFormatting sqref="AV124">
    <cfRule type="cellIs" dxfId="894" priority="57" operator="equal">
      <formula>"XXX"</formula>
    </cfRule>
  </conditionalFormatting>
  <conditionalFormatting sqref="X24:AB24">
    <cfRule type="cellIs" dxfId="893" priority="55" operator="equal">
      <formula>"XXX"</formula>
    </cfRule>
  </conditionalFormatting>
  <conditionalFormatting sqref="Z16:Z21">
    <cfRule type="cellIs" dxfId="892" priority="54" operator="equal">
      <formula>"XXX"</formula>
    </cfRule>
  </conditionalFormatting>
  <conditionalFormatting sqref="Y16:Y18 Y21">
    <cfRule type="cellIs" dxfId="891" priority="53" operator="equal">
      <formula>"XXX"</formula>
    </cfRule>
  </conditionalFormatting>
  <conditionalFormatting sqref="Y19:Y20">
    <cfRule type="cellIs" dxfId="890" priority="52" operator="equal">
      <formula>"XXX"</formula>
    </cfRule>
  </conditionalFormatting>
  <conditionalFormatting sqref="Y22:Y23">
    <cfRule type="cellIs" dxfId="889" priority="51" operator="equal">
      <formula>"XXX"</formula>
    </cfRule>
  </conditionalFormatting>
  <conditionalFormatting sqref="BR37">
    <cfRule type="expression" dxfId="888" priority="49">
      <formula>(AND($BJ37=$BX$5,LEN($BQ37)=0))</formula>
    </cfRule>
  </conditionalFormatting>
  <conditionalFormatting sqref="BR37:BS37">
    <cfRule type="expression" dxfId="887" priority="48">
      <formula>(AND($BJ37=$BX$5,LEN($BR37)=0))</formula>
    </cfRule>
  </conditionalFormatting>
  <conditionalFormatting sqref="BR56">
    <cfRule type="expression" dxfId="886" priority="47">
      <formula>(AND($BJ56=$BX$5,LEN($BQ56)=0))</formula>
    </cfRule>
  </conditionalFormatting>
  <conditionalFormatting sqref="BS56">
    <cfRule type="expression" dxfId="885" priority="46">
      <formula>(AND($BJ56=$BX$5,LEN($BR56)=0))</formula>
    </cfRule>
  </conditionalFormatting>
  <conditionalFormatting sqref="BR75">
    <cfRule type="expression" dxfId="884" priority="45">
      <formula>(AND($BJ75=$BX$5,LEN($BQ75)=0))</formula>
    </cfRule>
  </conditionalFormatting>
  <conditionalFormatting sqref="BR75:BS75">
    <cfRule type="expression" dxfId="883" priority="44">
      <formula>(AND($BJ75=$BX$5,LEN($BR75)=0))</formula>
    </cfRule>
  </conditionalFormatting>
  <conditionalFormatting sqref="BR94">
    <cfRule type="expression" dxfId="882" priority="43">
      <formula>(AND($BJ94=$BX$5,LEN($BQ94)=0))</formula>
    </cfRule>
  </conditionalFormatting>
  <conditionalFormatting sqref="BR94:BS94">
    <cfRule type="expression" dxfId="881" priority="42">
      <formula>(AND($BJ94=$BX$5,LEN($BR94)=0))</formula>
    </cfRule>
  </conditionalFormatting>
  <conditionalFormatting sqref="BR113">
    <cfRule type="expression" dxfId="880" priority="41">
      <formula>(AND($BJ113=$BX$5,LEN($BQ113)=0))</formula>
    </cfRule>
  </conditionalFormatting>
  <conditionalFormatting sqref="BR113:BS113">
    <cfRule type="expression" dxfId="879" priority="40">
      <formula>(AND($BJ113=$BX$5,LEN($BR113)=0))</formula>
    </cfRule>
  </conditionalFormatting>
  <conditionalFormatting sqref="BQ132">
    <cfRule type="expression" dxfId="878" priority="39">
      <formula>(AND($BJ132=$BX$5,LEN($BQ132)=0))</formula>
    </cfRule>
  </conditionalFormatting>
  <conditionalFormatting sqref="BR132">
    <cfRule type="expression" dxfId="877" priority="38">
      <formula>(AND($BJ132=$BX$5,LEN($BR132)=0))</formula>
    </cfRule>
  </conditionalFormatting>
  <conditionalFormatting sqref="K35:AB35 Q36:AB37">
    <cfRule type="cellIs" dxfId="876" priority="28" operator="equal">
      <formula>"XXX"</formula>
    </cfRule>
  </conditionalFormatting>
  <conditionalFormatting sqref="K36:P37">
    <cfRule type="cellIs" dxfId="875" priority="27" operator="equal">
      <formula>"XXX"</formula>
    </cfRule>
  </conditionalFormatting>
  <conditionalFormatting sqref="AC8:AD11">
    <cfRule type="cellIs" dxfId="874" priority="26" operator="equal">
      <formula>"XXX"</formula>
    </cfRule>
  </conditionalFormatting>
  <conditionalFormatting sqref="AE8">
    <cfRule type="cellIs" dxfId="873" priority="25" operator="equal">
      <formula>"XXX"</formula>
    </cfRule>
  </conditionalFormatting>
  <conditionalFormatting sqref="B8">
    <cfRule type="cellIs" dxfId="872" priority="24" operator="equal">
      <formula>"XXX"</formula>
    </cfRule>
  </conditionalFormatting>
  <conditionalFormatting sqref="AC38">
    <cfRule type="cellIs" dxfId="871" priority="23" operator="equal">
      <formula>"XXX"</formula>
    </cfRule>
  </conditionalFormatting>
  <conditionalFormatting sqref="AC39">
    <cfRule type="cellIs" dxfId="870" priority="22" operator="equal">
      <formula>"XXX"</formula>
    </cfRule>
  </conditionalFormatting>
  <conditionalFormatting sqref="AC40">
    <cfRule type="cellIs" dxfId="869" priority="21" operator="equal">
      <formula>"XXX"</formula>
    </cfRule>
  </conditionalFormatting>
  <conditionalFormatting sqref="AC42">
    <cfRule type="cellIs" dxfId="868" priority="20" operator="equal">
      <formula>"XXX"</formula>
    </cfRule>
  </conditionalFormatting>
  <conditionalFormatting sqref="AC41">
    <cfRule type="cellIs" dxfId="867" priority="19" operator="equal">
      <formula>"XXX"</formula>
    </cfRule>
  </conditionalFormatting>
  <conditionalFormatting sqref="AC43">
    <cfRule type="cellIs" dxfId="866" priority="18" operator="equal">
      <formula>"XXX"</formula>
    </cfRule>
  </conditionalFormatting>
  <conditionalFormatting sqref="BS26">
    <cfRule type="expression" dxfId="865" priority="17">
      <formula>(AND($BJ26=$BX$5,LEN($BR26)=0))</formula>
    </cfRule>
  </conditionalFormatting>
  <conditionalFormatting sqref="BR26">
    <cfRule type="expression" dxfId="864" priority="16">
      <formula>(AND($BJ26=$BX$5,LEN($BQ26)=0))</formula>
    </cfRule>
  </conditionalFormatting>
  <conditionalFormatting sqref="BR26">
    <cfRule type="expression" dxfId="863" priority="15">
      <formula>(AND($BJ26=$BX$5,LEN($BR26)=0))</formula>
    </cfRule>
  </conditionalFormatting>
  <conditionalFormatting sqref="BR45">
    <cfRule type="expression" dxfId="862" priority="14">
      <formula>(AND($BJ45=$BX$5,LEN($BQ45)=0))</formula>
    </cfRule>
  </conditionalFormatting>
  <conditionalFormatting sqref="BS45">
    <cfRule type="expression" dxfId="861" priority="13">
      <formula>(AND($BJ45=$BX$5,LEN($BR45)=0))</formula>
    </cfRule>
  </conditionalFormatting>
  <conditionalFormatting sqref="BR64">
    <cfRule type="expression" dxfId="860" priority="12">
      <formula>(AND($BJ64=$BX$5,LEN($BQ64)=0))</formula>
    </cfRule>
  </conditionalFormatting>
  <conditionalFormatting sqref="BR64">
    <cfRule type="expression" dxfId="859" priority="11">
      <formula>(AND($BJ64=$BX$5,LEN($BR64)=0))</formula>
    </cfRule>
  </conditionalFormatting>
  <conditionalFormatting sqref="BS64">
    <cfRule type="expression" dxfId="858" priority="10">
      <formula>(AND($BJ64=$BX$5,LEN($BR64)=0))</formula>
    </cfRule>
  </conditionalFormatting>
  <conditionalFormatting sqref="BR83">
    <cfRule type="expression" dxfId="857" priority="9">
      <formula>(AND($BJ83=$BX$5,LEN($BQ83)=0))</formula>
    </cfRule>
  </conditionalFormatting>
  <conditionalFormatting sqref="BR83">
    <cfRule type="expression" dxfId="856" priority="8">
      <formula>(AND($BJ83=$BX$5,LEN($BR83)=0))</formula>
    </cfRule>
  </conditionalFormatting>
  <conditionalFormatting sqref="BS83">
    <cfRule type="expression" dxfId="855" priority="7">
      <formula>(AND($BJ83=$BX$5,LEN($BR83)=0))</formula>
    </cfRule>
  </conditionalFormatting>
  <conditionalFormatting sqref="BR102">
    <cfRule type="expression" dxfId="854" priority="6">
      <formula>(AND($BJ102=$BX$5,LEN($BQ102)=0))</formula>
    </cfRule>
  </conditionalFormatting>
  <conditionalFormatting sqref="BR102:BS102">
    <cfRule type="expression" dxfId="853" priority="5">
      <formula>(AND($BJ102=$BX$5,LEN($BR102)=0))</formula>
    </cfRule>
  </conditionalFormatting>
  <conditionalFormatting sqref="AD66:AD69">
    <cfRule type="cellIs" dxfId="852" priority="4" operator="equal">
      <formula>"XXX"</formula>
    </cfRule>
  </conditionalFormatting>
  <conditionalFormatting sqref="AE66">
    <cfRule type="cellIs" dxfId="851" priority="3" operator="equal">
      <formula>"XXX"</formula>
    </cfRule>
  </conditionalFormatting>
  <conditionalFormatting sqref="B66">
    <cfRule type="cellIs" dxfId="850" priority="2" operator="equal">
      <formula>"XXX"</formula>
    </cfRule>
  </conditionalFormatting>
  <conditionalFormatting sqref="B115">
    <cfRule type="cellIs" dxfId="849" priority="1" operator="equal">
      <formula>"XXX"</formula>
    </cfRule>
  </conditionalFormatting>
  <dataValidations count="4">
    <dataValidation type="whole" operator="greaterThanOrEqual" allowBlank="1" showInputMessage="1" showErrorMessage="1" errorTitle="Positive Value" error="This value must be entered as a positive number." sqref="BJ8:BV8 BJ10:BV10 BJ12:BV14 BJ6:BV6" xr:uid="{00000000-0002-0000-1C00-000003000000}">
      <formula1>0</formula1>
    </dataValidation>
    <dataValidation type="whole" operator="lessThan" allowBlank="1" showInputMessage="1" showErrorMessage="1" errorTitle="Negative Value" error="This value must be entered as a negative number." sqref="BJ11:BV11 BJ7:BV7 BJ9:BV9" xr:uid="{00000000-0002-0000-1C00-000004000000}">
      <formula1>0</formula1>
    </dataValidation>
    <dataValidation type="list" allowBlank="1" showInputMessage="1" showErrorMessage="1" sqref="AV122:AZ122 AV125:AZ125" xr:uid="{9BEFDA83-A247-446E-868B-DC4A168D9098}">
      <formula1>"Project, Process Improvement, RPA, Dashboarding"</formula1>
    </dataValidation>
    <dataValidation type="list" allowBlank="1" showInputMessage="1" showErrorMessage="1" sqref="BA122:BE122 BA125:BE125" xr:uid="{196A9ACD-A62F-42B7-AC32-DAEA4A4A84D6}">
      <formula1>"Not Started, On Track, Caution, Paused, Cancelled"</formula1>
    </dataValidation>
  </dataValidations>
  <printOptions horizontalCentered="1"/>
  <pageMargins left="0.25" right="0.25" top="0.25" bottom="0.5" header="0.3" footer="0.3"/>
  <pageSetup scale="65" orientation="landscape" r:id="rId1"/>
  <headerFooter>
    <oddFooter>&amp;R&amp;F | &amp;A
Printed &amp;D @ &amp;T
&amp;P</oddFooter>
  </headerFooter>
  <rowBreaks count="3" manualBreakCount="3">
    <brk id="44" max="57" man="1"/>
    <brk id="93" max="57" man="1"/>
    <brk id="119"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1007" operator="equal" id="{474A6B01-5A2E-40BA-82A9-999227C1ABE5}">
            <xm:f>AR!$A$1</xm:f>
            <x14:dxf>
              <font>
                <color theme="0"/>
              </font>
            </x14:dxf>
          </x14:cfRule>
          <xm:sqref>J24:J25 J27</xm:sqref>
        </x14:conditionalFormatting>
        <x14:conditionalFormatting xmlns:xm="http://schemas.microsoft.com/office/excel/2006/main">
          <x14:cfRule type="cellIs" priority="134" operator="equal" id="{54414864-E193-4909-959A-581B5391664F}">
            <xm:f>AR!$A$1</xm:f>
            <x14:dxf>
              <font>
                <color theme="0"/>
              </font>
            </x14:dxf>
          </x14:cfRule>
          <xm:sqref>J26</xm:sqref>
        </x14:conditionalFormatting>
      </x14:conditionalFormattings>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6">
    <tabColor rgb="FF00B050"/>
  </sheetPr>
  <dimension ref="A1:CC104"/>
  <sheetViews>
    <sheetView showGridLines="0" topLeftCell="AV38" zoomScaleNormal="100" workbookViewId="0">
      <selection activeCell="BR38" sqref="BR38"/>
    </sheetView>
  </sheetViews>
  <sheetFormatPr defaultColWidth="3.28515625" defaultRowHeight="14.65" customHeight="1"/>
  <cols>
    <col min="1" max="58" width="3.28515625" style="6"/>
    <col min="59" max="59" width="3.7109375" style="6" customWidth="1"/>
    <col min="60" max="60" width="4.7109375" style="6" customWidth="1"/>
    <col min="61" max="61" width="17.42578125" customWidth="1"/>
    <col min="62" max="73" width="12.7109375" customWidth="1"/>
    <col min="74" max="74" width="13.7109375" style="6" customWidth="1"/>
    <col min="75" max="75" width="15.7109375" style="6" bestFit="1" customWidth="1"/>
    <col min="76" max="76" width="8.5703125" style="6" bestFit="1" customWidth="1"/>
    <col min="77" max="77" width="11.28515625" style="6" bestFit="1" customWidth="1"/>
    <col min="78" max="78" width="8.5703125" style="6" bestFit="1" customWidth="1"/>
    <col min="79" max="79" width="11.7109375" style="6" bestFit="1" customWidth="1"/>
    <col min="80" max="80" width="4.7109375" style="6" bestFit="1" customWidth="1"/>
    <col min="81" max="81" width="5.28515625" style="6" bestFit="1" customWidth="1"/>
    <col min="82" max="16384" width="3.28515625" style="6"/>
  </cols>
  <sheetData>
    <row r="1" spans="2:76" ht="14.65" customHeight="1">
      <c r="BI1" s="1525" t="s">
        <v>604</v>
      </c>
      <c r="BJ1" s="1525"/>
      <c r="BK1" s="1525"/>
      <c r="BL1" s="1525"/>
      <c r="BM1" s="1525"/>
      <c r="BN1" s="1525"/>
      <c r="BO1" s="1525"/>
      <c r="BP1" s="1525"/>
      <c r="BQ1" s="1525"/>
      <c r="BR1" s="1525"/>
      <c r="BS1" s="1525"/>
      <c r="BT1" s="1525"/>
      <c r="BU1" s="1525"/>
    </row>
    <row r="2" spans="2:76" ht="14.65" customHeight="1">
      <c r="B2" s="1494" t="s">
        <v>109</v>
      </c>
      <c r="C2" s="1494"/>
      <c r="D2" s="1494"/>
      <c r="E2" s="1494"/>
      <c r="F2" s="1494"/>
      <c r="G2" s="1494"/>
      <c r="H2" s="1494"/>
      <c r="I2" s="1494"/>
      <c r="J2" s="1494"/>
      <c r="K2" s="1494"/>
      <c r="L2" s="1494"/>
      <c r="M2" s="1494"/>
      <c r="N2" s="1494"/>
      <c r="O2" s="1494"/>
      <c r="P2" s="1494"/>
      <c r="Q2" s="1494"/>
      <c r="R2" s="1494"/>
      <c r="S2" s="1494"/>
      <c r="T2" s="1494"/>
      <c r="U2" s="1494"/>
      <c r="V2" s="1494"/>
      <c r="W2" s="1494"/>
      <c r="X2" s="1494"/>
      <c r="Y2" s="1494"/>
      <c r="Z2" s="1494"/>
      <c r="AA2" s="1494"/>
      <c r="AB2" s="1494"/>
      <c r="AC2" s="1494"/>
      <c r="AD2" s="1494"/>
      <c r="AE2" s="1494"/>
      <c r="AF2" s="1494"/>
      <c r="AG2" s="1494"/>
      <c r="AH2" s="1494"/>
      <c r="AI2" s="1494"/>
      <c r="AJ2" s="1494"/>
      <c r="AK2" s="1494"/>
      <c r="AL2" s="1494"/>
      <c r="AM2" s="1494"/>
      <c r="AN2" s="1494"/>
      <c r="AO2" s="1494"/>
      <c r="AP2" s="1494"/>
      <c r="AQ2" s="1494"/>
      <c r="AR2" s="1494"/>
      <c r="AS2" s="1494"/>
      <c r="AT2" s="1494"/>
      <c r="AU2" s="1494"/>
      <c r="AV2" s="1494"/>
      <c r="AW2" s="1494"/>
      <c r="AX2" s="1494"/>
      <c r="AY2" s="1494"/>
      <c r="AZ2" s="1494"/>
      <c r="BA2" s="1494"/>
      <c r="BB2" s="1494"/>
      <c r="BC2" s="1494"/>
      <c r="BD2" s="1494"/>
      <c r="BE2" s="1494"/>
      <c r="BI2" s="68" t="s">
        <v>164</v>
      </c>
    </row>
    <row r="3" spans="2:76" ht="14.65" customHeight="1">
      <c r="B3" s="1495" t="s">
        <v>110</v>
      </c>
      <c r="C3" s="1495"/>
      <c r="D3" s="1495"/>
      <c r="E3" s="1495"/>
      <c r="F3" s="1495"/>
      <c r="G3" s="1495"/>
      <c r="H3" s="1495"/>
      <c r="I3" s="1495"/>
      <c r="J3" s="1495"/>
      <c r="K3" s="1495"/>
      <c r="L3" s="1495"/>
      <c r="M3" s="1495"/>
      <c r="N3" s="1495"/>
      <c r="O3" s="1495"/>
      <c r="P3" s="1495"/>
      <c r="Q3" s="1495"/>
      <c r="R3" s="1495"/>
      <c r="S3" s="1495"/>
      <c r="T3" s="1495"/>
      <c r="U3" s="1495"/>
      <c r="V3" s="1495"/>
      <c r="W3" s="1495"/>
      <c r="X3" s="1495"/>
      <c r="Y3" s="1495"/>
      <c r="Z3" s="1495"/>
      <c r="AA3" s="1495"/>
      <c r="AB3" s="1495"/>
      <c r="AC3" s="1495"/>
      <c r="AD3" s="1495"/>
      <c r="AE3" s="1495"/>
      <c r="AF3" s="1495"/>
      <c r="AG3" s="1495"/>
      <c r="AH3" s="1495"/>
      <c r="AI3" s="1495"/>
      <c r="AJ3" s="1495"/>
      <c r="AK3" s="1495"/>
      <c r="AL3" s="1495"/>
      <c r="AM3" s="1495"/>
      <c r="AN3" s="1495"/>
      <c r="AO3" s="1495"/>
      <c r="AP3" s="1495"/>
      <c r="AQ3" s="1495"/>
      <c r="AR3" s="1495"/>
      <c r="AS3" s="1495"/>
      <c r="AT3" s="1495"/>
      <c r="AU3" s="1495"/>
      <c r="AV3" s="1495"/>
      <c r="AW3" s="1495"/>
      <c r="AX3" s="1495"/>
      <c r="AY3" s="1495"/>
      <c r="AZ3" s="1495"/>
      <c r="BA3" s="1495"/>
      <c r="BB3" s="1495"/>
      <c r="BC3" s="1495"/>
      <c r="BD3" s="1495"/>
      <c r="BE3" s="1495"/>
      <c r="BI3" s="4" t="s">
        <v>261</v>
      </c>
    </row>
    <row r="4" spans="2:76" ht="14.65" customHeight="1">
      <c r="B4" s="40"/>
      <c r="C4" s="8"/>
      <c r="D4" s="9"/>
      <c r="E4" s="10"/>
      <c r="F4" s="10"/>
      <c r="G4" s="10"/>
      <c r="H4" s="1496"/>
      <c r="I4" s="1496"/>
      <c r="J4" s="1496"/>
      <c r="K4" s="41"/>
      <c r="L4" s="41"/>
      <c r="M4" s="41"/>
      <c r="N4" s="41"/>
      <c r="O4" s="41"/>
      <c r="P4" s="57"/>
      <c r="Q4" s="39"/>
      <c r="BI4" s="74" t="s">
        <v>23</v>
      </c>
      <c r="BJ4" s="74" t="s">
        <v>504</v>
      </c>
      <c r="BK4" s="74" t="s">
        <v>505</v>
      </c>
      <c r="BL4" s="74" t="s">
        <v>506</v>
      </c>
      <c r="BM4" s="74" t="s">
        <v>507</v>
      </c>
      <c r="BN4" s="74" t="s">
        <v>508</v>
      </c>
      <c r="BO4" s="74" t="s">
        <v>509</v>
      </c>
      <c r="BP4" s="74" t="s">
        <v>510</v>
      </c>
      <c r="BQ4" s="74" t="s">
        <v>511</v>
      </c>
      <c r="BR4" s="74" t="s">
        <v>512</v>
      </c>
      <c r="BS4" s="74" t="s">
        <v>513</v>
      </c>
      <c r="BT4" s="74" t="s">
        <v>514</v>
      </c>
      <c r="BU4" s="74" t="s">
        <v>515</v>
      </c>
      <c r="BV4" s="74" t="s">
        <v>516</v>
      </c>
      <c r="BX4" s="151" t="s">
        <v>262</v>
      </c>
    </row>
    <row r="5" spans="2:76" ht="14.65" customHeight="1">
      <c r="B5" s="1497" t="str">
        <f>SC!BI1</f>
        <v xml:space="preserve">Salaried Candidate Care - Seal the Deal </v>
      </c>
      <c r="C5" s="1498"/>
      <c r="D5" s="1498"/>
      <c r="E5" s="1498"/>
      <c r="F5" s="1498"/>
      <c r="G5" s="1498"/>
      <c r="H5" s="1498"/>
      <c r="I5" s="1498"/>
      <c r="J5" s="1498"/>
      <c r="K5" s="1498"/>
      <c r="L5" s="1498"/>
      <c r="M5" s="1498"/>
      <c r="N5" s="1498"/>
      <c r="O5" s="1498"/>
      <c r="P5" s="1498"/>
      <c r="Q5" s="1498"/>
      <c r="R5" s="1498"/>
      <c r="S5" s="1498"/>
      <c r="T5" s="1498"/>
      <c r="U5" s="1498"/>
      <c r="V5" s="1498"/>
      <c r="W5" s="1498"/>
      <c r="X5" s="1498"/>
      <c r="Y5" s="1498"/>
      <c r="Z5" s="1498"/>
      <c r="AA5" s="1498"/>
      <c r="AB5" s="1498"/>
      <c r="AC5" s="1498"/>
      <c r="AD5" s="1498"/>
      <c r="AE5" s="1498"/>
      <c r="AF5" s="1498"/>
      <c r="AG5" s="1498"/>
      <c r="AH5" s="1498"/>
      <c r="AI5" s="1498"/>
      <c r="AJ5" s="1498"/>
      <c r="AK5" s="1498"/>
      <c r="AL5" s="1498"/>
      <c r="AM5" s="1498"/>
      <c r="AN5" s="1498"/>
      <c r="AO5" s="1498"/>
      <c r="AP5" s="1498"/>
      <c r="AQ5" s="1498"/>
      <c r="AR5" s="1498"/>
      <c r="AS5" s="715"/>
      <c r="AT5" s="715"/>
      <c r="AU5" s="715"/>
      <c r="AV5" s="715"/>
      <c r="AW5" s="715"/>
      <c r="AX5" s="715"/>
      <c r="AY5" s="715"/>
      <c r="AZ5" s="715"/>
      <c r="BA5" s="715"/>
      <c r="BB5" s="715"/>
      <c r="BC5" s="715"/>
      <c r="BD5" s="715"/>
      <c r="BE5" s="716" t="str">
        <f>Cover!M34</f>
        <v>OCT FY-24</v>
      </c>
      <c r="BI5" s="74" t="s">
        <v>37</v>
      </c>
      <c r="BJ5" s="74">
        <v>-1</v>
      </c>
      <c r="BK5" s="74">
        <v>1</v>
      </c>
      <c r="BL5" s="74">
        <v>2</v>
      </c>
      <c r="BM5" s="74">
        <v>3</v>
      </c>
      <c r="BN5" s="74">
        <v>4</v>
      </c>
      <c r="BO5" s="74">
        <v>5</v>
      </c>
      <c r="BP5" s="74">
        <v>6</v>
      </c>
      <c r="BQ5" s="74">
        <v>7</v>
      </c>
      <c r="BR5" s="74">
        <v>8</v>
      </c>
      <c r="BS5" s="74">
        <v>9</v>
      </c>
      <c r="BT5" s="74">
        <v>10</v>
      </c>
      <c r="BU5" s="74">
        <v>11</v>
      </c>
      <c r="BV5" s="74">
        <v>12</v>
      </c>
      <c r="BX5" s="68">
        <f>Cover!M36</f>
        <v>1</v>
      </c>
    </row>
    <row r="6" spans="2:76" ht="14.65" customHeight="1">
      <c r="BI6" s="68" t="s">
        <v>263</v>
      </c>
      <c r="BJ6" s="717">
        <v>4</v>
      </c>
      <c r="BK6" s="718">
        <v>5</v>
      </c>
      <c r="BL6" s="718">
        <f>BK14-BK13</f>
        <v>4</v>
      </c>
      <c r="BM6" s="718">
        <f>BL14-BL13</f>
        <v>4</v>
      </c>
      <c r="BN6" s="718">
        <f>BM14-BM13</f>
        <v>4</v>
      </c>
      <c r="BO6" s="718">
        <f>BN14-BN13</f>
        <v>4</v>
      </c>
      <c r="BP6" s="718">
        <f t="shared" ref="BP6:BV6" si="0">BO14-BO13</f>
        <v>4</v>
      </c>
      <c r="BQ6" s="718">
        <f t="shared" si="0"/>
        <v>4</v>
      </c>
      <c r="BR6" s="718">
        <f t="shared" si="0"/>
        <v>4</v>
      </c>
      <c r="BS6" s="718">
        <f t="shared" si="0"/>
        <v>4</v>
      </c>
      <c r="BT6" s="718">
        <f t="shared" si="0"/>
        <v>4</v>
      </c>
      <c r="BU6" s="718">
        <f t="shared" si="0"/>
        <v>4</v>
      </c>
      <c r="BV6" s="718">
        <f t="shared" si="0"/>
        <v>4</v>
      </c>
      <c r="BX6" s="68"/>
    </row>
    <row r="7" spans="2:76" ht="14.65" customHeight="1">
      <c r="B7" s="45" t="s">
        <v>605</v>
      </c>
      <c r="C7" s="11"/>
      <c r="D7" s="11"/>
      <c r="E7" s="11"/>
      <c r="F7" s="11"/>
      <c r="G7" s="11"/>
      <c r="H7" s="11"/>
      <c r="I7" s="11"/>
      <c r="J7" s="11"/>
      <c r="K7" s="11"/>
      <c r="L7" s="11"/>
      <c r="M7" s="11"/>
      <c r="N7" s="11"/>
      <c r="O7" s="11"/>
      <c r="P7" s="11"/>
      <c r="Q7" s="11"/>
      <c r="R7" s="11"/>
      <c r="S7" s="11"/>
      <c r="T7" s="11"/>
      <c r="U7" s="11"/>
      <c r="V7" s="11"/>
      <c r="W7" s="11"/>
      <c r="X7" s="11"/>
      <c r="Y7" s="11"/>
      <c r="Z7" s="11"/>
      <c r="AA7" s="11"/>
      <c r="AB7" s="11"/>
      <c r="AE7" s="45" t="s">
        <v>265</v>
      </c>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I7" s="68" t="s">
        <v>266</v>
      </c>
      <c r="BJ7" s="717"/>
      <c r="BK7" s="717">
        <v>-1</v>
      </c>
      <c r="BL7" s="717"/>
      <c r="BM7" s="717"/>
      <c r="BN7" s="717"/>
      <c r="BO7" s="717"/>
      <c r="BP7" s="717"/>
      <c r="BQ7" s="717"/>
      <c r="BR7" s="717"/>
      <c r="BS7" s="717"/>
      <c r="BT7" s="717"/>
      <c r="BU7" s="717"/>
      <c r="BV7" s="717"/>
      <c r="BX7" s="68"/>
    </row>
    <row r="8" spans="2:76" ht="14.65" customHeight="1">
      <c r="B8" s="1510" t="s">
        <v>606</v>
      </c>
      <c r="C8" s="1511"/>
      <c r="D8" s="1511"/>
      <c r="E8" s="1511"/>
      <c r="F8" s="1511"/>
      <c r="G8" s="1511"/>
      <c r="H8" s="1511"/>
      <c r="I8" s="1511"/>
      <c r="J8" s="1511"/>
      <c r="K8" s="1511"/>
      <c r="L8" s="1511"/>
      <c r="M8" s="1511"/>
      <c r="N8" s="1511"/>
      <c r="O8" s="1511"/>
      <c r="P8" s="1511"/>
      <c r="Q8" s="1511"/>
      <c r="R8" s="1511"/>
      <c r="S8" s="1511"/>
      <c r="T8" s="1511"/>
      <c r="U8" s="1511"/>
      <c r="V8" s="1511"/>
      <c r="W8" s="1511"/>
      <c r="X8" s="1511"/>
      <c r="Y8" s="1511"/>
      <c r="Z8" s="1511"/>
      <c r="AA8" s="1511"/>
      <c r="AB8" s="1512"/>
      <c r="AE8" s="1510" t="s">
        <v>607</v>
      </c>
      <c r="AF8" s="1511"/>
      <c r="AG8" s="1511"/>
      <c r="AH8" s="1511"/>
      <c r="AI8" s="1511"/>
      <c r="AJ8" s="1511"/>
      <c r="AK8" s="1511"/>
      <c r="AL8" s="1511"/>
      <c r="AM8" s="1511"/>
      <c r="AN8" s="1511"/>
      <c r="AO8" s="1511"/>
      <c r="AP8" s="1511"/>
      <c r="AQ8" s="1511"/>
      <c r="AR8" s="1511"/>
      <c r="AS8" s="1511"/>
      <c r="AT8" s="1511"/>
      <c r="AU8" s="1511"/>
      <c r="AV8" s="1511"/>
      <c r="AW8" s="1511"/>
      <c r="AX8" s="1511"/>
      <c r="AY8" s="1511"/>
      <c r="AZ8" s="1511"/>
      <c r="BA8" s="1511"/>
      <c r="BB8" s="1511"/>
      <c r="BC8" s="1511"/>
      <c r="BD8" s="1511"/>
      <c r="BE8" s="1512"/>
      <c r="BI8" s="68" t="s">
        <v>269</v>
      </c>
      <c r="BJ8" s="717">
        <v>0</v>
      </c>
      <c r="BK8" s="717"/>
      <c r="BL8" s="717"/>
      <c r="BM8" s="717"/>
      <c r="BN8" s="717"/>
      <c r="BO8" s="717"/>
      <c r="BP8" s="717"/>
      <c r="BQ8" s="717"/>
      <c r="BR8" s="717"/>
      <c r="BS8" s="717"/>
      <c r="BT8" s="717"/>
      <c r="BU8" s="717"/>
      <c r="BV8" s="717"/>
      <c r="BX8" s="68"/>
    </row>
    <row r="9" spans="2:76" ht="14.65" customHeight="1">
      <c r="B9" s="1513"/>
      <c r="C9" s="1514"/>
      <c r="D9" s="1514"/>
      <c r="E9" s="1514"/>
      <c r="F9" s="1514"/>
      <c r="G9" s="1514"/>
      <c r="H9" s="1514"/>
      <c r="I9" s="1514"/>
      <c r="J9" s="1514"/>
      <c r="K9" s="1514"/>
      <c r="L9" s="1514"/>
      <c r="M9" s="1514"/>
      <c r="N9" s="1514"/>
      <c r="O9" s="1514"/>
      <c r="P9" s="1514"/>
      <c r="Q9" s="1514"/>
      <c r="R9" s="1514"/>
      <c r="S9" s="1514"/>
      <c r="T9" s="1514"/>
      <c r="U9" s="1514"/>
      <c r="V9" s="1514"/>
      <c r="W9" s="1514"/>
      <c r="X9" s="1514"/>
      <c r="Y9" s="1514"/>
      <c r="Z9" s="1514"/>
      <c r="AA9" s="1514"/>
      <c r="AB9" s="1515"/>
      <c r="AE9" s="1513"/>
      <c r="AF9" s="1514"/>
      <c r="AG9" s="1514"/>
      <c r="AH9" s="1514"/>
      <c r="AI9" s="1514"/>
      <c r="AJ9" s="1514"/>
      <c r="AK9" s="1514"/>
      <c r="AL9" s="1514"/>
      <c r="AM9" s="1514"/>
      <c r="AN9" s="1514"/>
      <c r="AO9" s="1514"/>
      <c r="AP9" s="1514"/>
      <c r="AQ9" s="1514"/>
      <c r="AR9" s="1514"/>
      <c r="AS9" s="1514"/>
      <c r="AT9" s="1514"/>
      <c r="AU9" s="1514"/>
      <c r="AV9" s="1514"/>
      <c r="AW9" s="1514"/>
      <c r="AX9" s="1514"/>
      <c r="AY9" s="1514"/>
      <c r="AZ9" s="1514"/>
      <c r="BA9" s="1514"/>
      <c r="BB9" s="1514"/>
      <c r="BC9" s="1514"/>
      <c r="BD9" s="1514"/>
      <c r="BE9" s="1515"/>
      <c r="BI9" s="68" t="s">
        <v>270</v>
      </c>
      <c r="BJ9" s="717"/>
      <c r="BK9" s="717"/>
      <c r="BL9" s="717"/>
      <c r="BM9" s="717"/>
      <c r="BN9" s="717"/>
      <c r="BO9" s="717"/>
      <c r="BP9" s="717"/>
      <c r="BQ9" s="717"/>
      <c r="BR9" s="717"/>
      <c r="BS9" s="717"/>
      <c r="BT9" s="717"/>
      <c r="BU9" s="717"/>
      <c r="BV9" s="717"/>
      <c r="BX9" s="68"/>
    </row>
    <row r="10" spans="2:76" ht="14.65" customHeight="1">
      <c r="B10" s="1513"/>
      <c r="C10" s="1514"/>
      <c r="D10" s="1514"/>
      <c r="E10" s="1514"/>
      <c r="F10" s="1514"/>
      <c r="G10" s="1514"/>
      <c r="H10" s="1514"/>
      <c r="I10" s="1514"/>
      <c r="J10" s="1514"/>
      <c r="K10" s="1514"/>
      <c r="L10" s="1514"/>
      <c r="M10" s="1514"/>
      <c r="N10" s="1514"/>
      <c r="O10" s="1514"/>
      <c r="P10" s="1514"/>
      <c r="Q10" s="1514"/>
      <c r="R10" s="1514"/>
      <c r="S10" s="1514"/>
      <c r="T10" s="1514"/>
      <c r="U10" s="1514"/>
      <c r="V10" s="1514"/>
      <c r="W10" s="1514"/>
      <c r="X10" s="1514"/>
      <c r="Y10" s="1514"/>
      <c r="Z10" s="1514"/>
      <c r="AA10" s="1514"/>
      <c r="AB10" s="1515"/>
      <c r="AE10" s="1513"/>
      <c r="AF10" s="1514"/>
      <c r="AG10" s="1514"/>
      <c r="AH10" s="1514"/>
      <c r="AI10" s="1514"/>
      <c r="AJ10" s="1514"/>
      <c r="AK10" s="1514"/>
      <c r="AL10" s="1514"/>
      <c r="AM10" s="1514"/>
      <c r="AN10" s="1514"/>
      <c r="AO10" s="1514"/>
      <c r="AP10" s="1514"/>
      <c r="AQ10" s="1514"/>
      <c r="AR10" s="1514"/>
      <c r="AS10" s="1514"/>
      <c r="AT10" s="1514"/>
      <c r="AU10" s="1514"/>
      <c r="AV10" s="1514"/>
      <c r="AW10" s="1514"/>
      <c r="AX10" s="1514"/>
      <c r="AY10" s="1514"/>
      <c r="AZ10" s="1514"/>
      <c r="BA10" s="1514"/>
      <c r="BB10" s="1514"/>
      <c r="BC10" s="1514"/>
      <c r="BD10" s="1514"/>
      <c r="BE10" s="1515"/>
      <c r="BI10" s="68" t="s">
        <v>271</v>
      </c>
      <c r="BJ10" s="717">
        <v>0</v>
      </c>
      <c r="BK10" s="717"/>
      <c r="BL10" s="717"/>
      <c r="BM10" s="717"/>
      <c r="BN10" s="717"/>
      <c r="BO10" s="717"/>
      <c r="BP10" s="717"/>
      <c r="BQ10" s="717"/>
      <c r="BR10" s="717"/>
      <c r="BS10" s="717"/>
      <c r="BT10" s="717"/>
      <c r="BU10" s="717"/>
      <c r="BV10" s="717"/>
      <c r="BX10" s="68"/>
    </row>
    <row r="11" spans="2:76" ht="14.65" customHeight="1">
      <c r="B11" s="1516"/>
      <c r="C11" s="1517"/>
      <c r="D11" s="1517"/>
      <c r="E11" s="1517"/>
      <c r="F11" s="1517"/>
      <c r="G11" s="1517"/>
      <c r="H11" s="1517"/>
      <c r="I11" s="1517"/>
      <c r="J11" s="1517"/>
      <c r="K11" s="1517"/>
      <c r="L11" s="1517"/>
      <c r="M11" s="1517"/>
      <c r="N11" s="1517"/>
      <c r="O11" s="1517"/>
      <c r="P11" s="1517"/>
      <c r="Q11" s="1517"/>
      <c r="R11" s="1517"/>
      <c r="S11" s="1517"/>
      <c r="T11" s="1517"/>
      <c r="U11" s="1517"/>
      <c r="V11" s="1517"/>
      <c r="W11" s="1517"/>
      <c r="X11" s="1517"/>
      <c r="Y11" s="1517"/>
      <c r="Z11" s="1517"/>
      <c r="AA11" s="1517"/>
      <c r="AB11" s="1518"/>
      <c r="AE11" s="1516"/>
      <c r="AF11" s="1517"/>
      <c r="AG11" s="1517"/>
      <c r="AH11" s="1517"/>
      <c r="AI11" s="1517"/>
      <c r="AJ11" s="1517"/>
      <c r="AK11" s="1517"/>
      <c r="AL11" s="1517"/>
      <c r="AM11" s="1517"/>
      <c r="AN11" s="1517"/>
      <c r="AO11" s="1517"/>
      <c r="AP11" s="1517"/>
      <c r="AQ11" s="1517"/>
      <c r="AR11" s="1517"/>
      <c r="AS11" s="1517"/>
      <c r="AT11" s="1517"/>
      <c r="AU11" s="1517"/>
      <c r="AV11" s="1517"/>
      <c r="AW11" s="1517"/>
      <c r="AX11" s="1517"/>
      <c r="AY11" s="1517"/>
      <c r="AZ11" s="1517"/>
      <c r="BA11" s="1517"/>
      <c r="BB11" s="1517"/>
      <c r="BC11" s="1517"/>
      <c r="BD11" s="1517"/>
      <c r="BE11" s="1518"/>
      <c r="BI11" s="68" t="s">
        <v>272</v>
      </c>
      <c r="BJ11" s="717"/>
      <c r="BK11" s="717"/>
      <c r="BL11" s="717"/>
      <c r="BM11" s="717"/>
      <c r="BN11" s="717"/>
      <c r="BO11" s="717"/>
      <c r="BP11" s="717"/>
      <c r="BQ11" s="717"/>
      <c r="BR11" s="717"/>
      <c r="BS11" s="717"/>
      <c r="BT11" s="717"/>
      <c r="BU11" s="717"/>
      <c r="BV11" s="717"/>
      <c r="BX11" s="68"/>
    </row>
    <row r="12" spans="2:76" ht="14.65" customHeight="1">
      <c r="BI12" s="68" t="s">
        <v>273</v>
      </c>
      <c r="BJ12" s="717"/>
      <c r="BK12" s="717"/>
      <c r="BL12" s="717"/>
      <c r="BM12" s="717"/>
      <c r="BN12" s="717"/>
      <c r="BO12" s="717"/>
      <c r="BP12" s="717"/>
      <c r="BQ12" s="717"/>
      <c r="BR12" s="717"/>
      <c r="BS12" s="717"/>
      <c r="BT12" s="717"/>
      <c r="BU12" s="717"/>
      <c r="BV12" s="717"/>
      <c r="BX12" s="68"/>
    </row>
    <row r="13" spans="2:76" ht="14.65" customHeight="1">
      <c r="B13" s="45" t="s">
        <v>14</v>
      </c>
      <c r="C13" s="46"/>
      <c r="D13" s="46"/>
      <c r="E13" s="46"/>
      <c r="F13" s="11"/>
      <c r="G13" s="11"/>
      <c r="H13" s="11"/>
      <c r="I13" s="11"/>
      <c r="J13" s="11"/>
      <c r="K13" s="11"/>
      <c r="L13" s="11"/>
      <c r="M13" s="11"/>
      <c r="N13" s="11"/>
      <c r="O13" s="11"/>
      <c r="P13" s="11"/>
      <c r="Q13" s="11"/>
      <c r="R13" s="11"/>
      <c r="S13" s="11"/>
      <c r="T13" s="11"/>
      <c r="U13" s="11"/>
      <c r="V13" s="11"/>
      <c r="W13" s="11"/>
      <c r="X13" s="11"/>
      <c r="Y13" s="11"/>
      <c r="Z13" s="11"/>
      <c r="AA13" s="11"/>
      <c r="AB13" s="11"/>
      <c r="AE13" s="60" t="s">
        <v>59</v>
      </c>
      <c r="AF13" s="61"/>
      <c r="AG13" s="62"/>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I13" s="68" t="s">
        <v>274</v>
      </c>
      <c r="BJ13" s="717"/>
      <c r="BK13" s="717"/>
      <c r="BL13" s="717"/>
      <c r="BM13" s="717"/>
      <c r="BN13" s="717"/>
      <c r="BO13" s="717"/>
      <c r="BP13" s="717"/>
      <c r="BQ13" s="717"/>
      <c r="BR13" s="717"/>
      <c r="BS13" s="717"/>
      <c r="BT13" s="717"/>
      <c r="BU13" s="717"/>
      <c r="BV13" s="717"/>
      <c r="BX13" s="68"/>
    </row>
    <row r="14" spans="2:76" ht="14.65" customHeight="1">
      <c r="B14" s="64"/>
      <c r="C14" s="64"/>
      <c r="D14" s="64"/>
      <c r="E14" s="64"/>
      <c r="F14" s="64"/>
      <c r="G14" s="64"/>
      <c r="H14" s="64"/>
      <c r="I14" s="67"/>
      <c r="J14" s="67"/>
      <c r="K14" s="88"/>
      <c r="L14" s="64"/>
      <c r="M14" s="64"/>
      <c r="N14" s="65"/>
      <c r="O14" s="64"/>
      <c r="P14" s="64"/>
      <c r="Q14" s="64"/>
      <c r="R14" s="64"/>
      <c r="S14" s="64"/>
      <c r="T14" s="64"/>
      <c r="U14" s="64"/>
      <c r="V14" s="1529"/>
      <c r="W14" s="1529"/>
      <c r="X14" s="64"/>
      <c r="Y14" s="64"/>
      <c r="Z14" s="64"/>
      <c r="AA14" s="64"/>
      <c r="AB14" s="64"/>
      <c r="AE14" s="89"/>
      <c r="AF14" s="64"/>
      <c r="AG14" s="64"/>
      <c r="AH14" s="64"/>
      <c r="AI14" s="64"/>
      <c r="AJ14" s="64"/>
      <c r="AK14" s="90"/>
      <c r="AL14" s="90"/>
      <c r="AM14" s="90"/>
      <c r="AN14" s="90"/>
      <c r="AO14" s="91"/>
      <c r="AP14" s="92"/>
      <c r="AQ14" s="92"/>
      <c r="AR14" s="92"/>
      <c r="AS14" s="90"/>
      <c r="AT14" s="91"/>
      <c r="AU14" s="90"/>
      <c r="AV14" s="90"/>
      <c r="AW14" s="90"/>
      <c r="AX14" s="64"/>
      <c r="AY14" s="64"/>
      <c r="AZ14" s="64"/>
      <c r="BA14" s="64"/>
      <c r="BB14" s="64"/>
      <c r="BC14" s="64"/>
      <c r="BD14" s="64"/>
      <c r="BE14" s="64"/>
      <c r="BI14" s="68" t="s">
        <v>41</v>
      </c>
      <c r="BJ14" s="143">
        <f t="shared" ref="BJ14:BO14" si="1">SUM(BJ6:BJ13)</f>
        <v>4</v>
      </c>
      <c r="BK14" s="143">
        <f t="shared" si="1"/>
        <v>4</v>
      </c>
      <c r="BL14" s="143">
        <f t="shared" si="1"/>
        <v>4</v>
      </c>
      <c r="BM14" s="143">
        <f t="shared" si="1"/>
        <v>4</v>
      </c>
      <c r="BN14" s="143">
        <f t="shared" si="1"/>
        <v>4</v>
      </c>
      <c r="BO14" s="143">
        <f t="shared" si="1"/>
        <v>4</v>
      </c>
      <c r="BP14" s="143">
        <f t="shared" ref="BP14:BV14" si="2">SUM(BP6:BP13)</f>
        <v>4</v>
      </c>
      <c r="BQ14" s="143">
        <f t="shared" si="2"/>
        <v>4</v>
      </c>
      <c r="BR14" s="143">
        <f t="shared" si="2"/>
        <v>4</v>
      </c>
      <c r="BS14" s="143">
        <f t="shared" si="2"/>
        <v>4</v>
      </c>
      <c r="BT14" s="143">
        <f t="shared" si="2"/>
        <v>4</v>
      </c>
      <c r="BU14" s="143">
        <f t="shared" si="2"/>
        <v>4</v>
      </c>
      <c r="BV14" s="143">
        <f t="shared" si="2"/>
        <v>4</v>
      </c>
      <c r="BX14" s="68"/>
    </row>
    <row r="15" spans="2:76" ht="14.65" customHeight="1">
      <c r="B15" s="1519" t="s">
        <v>185</v>
      </c>
      <c r="C15" s="1519"/>
      <c r="D15" s="1519"/>
      <c r="E15" s="1519"/>
      <c r="F15" s="1519"/>
      <c r="G15" s="1519"/>
      <c r="I15" s="1519" t="s">
        <v>275</v>
      </c>
      <c r="J15" s="1531"/>
      <c r="K15" s="1531"/>
      <c r="L15" s="1531"/>
      <c r="M15" s="1531"/>
      <c r="N15" s="1531"/>
      <c r="O15" s="1531"/>
      <c r="P15" s="1531"/>
      <c r="Q15" s="1531"/>
      <c r="R15" s="1531"/>
      <c r="S15" s="1531"/>
      <c r="T15" s="1531"/>
      <c r="U15" s="1531"/>
      <c r="V15" s="1531"/>
      <c r="W15" s="172"/>
      <c r="X15" s="1532" t="s">
        <v>360</v>
      </c>
      <c r="Y15" s="1136"/>
      <c r="Z15" s="1136"/>
      <c r="AA15" s="1136"/>
      <c r="AB15" s="1136"/>
      <c r="AE15" s="1519" t="s">
        <v>277</v>
      </c>
      <c r="AF15" s="1519"/>
      <c r="AG15" s="1519"/>
      <c r="AH15" s="1519"/>
      <c r="AI15" s="1519"/>
      <c r="AJ15" s="1519"/>
      <c r="AK15" s="68"/>
      <c r="AL15" s="1129" t="s">
        <v>62</v>
      </c>
      <c r="AM15" s="1129"/>
      <c r="AN15" s="1129"/>
      <c r="AO15" s="1129"/>
      <c r="AP15" s="1519" t="str">
        <f>CONCATENATE(Cover!M36,"+",12-Cover!M36)</f>
        <v>1+11</v>
      </c>
      <c r="AQ15" s="1519"/>
      <c r="AR15" s="68"/>
      <c r="AS15" s="1519" t="s">
        <v>278</v>
      </c>
      <c r="AT15" s="1519"/>
      <c r="AU15" s="1519"/>
      <c r="AV15" s="1519"/>
      <c r="AW15" s="1519"/>
      <c r="AX15" s="1519"/>
      <c r="AY15" s="68"/>
      <c r="AZ15" s="1519" t="s">
        <v>279</v>
      </c>
      <c r="BA15" s="1519"/>
      <c r="BB15" s="1519"/>
      <c r="BC15" s="1519"/>
      <c r="BD15" s="1519"/>
      <c r="BE15" s="1519"/>
      <c r="BU15" s="6"/>
    </row>
    <row r="16" spans="2:76" ht="14.65" customHeight="1">
      <c r="E16" s="78" t="s">
        <v>263</v>
      </c>
      <c r="G16" s="77">
        <f>SUMIF(BJ4:BV4,BE5,BJ6:BV6)</f>
        <v>0</v>
      </c>
      <c r="I16" s="1522" t="s">
        <v>280</v>
      </c>
      <c r="J16" s="1523"/>
      <c r="K16" s="1523"/>
      <c r="L16" s="1524"/>
      <c r="N16" s="1522" t="s">
        <v>281</v>
      </c>
      <c r="O16" s="1523"/>
      <c r="P16" s="1523"/>
      <c r="Q16" s="1524"/>
      <c r="S16" s="1522" t="s">
        <v>282</v>
      </c>
      <c r="T16" s="1523"/>
      <c r="U16" s="1523"/>
      <c r="V16" s="1524"/>
      <c r="X16" s="183" t="s">
        <v>361</v>
      </c>
      <c r="Y16" s="235"/>
      <c r="Z16" s="236"/>
      <c r="AA16" s="183"/>
      <c r="AB16" s="183"/>
      <c r="AE16" s="68"/>
      <c r="AF16" s="68"/>
      <c r="AG16" s="68"/>
      <c r="AI16" s="68"/>
      <c r="AJ16" s="103" t="s">
        <v>61</v>
      </c>
      <c r="AK16" s="68"/>
      <c r="AL16" s="68"/>
      <c r="AM16" s="68"/>
      <c r="AN16" s="68"/>
      <c r="AO16" s="68"/>
      <c r="AP16" s="68"/>
      <c r="AQ16" s="68"/>
      <c r="AR16" s="68"/>
      <c r="AS16" s="68"/>
      <c r="AT16" s="68"/>
      <c r="AU16" s="68"/>
      <c r="AV16" s="68"/>
      <c r="AW16" s="68"/>
      <c r="AX16" s="68"/>
      <c r="AY16" s="68"/>
      <c r="AZ16" s="68"/>
      <c r="BA16" s="68"/>
      <c r="BB16" s="68"/>
      <c r="BC16" s="68"/>
      <c r="BD16" s="68"/>
      <c r="BE16" s="68"/>
      <c r="BI16" s="68" t="s">
        <v>284</v>
      </c>
      <c r="BJ16" s="719">
        <v>0</v>
      </c>
      <c r="BK16" s="719"/>
      <c r="BL16" s="719"/>
      <c r="BM16" s="719"/>
      <c r="BN16" s="719"/>
      <c r="BO16" s="719"/>
      <c r="BP16" s="719"/>
      <c r="BQ16" s="719"/>
      <c r="BR16" s="719"/>
      <c r="BS16" s="719"/>
      <c r="BT16" s="719"/>
      <c r="BU16" s="719"/>
      <c r="BV16" s="719"/>
    </row>
    <row r="17" spans="2:81" ht="14.65" customHeight="1">
      <c r="E17" s="78" t="s">
        <v>285</v>
      </c>
      <c r="G17" s="77">
        <f>V20</f>
        <v>0</v>
      </c>
      <c r="I17" s="79"/>
      <c r="J17" s="78" t="s">
        <v>266</v>
      </c>
      <c r="K17" s="77">
        <f>SUMIF(BJ4:BV4,BE5,BJ7:BV7)</f>
        <v>0</v>
      </c>
      <c r="L17" s="80"/>
      <c r="N17" s="79"/>
      <c r="O17" s="78" t="s">
        <v>286</v>
      </c>
      <c r="P17" s="77">
        <f>SUMIF(BJ4:BV4,BE5,BJ9:BV9)</f>
        <v>0</v>
      </c>
      <c r="Q17" s="80"/>
      <c r="S17" s="79"/>
      <c r="T17" s="78" t="s">
        <v>286</v>
      </c>
      <c r="U17" s="77">
        <f>SUMIF(BJ4:BV4,BE5,BJ11:BV11)</f>
        <v>0</v>
      </c>
      <c r="V17" s="85"/>
      <c r="X17" s="183" t="s">
        <v>287</v>
      </c>
      <c r="Y17" s="235"/>
      <c r="Z17" s="236"/>
      <c r="AA17" s="183">
        <f>SUMIF(Admin4!$B$5:$B$298,"10201",Admin4!$C$5:$C$298)</f>
        <v>0</v>
      </c>
      <c r="AB17" s="183"/>
      <c r="AE17" s="68"/>
      <c r="AF17" s="68"/>
      <c r="AG17" s="68"/>
      <c r="AI17" s="68"/>
      <c r="AJ17" s="97" t="s">
        <v>63</v>
      </c>
      <c r="AK17" s="68"/>
      <c r="AL17" s="68"/>
      <c r="AM17" s="68"/>
      <c r="AN17" s="1530" t="e">
        <f>SUMIF(Admin3!C8:O8,AR!BE5,Admin3!#REF!)</f>
        <v>#REF!</v>
      </c>
      <c r="AO17" s="1530"/>
      <c r="AP17" s="1530"/>
      <c r="AQ17" s="1530"/>
      <c r="AR17" s="68"/>
      <c r="AS17" s="68"/>
      <c r="AT17" s="68"/>
      <c r="AU17" s="1530" t="e">
        <f>SUMIF(Admin3!C8:O8,AR!BE5,Admin3!#REF!)-SUMIF(Admin3!C8:O8,AR!BE5,Admin3!#REF!)</f>
        <v>#REF!</v>
      </c>
      <c r="AV17" s="1530"/>
      <c r="AW17" s="1530"/>
      <c r="AX17" s="1530"/>
      <c r="AY17" s="68"/>
      <c r="AZ17" s="68"/>
      <c r="BA17" s="68"/>
      <c r="BB17" s="1530" t="e">
        <f>SUMIF(Admin3!C8:O8,AR!BE5,Admin3!#REF!)-SUMIF(Admin3!C8:O8,AR!BE5,Admin3!#REF!)</f>
        <v>#REF!</v>
      </c>
      <c r="BC17" s="1530"/>
      <c r="BD17" s="1530"/>
      <c r="BE17" s="1530"/>
    </row>
    <row r="18" spans="2:81" ht="14.65" customHeight="1">
      <c r="E18" s="78" t="s">
        <v>240</v>
      </c>
      <c r="G18" s="77">
        <f>SUMIF(BJ4:BV4,BE5,BJ13:BV13)</f>
        <v>0</v>
      </c>
      <c r="I18" s="81"/>
      <c r="J18" s="82" t="s">
        <v>288</v>
      </c>
      <c r="K18" s="83">
        <f>SUMIF(BJ4:BV4,BE5,BJ8:BV8)</f>
        <v>0</v>
      </c>
      <c r="L18" s="84"/>
      <c r="N18" s="81"/>
      <c r="O18" s="82" t="s">
        <v>289</v>
      </c>
      <c r="P18" s="83">
        <f>SUMIF(BJ4:BV4,BE5,BJ10:BV10)</f>
        <v>0</v>
      </c>
      <c r="Q18" s="84"/>
      <c r="S18" s="81"/>
      <c r="T18" s="82" t="s">
        <v>289</v>
      </c>
      <c r="U18" s="83">
        <f>SUMIF(BJ4:BV4,BE5,BJ12:BV12)</f>
        <v>0</v>
      </c>
      <c r="V18" s="86"/>
      <c r="X18" s="183"/>
      <c r="Y18" s="235"/>
      <c r="Z18" s="236"/>
      <c r="AA18" s="183"/>
      <c r="AB18" s="183"/>
      <c r="AE18" s="68"/>
      <c r="AF18" s="68"/>
      <c r="AG18" s="68"/>
      <c r="AH18" s="68"/>
      <c r="AI18" s="94"/>
      <c r="AJ18" s="97" t="s">
        <v>64</v>
      </c>
      <c r="AK18" s="68"/>
      <c r="AL18" s="68"/>
      <c r="AM18" s="68"/>
      <c r="AN18" s="1530" t="e">
        <f>SUMIF(Admin3!C8:O8,AR!BE5,Admin3!#REF!)</f>
        <v>#REF!</v>
      </c>
      <c r="AO18" s="1530"/>
      <c r="AP18" s="1530"/>
      <c r="AQ18" s="1530"/>
      <c r="AR18" s="68"/>
      <c r="AS18" s="68"/>
      <c r="AT18" s="68"/>
      <c r="AU18" s="1530" t="e">
        <f>SUMIF(Admin3!C8:O8,AR!BE5,Admin3!#REF!)-SUMIF(Admin3!C8:O8,AR!BE5,Admin3!#REF!)</f>
        <v>#REF!</v>
      </c>
      <c r="AV18" s="1530"/>
      <c r="AW18" s="1530"/>
      <c r="AX18" s="1530"/>
      <c r="AY18" s="68"/>
      <c r="AZ18" s="68"/>
      <c r="BA18" s="68"/>
      <c r="BB18" s="1530" t="e">
        <f>SUMIF(Admin3!C8:O8,AR!BE5,Admin3!#REF!)-SUMIF(Admin3!C8:O8,AR!BE5,Admin3!#REF!)</f>
        <v>#REF!</v>
      </c>
      <c r="BC18" s="1530"/>
      <c r="BD18" s="1530"/>
      <c r="BE18" s="1530"/>
    </row>
    <row r="19" spans="2:81" ht="14.65" customHeight="1" thickBot="1">
      <c r="E19" s="78" t="s">
        <v>41</v>
      </c>
      <c r="G19" s="93">
        <f>SUM(G16:G18)</f>
        <v>0</v>
      </c>
      <c r="I19" s="94"/>
      <c r="J19" s="94"/>
      <c r="K19" s="94"/>
      <c r="L19" s="94"/>
      <c r="M19" s="94"/>
      <c r="N19" s="94"/>
      <c r="O19" s="94"/>
      <c r="P19" s="94"/>
      <c r="Q19" s="94"/>
      <c r="R19" s="94"/>
      <c r="S19" s="94"/>
      <c r="T19" s="94"/>
      <c r="U19" s="94"/>
      <c r="V19" s="94"/>
      <c r="W19" s="94"/>
      <c r="X19" s="183" t="s">
        <v>290</v>
      </c>
      <c r="Y19" s="235"/>
      <c r="Z19" s="236"/>
      <c r="AA19" s="237"/>
      <c r="AB19" s="237"/>
      <c r="AE19" s="68"/>
      <c r="AF19" s="68"/>
      <c r="AG19" s="68"/>
      <c r="AH19" s="68"/>
      <c r="AJ19" s="97" t="s">
        <v>65</v>
      </c>
      <c r="AN19" s="1533" t="e">
        <f>SUM(AN17:AQ18)</f>
        <v>#REF!</v>
      </c>
      <c r="AO19" s="1533"/>
      <c r="AP19" s="1533"/>
      <c r="AQ19" s="1533"/>
      <c r="AU19" s="1533" t="e">
        <f>SUM(AU17:AX18)</f>
        <v>#REF!</v>
      </c>
      <c r="AV19" s="1533"/>
      <c r="AW19" s="1533"/>
      <c r="AX19" s="1533"/>
      <c r="BB19" s="1533" t="e">
        <f>SUM(BB17:BE18)</f>
        <v>#REF!</v>
      </c>
      <c r="BC19" s="1533"/>
      <c r="BD19" s="1533"/>
      <c r="BE19" s="1533"/>
    </row>
    <row r="20" spans="2:81" ht="14.65" customHeight="1" thickTop="1" thickBot="1">
      <c r="B20" s="44"/>
      <c r="C20" s="44"/>
      <c r="D20" s="44"/>
      <c r="E20" s="78" t="s">
        <v>39</v>
      </c>
      <c r="G20" s="77">
        <f t="array" ref="G20">SUM(IF((Admin2!$C$6:$O$6=BE5)*(Admin2!$Q$9:$Q$83=BI2)*(Admin2!$B$9:$B$83="Annual Plan"),Admin2!$C$9:$O$83,0))</f>
        <v>0</v>
      </c>
      <c r="H20" s="94"/>
      <c r="I20" s="6" t="s">
        <v>284</v>
      </c>
      <c r="K20" s="94"/>
      <c r="L20" s="94"/>
      <c r="M20" s="144">
        <f>SUMIF(BJ4:BV4,BE5,BJ16:BV16)</f>
        <v>0</v>
      </c>
      <c r="T20" s="145" t="s">
        <v>291</v>
      </c>
      <c r="U20" s="94"/>
      <c r="V20" s="144">
        <f>SUM(K17:K18,P17:P18,U17:U18)</f>
        <v>0</v>
      </c>
      <c r="X20" s="183" t="s">
        <v>287</v>
      </c>
      <c r="Y20" s="235"/>
      <c r="Z20" s="236"/>
      <c r="AA20" s="183">
        <f>SUMIF(Admin4!$B$5:$B$298,"10201",Admin4!$D$5:$D$298)</f>
        <v>0</v>
      </c>
      <c r="AB20" s="183"/>
      <c r="AC20" s="94"/>
      <c r="AD20" s="94"/>
      <c r="AE20" s="65"/>
      <c r="AF20" s="65"/>
      <c r="AG20" s="65"/>
      <c r="AH20" s="65"/>
      <c r="BI20" s="4" t="s">
        <v>245</v>
      </c>
      <c r="BJ20" s="3"/>
      <c r="BK20" s="3"/>
      <c r="BL20" s="3"/>
      <c r="BM20" s="3"/>
      <c r="BN20" s="3"/>
      <c r="BO20" s="3"/>
      <c r="BP20" s="3"/>
      <c r="BQ20" s="3"/>
      <c r="BR20" s="3"/>
      <c r="BS20" s="3"/>
      <c r="BT20" s="3"/>
      <c r="BU20" s="3"/>
    </row>
    <row r="21" spans="2:81" ht="14.65" customHeight="1" thickTop="1" thickBot="1">
      <c r="B21" s="44"/>
      <c r="C21" s="44"/>
      <c r="D21" s="44"/>
      <c r="E21" s="78" t="s">
        <v>40</v>
      </c>
      <c r="F21" s="94"/>
      <c r="G21" s="93">
        <f t="array" ref="G21">SUM(IF((Admin2!$C$6:$O$6=BE5)*(Admin2!$Q$9:$Q$83=BI2)*(Admin2!$B$9:$B$83="Forecast"),Admin2!$C$9:$O$83,0))</f>
        <v>0</v>
      </c>
      <c r="H21" s="94"/>
      <c r="X21" s="183"/>
      <c r="Y21" s="235"/>
      <c r="Z21" s="236"/>
      <c r="AA21" s="183"/>
      <c r="AB21" s="183"/>
      <c r="AE21" s="64"/>
      <c r="AF21" s="64"/>
      <c r="AG21" s="64"/>
      <c r="AH21" s="64"/>
      <c r="AI21" s="68"/>
      <c r="AJ21" s="103" t="s">
        <v>23</v>
      </c>
      <c r="AK21" s="68"/>
      <c r="AL21" s="68"/>
      <c r="AM21" s="68"/>
      <c r="AN21" s="68"/>
      <c r="AO21" s="68"/>
      <c r="AP21" s="68"/>
      <c r="AQ21" s="68"/>
      <c r="AR21" s="68"/>
      <c r="AS21" s="68"/>
      <c r="AT21" s="68"/>
      <c r="AU21" s="68"/>
      <c r="AV21" s="68"/>
      <c r="AW21" s="68"/>
      <c r="AX21" s="68"/>
      <c r="AY21" s="68"/>
      <c r="AZ21" s="68"/>
      <c r="BA21" s="68"/>
      <c r="BB21" s="68"/>
      <c r="BC21" s="68"/>
      <c r="BD21" s="68"/>
      <c r="BE21" s="68"/>
      <c r="BI21" s="1" t="s">
        <v>292</v>
      </c>
      <c r="BJ21" s="1526" t="s">
        <v>608</v>
      </c>
      <c r="BK21" s="1526"/>
      <c r="BL21" s="1526"/>
      <c r="BM21" s="1526"/>
      <c r="BN21" s="1526"/>
      <c r="BO21" s="1526"/>
      <c r="BP21" s="1526"/>
      <c r="BQ21" s="1526"/>
      <c r="BR21" s="1526"/>
      <c r="BS21" s="1526"/>
      <c r="BT21" s="1526"/>
      <c r="BU21" s="1526"/>
    </row>
    <row r="22" spans="2:81" ht="14.65" customHeight="1" thickTop="1" thickBot="1">
      <c r="B22" s="44"/>
      <c r="C22" s="44"/>
      <c r="D22" s="44"/>
      <c r="E22" s="78" t="s">
        <v>294</v>
      </c>
      <c r="F22" s="94"/>
      <c r="G22" s="93">
        <f>$G$20-$G$19</f>
        <v>0</v>
      </c>
      <c r="H22" s="94"/>
      <c r="I22" s="236"/>
      <c r="J22" s="236"/>
      <c r="K22" s="236"/>
      <c r="L22" s="236"/>
      <c r="M22" s="236"/>
      <c r="N22" s="236"/>
      <c r="O22" s="236"/>
      <c r="P22" s="236"/>
      <c r="Q22" s="236"/>
      <c r="R22" s="236"/>
      <c r="S22" s="236"/>
      <c r="T22" s="236"/>
      <c r="U22" s="236"/>
      <c r="V22" s="236"/>
      <c r="W22" s="94"/>
      <c r="X22" s="183" t="s">
        <v>295</v>
      </c>
      <c r="Y22" s="235"/>
      <c r="Z22" s="236"/>
      <c r="AA22" s="237"/>
      <c r="AB22" s="238"/>
      <c r="AE22" s="64"/>
      <c r="AF22" s="64"/>
      <c r="AG22" s="64"/>
      <c r="AH22" s="64"/>
      <c r="AI22" s="68"/>
      <c r="AJ22" s="97" t="s">
        <v>63</v>
      </c>
      <c r="AK22" s="68"/>
      <c r="AL22" s="68"/>
      <c r="AM22" s="68"/>
      <c r="AN22" s="1530" t="e">
        <f>SUMIF(Admin3!C8:O8,AR!BE5,Admin3!#REF!)</f>
        <v>#REF!</v>
      </c>
      <c r="AO22" s="1530"/>
      <c r="AP22" s="1530"/>
      <c r="AQ22" s="1530"/>
      <c r="AR22" s="68"/>
      <c r="AS22" s="68"/>
      <c r="AT22" s="68"/>
      <c r="AU22" s="1530" t="e">
        <f>SUMIF(Admin3!C8:O8,AR!BE5,Admin3!#REF!)-SUMIF(Admin3!C8:O8,AR!BE5,Admin3!#REF!)</f>
        <v>#REF!</v>
      </c>
      <c r="AV22" s="1530"/>
      <c r="AW22" s="1530"/>
      <c r="AX22" s="1530"/>
      <c r="AY22" s="68"/>
      <c r="AZ22" s="68"/>
      <c r="BA22" s="68"/>
      <c r="BB22" s="1530" t="e">
        <f>SUMIF(Admin3!C8:O8,AR!BE5,Admin3!#REF!)-SUMIF(Admin3!C8:O8,AR!BE5,Admin3!#REF!)</f>
        <v>#REF!</v>
      </c>
      <c r="BC22" s="1530"/>
      <c r="BD22" s="1530"/>
      <c r="BE22" s="1530"/>
      <c r="BI22" s="54" t="s">
        <v>296</v>
      </c>
      <c r="BJ22" s="1527" t="s">
        <v>609</v>
      </c>
      <c r="BK22" s="1527"/>
      <c r="BL22" s="1527"/>
      <c r="BM22" s="1527"/>
      <c r="BN22" s="1527"/>
      <c r="BO22" s="1527"/>
      <c r="BP22" s="1527"/>
      <c r="BQ22" s="1527"/>
      <c r="BR22" s="1527"/>
      <c r="BS22" s="1527"/>
      <c r="BT22" s="1527"/>
      <c r="BU22" s="1527"/>
    </row>
    <row r="23" spans="2:81" ht="14.65" customHeight="1" thickTop="1" thickBot="1">
      <c r="B23" s="44"/>
      <c r="C23" s="44"/>
      <c r="D23" s="44"/>
      <c r="E23" s="78" t="s">
        <v>298</v>
      </c>
      <c r="F23" s="94"/>
      <c r="G23" s="93">
        <f>$G$21-$G$19</f>
        <v>0</v>
      </c>
      <c r="H23" s="94"/>
      <c r="I23" s="236"/>
      <c r="J23" s="236"/>
      <c r="K23" s="236"/>
      <c r="L23" s="236"/>
      <c r="M23" s="236"/>
      <c r="N23" s="236"/>
      <c r="O23" s="236"/>
      <c r="P23" s="236"/>
      <c r="Q23" s="236"/>
      <c r="R23" s="236"/>
      <c r="S23" s="236"/>
      <c r="T23" s="236"/>
      <c r="U23" s="236"/>
      <c r="V23" s="236"/>
      <c r="W23" s="94"/>
      <c r="X23" s="183" t="s">
        <v>299</v>
      </c>
      <c r="Y23" s="235"/>
      <c r="Z23" s="236"/>
      <c r="AA23" s="183">
        <f>SUMIF(Admin4!$L$5:$L$298,"10201",Admin4!$N$5:$N$298)</f>
        <v>0</v>
      </c>
      <c r="AB23" s="238"/>
      <c r="AE23" s="64"/>
      <c r="AF23" s="64"/>
      <c r="AG23" s="64"/>
      <c r="AH23" s="64"/>
      <c r="AI23" s="64"/>
      <c r="AJ23" s="97" t="s">
        <v>64</v>
      </c>
      <c r="AK23" s="68"/>
      <c r="AL23" s="68"/>
      <c r="AM23" s="68"/>
      <c r="AN23" s="1530" t="e">
        <f>SUMIF(Admin3!C8:O8,AR!BE5,Admin3!#REF!)</f>
        <v>#REF!</v>
      </c>
      <c r="AO23" s="1530"/>
      <c r="AP23" s="1530"/>
      <c r="AQ23" s="1530"/>
      <c r="AR23" s="68"/>
      <c r="AS23" s="68"/>
      <c r="AT23" s="68"/>
      <c r="AU23" s="1530" t="e">
        <f>SUMIF(Admin3!C8:O8,AR!BE5,Admin3!#REF!)-SUMIF(Admin3!C8:O8,AR!BE5,Admin3!#REF!)</f>
        <v>#REF!</v>
      </c>
      <c r="AV23" s="1530"/>
      <c r="AW23" s="1530"/>
      <c r="AX23" s="1530"/>
      <c r="AY23" s="68"/>
      <c r="AZ23" s="68"/>
      <c r="BA23" s="68"/>
      <c r="BB23" s="1530" t="e">
        <f>SUMIF(Admin3!C8:O8,AR!BE5,Admin3!#REF!)-SUMIF(Admin3!C8:O8,AR!BE5,Admin3!#REF!)</f>
        <v>#REF!</v>
      </c>
      <c r="BC23" s="1530"/>
      <c r="BD23" s="1530"/>
      <c r="BE23" s="1530"/>
      <c r="BI23" s="1" t="s">
        <v>300</v>
      </c>
      <c r="BJ23" s="1527" t="s">
        <v>610</v>
      </c>
      <c r="BK23" s="1527"/>
      <c r="BL23" s="1527"/>
      <c r="BM23" s="1527"/>
      <c r="BN23" s="1527"/>
      <c r="BO23" s="1527"/>
      <c r="BP23" s="1527"/>
      <c r="BQ23" s="1527"/>
      <c r="BR23" s="1527"/>
      <c r="BS23" s="1527"/>
      <c r="BT23" s="1527"/>
      <c r="BU23" s="1527"/>
    </row>
    <row r="24" spans="2:81" ht="14.65" customHeight="1" thickTop="1" thickBot="1">
      <c r="B24" s="44"/>
      <c r="C24" s="44"/>
      <c r="D24" s="44"/>
      <c r="E24" s="78"/>
      <c r="F24" s="94"/>
      <c r="G24" s="78"/>
      <c r="H24" s="94"/>
      <c r="I24" s="96"/>
      <c r="J24" s="96"/>
      <c r="K24" s="94"/>
      <c r="L24" s="94"/>
      <c r="U24" s="94"/>
      <c r="V24" s="94"/>
      <c r="W24" s="94"/>
      <c r="X24" s="239"/>
      <c r="Y24" s="239"/>
      <c r="Z24" s="240"/>
      <c r="AA24" s="239"/>
      <c r="AB24" s="241"/>
      <c r="AE24" s="64"/>
      <c r="AF24" s="64"/>
      <c r="AG24" s="64"/>
      <c r="AH24" s="64"/>
      <c r="AI24" s="64"/>
      <c r="AJ24" s="97" t="s">
        <v>65</v>
      </c>
      <c r="AK24" s="68"/>
      <c r="AL24" s="68"/>
      <c r="AM24" s="68"/>
      <c r="AN24" s="1533" t="e">
        <f>SUM(AN22:AQ23)</f>
        <v>#REF!</v>
      </c>
      <c r="AO24" s="1533"/>
      <c r="AP24" s="1533"/>
      <c r="AQ24" s="1533"/>
      <c r="AR24" s="68"/>
      <c r="AS24" s="68"/>
      <c r="AT24" s="68"/>
      <c r="AU24" s="1533" t="e">
        <f>SUM(AU22:AX23)</f>
        <v>#REF!</v>
      </c>
      <c r="AV24" s="1533"/>
      <c r="AW24" s="1533"/>
      <c r="AX24" s="1533"/>
      <c r="AY24" s="68"/>
      <c r="AZ24" s="68"/>
      <c r="BA24" s="68"/>
      <c r="BB24" s="1533" t="e">
        <f>SUM(BB22:BE23)</f>
        <v>#REF!</v>
      </c>
      <c r="BC24" s="1533"/>
      <c r="BD24" s="1533"/>
      <c r="BE24" s="1533"/>
      <c r="BI24" s="2"/>
      <c r="BJ24" s="2"/>
      <c r="BK24" s="2"/>
      <c r="BL24" s="1490" t="s">
        <v>487</v>
      </c>
      <c r="BM24" s="1491"/>
      <c r="BN24" s="1491"/>
      <c r="BO24" s="1491"/>
      <c r="BP24" s="1521"/>
      <c r="BQ24" s="1490" t="s">
        <v>522</v>
      </c>
      <c r="BR24" s="1491"/>
      <c r="BS24" s="1491"/>
      <c r="BT24" s="1491"/>
      <c r="BU24" s="1492"/>
      <c r="BW24" s="1490" t="s">
        <v>303</v>
      </c>
      <c r="BX24" s="1491"/>
      <c r="BY24" s="1491"/>
      <c r="BZ24" s="1491"/>
      <c r="CA24" s="1491"/>
      <c r="CB24" s="1491"/>
      <c r="CC24" s="1492"/>
    </row>
    <row r="25" spans="2:81" ht="14.65" customHeight="1" thickTop="1">
      <c r="B25" s="44"/>
      <c r="C25" s="44"/>
      <c r="D25" s="44"/>
      <c r="E25" s="78"/>
      <c r="F25" s="94"/>
      <c r="G25" s="95">
        <f>G26-SUM($G$16:$G$17)</f>
        <v>0</v>
      </c>
      <c r="H25" s="94"/>
      <c r="I25" s="96" t="str">
        <f>IF(G25&lt;&gt;0,"There is a variance in reported ending EEs.","")</f>
        <v/>
      </c>
      <c r="J25" s="96"/>
      <c r="K25" s="94"/>
      <c r="L25" s="94"/>
      <c r="U25" s="94"/>
      <c r="V25" s="94"/>
      <c r="W25" s="94"/>
      <c r="X25" s="239"/>
      <c r="Y25" s="239"/>
      <c r="Z25" s="240"/>
      <c r="AA25" s="239"/>
      <c r="AB25" s="241"/>
      <c r="AE25" s="64"/>
      <c r="AF25" s="64"/>
      <c r="AG25" s="64"/>
      <c r="AH25" s="64"/>
      <c r="AI25" s="64"/>
      <c r="AJ25" s="97"/>
      <c r="AK25" s="68"/>
      <c r="AL25" s="68"/>
      <c r="AM25" s="68"/>
      <c r="AN25" s="221"/>
      <c r="AO25" s="221"/>
      <c r="AP25" s="221"/>
      <c r="AQ25" s="221"/>
      <c r="AR25" s="68"/>
      <c r="AS25" s="68"/>
      <c r="AT25" s="68"/>
      <c r="AU25" s="221"/>
      <c r="AV25" s="221"/>
      <c r="AW25" s="221"/>
      <c r="AX25" s="221"/>
      <c r="AY25" s="68"/>
      <c r="AZ25" s="68"/>
      <c r="BA25" s="68"/>
      <c r="BB25" s="221"/>
      <c r="BC25" s="221"/>
      <c r="BD25" s="221"/>
      <c r="BE25" s="221"/>
      <c r="BI25" s="720" t="s">
        <v>23</v>
      </c>
      <c r="BJ25" s="720" t="s">
        <v>37</v>
      </c>
      <c r="BK25" s="720" t="s">
        <v>304</v>
      </c>
      <c r="BL25" s="721" t="s">
        <v>305</v>
      </c>
      <c r="BM25" s="721" t="s">
        <v>306</v>
      </c>
      <c r="BN25" s="721" t="s">
        <v>488</v>
      </c>
      <c r="BO25" s="135" t="s">
        <v>489</v>
      </c>
      <c r="BP25" s="721" t="s">
        <v>490</v>
      </c>
      <c r="BQ25" s="721" t="s">
        <v>305</v>
      </c>
      <c r="BR25" s="721" t="s">
        <v>523</v>
      </c>
      <c r="BS25" s="721" t="s">
        <v>524</v>
      </c>
      <c r="BT25" s="135" t="s">
        <v>525</v>
      </c>
      <c r="BU25" s="721" t="s">
        <v>526</v>
      </c>
      <c r="BW25" s="164" t="s">
        <v>314</v>
      </c>
      <c r="BX25" s="164" t="s">
        <v>23</v>
      </c>
      <c r="BY25" s="169" t="s">
        <v>315</v>
      </c>
      <c r="BZ25" s="164" t="s">
        <v>122</v>
      </c>
      <c r="CA25" s="164" t="s">
        <v>316</v>
      </c>
      <c r="CB25" s="164" t="s">
        <v>317</v>
      </c>
      <c r="CC25" s="164" t="s">
        <v>318</v>
      </c>
    </row>
    <row r="26" spans="2:81" ht="14.65" customHeight="1">
      <c r="B26" s="44"/>
      <c r="C26" s="44"/>
      <c r="D26" s="44"/>
      <c r="E26" s="78"/>
      <c r="F26" s="94"/>
      <c r="G26" s="95">
        <f t="array" ref="G26">SUM(IF((Admin2!$C$6:$O$6=$BE$5)*(Admin2!$Q$9:$Q$83=$BI$2)*(Admin2!$B$9:$B$83="Ending EEs"),Admin2!$C$9:$O$83,0))</f>
        <v>0</v>
      </c>
      <c r="H26" s="94"/>
      <c r="I26" s="96" t="str">
        <f>IF(G26&lt;&gt;0,"Ending headcount per Kronos/HCMS.","")</f>
        <v/>
      </c>
      <c r="J26" s="96"/>
      <c r="K26" s="94"/>
      <c r="L26" s="94"/>
      <c r="U26" s="94"/>
      <c r="V26" s="94"/>
      <c r="W26" s="94"/>
      <c r="X26" s="94"/>
      <c r="Y26" s="94"/>
      <c r="Z26" s="97"/>
      <c r="AA26" s="94"/>
      <c r="AB26" s="98"/>
      <c r="AE26" s="64"/>
      <c r="AF26" s="64"/>
      <c r="AG26" s="64"/>
      <c r="AH26" s="64"/>
      <c r="AI26" s="64"/>
      <c r="AJ26" s="97"/>
      <c r="AK26" s="68"/>
      <c r="AL26" s="68"/>
      <c r="AM26" s="68"/>
      <c r="AN26" s="221"/>
      <c r="AO26" s="221"/>
      <c r="AP26" s="221"/>
      <c r="AQ26" s="221"/>
      <c r="AR26" s="68"/>
      <c r="AS26" s="68"/>
      <c r="AT26" s="68"/>
      <c r="AU26" s="221"/>
      <c r="AV26" s="221"/>
      <c r="AW26" s="221"/>
      <c r="AX26" s="221"/>
      <c r="AY26" s="68"/>
      <c r="AZ26" s="68"/>
      <c r="BA26" s="68"/>
      <c r="BB26" s="221"/>
      <c r="BC26" s="221"/>
      <c r="BD26" s="221"/>
      <c r="BE26" s="221"/>
      <c r="BG26" s="152"/>
      <c r="BI26" s="722" t="s">
        <v>319</v>
      </c>
      <c r="BJ26" s="722">
        <v>1</v>
      </c>
      <c r="BK26" s="722" t="s">
        <v>320</v>
      </c>
      <c r="BL26" s="774">
        <f>BN26*BM26</f>
        <v>0.50866199999999995</v>
      </c>
      <c r="BM26" s="725">
        <v>0.69299999999999995</v>
      </c>
      <c r="BN26" s="782">
        <v>0.73399999999999999</v>
      </c>
      <c r="BO26" s="140">
        <f>IF(SUM(BM26:BM28=0),0,SUM(BL26:BL28)/SUM(BM26:BM28))</f>
        <v>0.69413861386138609</v>
      </c>
      <c r="BP26" s="782">
        <v>1.5</v>
      </c>
      <c r="BQ26" s="774">
        <f>BS26*BR26</f>
        <v>5.3920000000000003E-2</v>
      </c>
      <c r="BR26" s="783">
        <v>0.33700000000000002</v>
      </c>
      <c r="BS26" s="783">
        <v>0.16</v>
      </c>
      <c r="BT26" s="140">
        <f>IF(SUM(BR26:BR28=0),0,SUM(BQ26:BQ28)/SUM(BR26:BR28))</f>
        <v>0.16</v>
      </c>
      <c r="BU26" s="782">
        <v>1.5</v>
      </c>
      <c r="BV26"/>
      <c r="BX26" s="666" t="str">
        <f t="shared" ref="BX26:BX37" si="3">TEXT(CONCATENATE(CC26,"/01/20",CB26),"MMM")</f>
        <v>Oct</v>
      </c>
      <c r="BY26" s="728">
        <f>IF(CB26=$CB38,SUMIF($BI26:$BI37,$BX26,$BR26:$BR37),SUMIF($BI26:$BI37,$BX26,$BM26:$BM37))</f>
        <v>0.69299999999999995</v>
      </c>
      <c r="BZ26" s="782">
        <f>IF(IF(CB26=CB38,SUMIF(BI26:BI37,$BX26,BU26:BU37),SUMIF(BI26:BI37,$BX26,BP26:BP37))=0,NA(),IF(CB26=CB38,SUMIF(BI26:BI37,$BX26,BU26:BU37),SUMIF(BI26:BI37,$BX26,BP26:BP37)))</f>
        <v>1.5</v>
      </c>
      <c r="CA26" s="784">
        <f>IF(IF(CB26=CB38,SUMIF(BI26:BI37,$BX26,BS26:BS37),SUMIF(BI26:BI37,$BX26,BN26:BN37))=0,NA(),IF(CB26=CB38,SUMIF(BI26:BI37,$BX26,BS26:BS37),SUMIF(BI26:BI37,$BX26,BN26:BN37)))</f>
        <v>0.73399999999999999</v>
      </c>
      <c r="CB26" s="730">
        <v>20</v>
      </c>
      <c r="CC26" s="730">
        <f t="shared" ref="CC26:CC36" si="4">IF(CC27-1&lt;1,CC27+11,CC27-1)</f>
        <v>10</v>
      </c>
    </row>
    <row r="27" spans="2:81" ht="14.65" customHeight="1">
      <c r="B27" s="44"/>
      <c r="C27" s="44"/>
      <c r="D27" s="44"/>
      <c r="E27" s="78"/>
      <c r="F27" s="94"/>
      <c r="G27" s="78"/>
      <c r="H27" s="78"/>
      <c r="I27" s="78"/>
      <c r="J27" s="78"/>
      <c r="K27" s="94"/>
      <c r="L27" s="94"/>
      <c r="U27" s="94"/>
      <c r="V27" s="94"/>
      <c r="W27" s="94"/>
      <c r="X27" s="94"/>
      <c r="Y27" s="94"/>
      <c r="Z27" s="97"/>
      <c r="AA27" s="94"/>
      <c r="AB27" s="98"/>
      <c r="AE27" s="64"/>
      <c r="AF27" s="64"/>
      <c r="AG27" s="64"/>
      <c r="AH27" s="64"/>
      <c r="AI27" s="64"/>
      <c r="AJ27" s="97"/>
      <c r="AK27" s="68"/>
      <c r="AL27" s="68"/>
      <c r="AM27" s="68"/>
      <c r="AN27" s="221"/>
      <c r="AO27" s="221"/>
      <c r="AP27" s="221"/>
      <c r="AQ27" s="221"/>
      <c r="AR27" s="68"/>
      <c r="AS27" s="68"/>
      <c r="AT27" s="68"/>
      <c r="AU27" s="221"/>
      <c r="AV27" s="221"/>
      <c r="AW27" s="221"/>
      <c r="AX27" s="221"/>
      <c r="AY27" s="68"/>
      <c r="AZ27" s="68"/>
      <c r="BA27" s="68"/>
      <c r="BB27" s="221"/>
      <c r="BC27" s="221"/>
      <c r="BD27" s="221"/>
      <c r="BE27" s="221"/>
      <c r="BG27" s="152"/>
      <c r="BI27" s="722" t="s">
        <v>321</v>
      </c>
      <c r="BJ27" s="722">
        <v>2</v>
      </c>
      <c r="BK27" s="722" t="s">
        <v>320</v>
      </c>
      <c r="BL27" s="774">
        <f t="shared" ref="BL27:BL36" si="5">BN27*BM27</f>
        <v>0.39940799999999999</v>
      </c>
      <c r="BM27" s="725">
        <v>0.628</v>
      </c>
      <c r="BN27" s="782">
        <v>0.63600000000000001</v>
      </c>
      <c r="BO27" s="136"/>
      <c r="BP27" s="782">
        <v>1.5</v>
      </c>
      <c r="BQ27" s="774">
        <f t="shared" ref="BQ27:BQ37" si="6">BS27*BR27</f>
        <v>0</v>
      </c>
      <c r="BR27" s="783"/>
      <c r="BS27" s="783"/>
      <c r="BT27" s="136"/>
      <c r="BU27" s="782">
        <v>1.5</v>
      </c>
      <c r="BX27" s="666" t="str">
        <f t="shared" si="3"/>
        <v>Nov</v>
      </c>
      <c r="BY27" s="728">
        <f>IF(CB27=$CB38,SUMIF($BI26:$BI37,$BX27,$BR26:$BR37),SUMIF($BI26:$BI37,$BX27,$BM26:$BM37))</f>
        <v>0.628</v>
      </c>
      <c r="BZ27" s="782">
        <f>IF(IF(CB27=CB38,SUMIF(BI26:BI37,$BX27,BU26:BU37),SUMIF(BI26:BI37,$BX27,BP26:BP37))=0,NA(),IF(CB27=CB38,SUMIF(BI26:BI37,$BX27,BU26:BU37),SUMIF(BI26:BI37,$BX27,BP26:BP37)))</f>
        <v>1.5</v>
      </c>
      <c r="CA27" s="784">
        <f>IF(IF(CB27=CB38,SUMIF(BI26:BI37,$BX27,BS26:BS37),SUMIF(BI26:BI37,$BX27,BN26:BN37))=0,NA(),IF(CB27=CB38,SUMIF(BI26:BI37,$BX27,BS26:BS37),SUMIF(BI26:BI37,$BX27,BN26:BN37)))</f>
        <v>0.63600000000000001</v>
      </c>
      <c r="CB27" s="730">
        <v>20</v>
      </c>
      <c r="CC27" s="730">
        <f t="shared" si="4"/>
        <v>11</v>
      </c>
    </row>
    <row r="28" spans="2:81" ht="14.65" customHeight="1">
      <c r="B28" s="44" t="s">
        <v>242</v>
      </c>
      <c r="C28" s="44"/>
      <c r="D28" s="44"/>
      <c r="E28" s="87"/>
      <c r="F28" s="94"/>
      <c r="G28" s="94"/>
      <c r="H28" s="94"/>
      <c r="I28" s="94"/>
      <c r="J28" s="94"/>
      <c r="K28" s="94"/>
      <c r="L28" s="94"/>
      <c r="M28" s="94"/>
      <c r="N28" s="94"/>
      <c r="O28" s="94"/>
      <c r="P28" s="94"/>
      <c r="Q28" s="94"/>
      <c r="R28" s="94"/>
      <c r="S28" s="94"/>
      <c r="T28" s="94"/>
      <c r="U28" s="94"/>
      <c r="V28" s="94"/>
      <c r="W28" s="94"/>
      <c r="X28" s="94"/>
      <c r="Y28" s="94"/>
      <c r="Z28" s="94"/>
      <c r="AA28" s="94"/>
      <c r="AB28" s="94"/>
      <c r="AE28" s="44" t="s">
        <v>242</v>
      </c>
      <c r="AF28" s="44"/>
      <c r="AG28" s="44"/>
      <c r="AH28" s="87"/>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G28" s="152"/>
      <c r="BI28" s="722" t="s">
        <v>322</v>
      </c>
      <c r="BJ28" s="722">
        <v>3</v>
      </c>
      <c r="BK28" s="722" t="s">
        <v>320</v>
      </c>
      <c r="BL28" s="774">
        <f t="shared" si="5"/>
        <v>0.42398199999999997</v>
      </c>
      <c r="BM28" s="725">
        <v>0.59799999999999998</v>
      </c>
      <c r="BN28" s="782">
        <v>0.70899999999999996</v>
      </c>
      <c r="BO28" s="136"/>
      <c r="BP28" s="782">
        <v>1.5</v>
      </c>
      <c r="BQ28" s="774">
        <f t="shared" si="6"/>
        <v>0</v>
      </c>
      <c r="BR28" s="783"/>
      <c r="BS28" s="783"/>
      <c r="BT28" s="136"/>
      <c r="BU28" s="782">
        <v>1.5</v>
      </c>
      <c r="BX28" s="666" t="str">
        <f t="shared" si="3"/>
        <v>Dec</v>
      </c>
      <c r="BY28" s="728">
        <f>IF(CB28=$CB38,SUMIF($BI26:$BI37,$BX28,$BR26:$BR37),SUMIF($BI26:$BI37,$BX28,$BM26:$BM37))</f>
        <v>0.59799999999999998</v>
      </c>
      <c r="BZ28" s="782">
        <f>IF(IF(CB28=CB38,SUMIF(BI26:BI37,$BX28,BU26:BU37),SUMIF(BI26:BI37,$BX28,BP26:BP37))=0,NA(),IF(CB28=CB38,SUMIF(BI26:BI37,$BX28,BU26:BU37),SUMIF(BI26:BI37,$BX28,BP26:BP37)))</f>
        <v>1.5</v>
      </c>
      <c r="CA28" s="784">
        <f>IF(IF(CB28=CB38,SUMIF(BI26:BI37,$BX28,BS26:BS37),SUMIF(BI26:BI37,$BX28,BN26:BN37))=0,NA(),IF(CB28=CB38,SUMIF(BI26:BI37,$BX28,BS26:BS37),SUMIF(BI26:BI37,$BX28,BN26:BN37)))</f>
        <v>0.70899999999999996</v>
      </c>
      <c r="CB28" s="730">
        <v>20</v>
      </c>
      <c r="CC28" s="730">
        <f t="shared" si="4"/>
        <v>12</v>
      </c>
    </row>
    <row r="29" spans="2:81" ht="14.65" customHeight="1">
      <c r="B29" s="1510" t="s">
        <v>611</v>
      </c>
      <c r="C29" s="1511"/>
      <c r="D29" s="1511"/>
      <c r="E29" s="1511"/>
      <c r="F29" s="1511"/>
      <c r="G29" s="1511"/>
      <c r="H29" s="1511"/>
      <c r="I29" s="1511"/>
      <c r="J29" s="1511"/>
      <c r="K29" s="1511"/>
      <c r="L29" s="1511"/>
      <c r="M29" s="1511"/>
      <c r="N29" s="1511"/>
      <c r="O29" s="1511"/>
      <c r="P29" s="1511"/>
      <c r="Q29" s="1511"/>
      <c r="R29" s="1511"/>
      <c r="S29" s="1511"/>
      <c r="T29" s="1511"/>
      <c r="U29" s="1511"/>
      <c r="V29" s="1511"/>
      <c r="W29" s="1511"/>
      <c r="X29" s="1511"/>
      <c r="Y29" s="1511"/>
      <c r="Z29" s="1511"/>
      <c r="AA29" s="1511"/>
      <c r="AB29" s="1512"/>
      <c r="AE29" s="1656"/>
      <c r="AF29" s="1657"/>
      <c r="AG29" s="1657"/>
      <c r="AH29" s="1657"/>
      <c r="AI29" s="1657"/>
      <c r="AJ29" s="1657"/>
      <c r="AK29" s="1657"/>
      <c r="AL29" s="1657"/>
      <c r="AM29" s="1657"/>
      <c r="AN29" s="1657"/>
      <c r="AO29" s="1657"/>
      <c r="AP29" s="1657"/>
      <c r="AQ29" s="1657"/>
      <c r="AR29" s="1657"/>
      <c r="AS29" s="1657"/>
      <c r="AT29" s="1657"/>
      <c r="AU29" s="1657"/>
      <c r="AV29" s="1657"/>
      <c r="AW29" s="1657"/>
      <c r="AX29" s="1657"/>
      <c r="AY29" s="1657"/>
      <c r="AZ29" s="1657"/>
      <c r="BA29" s="1657"/>
      <c r="BB29" s="1657"/>
      <c r="BC29" s="1657"/>
      <c r="BD29" s="1657"/>
      <c r="BE29" s="1658"/>
      <c r="BG29" s="152"/>
      <c r="BI29" s="722" t="s">
        <v>323</v>
      </c>
      <c r="BJ29" s="722">
        <v>4</v>
      </c>
      <c r="BK29" s="722" t="s">
        <v>324</v>
      </c>
      <c r="BL29" s="774">
        <f t="shared" si="5"/>
        <v>0.64407999999999999</v>
      </c>
      <c r="BM29" s="725">
        <v>0.77600000000000002</v>
      </c>
      <c r="BN29" s="782">
        <v>0.83</v>
      </c>
      <c r="BO29" s="140">
        <f>IF(SUM(BM29:BM31=0),0,SUM(BL29:BL31)/SUM(BM29:BM31))</f>
        <v>0.84137799717912543</v>
      </c>
      <c r="BP29" s="782">
        <v>1.5</v>
      </c>
      <c r="BQ29" s="774">
        <f t="shared" si="6"/>
        <v>0</v>
      </c>
      <c r="BR29" s="783"/>
      <c r="BS29" s="783"/>
      <c r="BT29" s="140">
        <f>IF(SUM(BR29:BR31=0),0,SUM(BQ29:BQ31)/SUM(BR29:BR31))</f>
        <v>0</v>
      </c>
      <c r="BU29" s="782">
        <v>1.5</v>
      </c>
      <c r="BX29" s="666" t="str">
        <f t="shared" si="3"/>
        <v>Jan</v>
      </c>
      <c r="BY29" s="728">
        <f>IF(CB29=$CB38,SUMIF($BI26:$BI37,$BX29,$BR26:$BR37),SUMIF($BI26:$BI37,$BX29,$BM26:$BM37))</f>
        <v>0.77600000000000002</v>
      </c>
      <c r="BZ29" s="782">
        <f>IF(IF(CB29=CB38,SUMIF(BI26:BI37,$BX29,BU26:BU37),SUMIF(BI26:BI37,$BX29,BP26:BP37))=0,NA(),IF(CB29=CB38,SUMIF(BI26:BI37,$BX29,BU26:BU37),SUMIF(BI26:BI37,$BX29,BP26:BP37)))</f>
        <v>1.5</v>
      </c>
      <c r="CA29" s="784">
        <f>IF(IF(CB29=CB38,SUMIF(BI26:BI37,$BX29,BS26:BS37),SUMIF(BI26:BI37,$BX29,BN26:BN37))=0,NA(),IF(CB29=CB38,SUMIF(BI26:BI37,$BX29,BS26:BS37),SUMIF(BI26:BI37,$BX29,BN26:BN37)))</f>
        <v>0.83</v>
      </c>
      <c r="CB29" s="730">
        <v>20</v>
      </c>
      <c r="CC29" s="730">
        <f t="shared" si="4"/>
        <v>1</v>
      </c>
    </row>
    <row r="30" spans="2:81" ht="14.65" customHeight="1">
      <c r="B30" s="1513"/>
      <c r="C30" s="1514"/>
      <c r="D30" s="1514"/>
      <c r="E30" s="1514"/>
      <c r="F30" s="1514"/>
      <c r="G30" s="1514"/>
      <c r="H30" s="1514"/>
      <c r="I30" s="1514"/>
      <c r="J30" s="1514"/>
      <c r="K30" s="1514"/>
      <c r="L30" s="1514"/>
      <c r="M30" s="1514"/>
      <c r="N30" s="1514"/>
      <c r="O30" s="1514"/>
      <c r="P30" s="1514"/>
      <c r="Q30" s="1514"/>
      <c r="R30" s="1514"/>
      <c r="S30" s="1514"/>
      <c r="T30" s="1514"/>
      <c r="U30" s="1514"/>
      <c r="V30" s="1514"/>
      <c r="W30" s="1514"/>
      <c r="X30" s="1514"/>
      <c r="Y30" s="1514"/>
      <c r="Z30" s="1514"/>
      <c r="AA30" s="1514"/>
      <c r="AB30" s="1515"/>
      <c r="AE30" s="1659"/>
      <c r="AF30" s="1660"/>
      <c r="AG30" s="1660"/>
      <c r="AH30" s="1660"/>
      <c r="AI30" s="1660"/>
      <c r="AJ30" s="1660"/>
      <c r="AK30" s="1660"/>
      <c r="AL30" s="1660"/>
      <c r="AM30" s="1660"/>
      <c r="AN30" s="1660"/>
      <c r="AO30" s="1660"/>
      <c r="AP30" s="1660"/>
      <c r="AQ30" s="1660"/>
      <c r="AR30" s="1660"/>
      <c r="AS30" s="1660"/>
      <c r="AT30" s="1660"/>
      <c r="AU30" s="1660"/>
      <c r="AV30" s="1660"/>
      <c r="AW30" s="1660"/>
      <c r="AX30" s="1660"/>
      <c r="AY30" s="1660"/>
      <c r="AZ30" s="1660"/>
      <c r="BA30" s="1660"/>
      <c r="BB30" s="1660"/>
      <c r="BC30" s="1660"/>
      <c r="BD30" s="1660"/>
      <c r="BE30" s="1661"/>
      <c r="BG30" s="152"/>
      <c r="BI30" s="722" t="s">
        <v>325</v>
      </c>
      <c r="BJ30" s="722">
        <v>5</v>
      </c>
      <c r="BK30" s="722" t="s">
        <v>324</v>
      </c>
      <c r="BL30" s="774">
        <f t="shared" si="5"/>
        <v>0.62777899999999998</v>
      </c>
      <c r="BM30" s="725">
        <v>0.70299999999999996</v>
      </c>
      <c r="BN30" s="782">
        <v>0.89300000000000002</v>
      </c>
      <c r="BO30" s="136"/>
      <c r="BP30" s="782">
        <v>1.5</v>
      </c>
      <c r="BQ30" s="774">
        <f t="shared" si="6"/>
        <v>0</v>
      </c>
      <c r="BR30" s="785"/>
      <c r="BS30" s="785"/>
      <c r="BT30" s="136"/>
      <c r="BU30" s="782">
        <v>1.5</v>
      </c>
      <c r="BX30" s="666" t="str">
        <f t="shared" si="3"/>
        <v>Feb</v>
      </c>
      <c r="BY30" s="728">
        <f>IF(CB30=$CB38,SUMIF($BI26:$BI37,$BX30,$BR26:$BR37),SUMIF($BI26:$BI37,$BX30,$BM26:$BM37))</f>
        <v>0.70299999999999996</v>
      </c>
      <c r="BZ30" s="782">
        <f>IF(IF(CB30=CB38,SUMIF(BI26:BI37,$BX30,BU26:BU37),SUMIF(BI26:BI37,$BX30,BP26:BP37))=0,NA(),IF(CB30=CB38,SUMIF(BI26:BI37,$BX30,BU26:BU37),SUMIF(BI26:BI37,$BX30,BP26:BP37)))</f>
        <v>1.5</v>
      </c>
      <c r="CA30" s="784">
        <f>IF(IF(CB30=CB38,SUMIF(BI26:BI37,$BX30,BS26:BS37),SUMIF(BI26:BI37,$BX30,BN26:BN37))=0,NA(),IF(CB30=CB38,SUMIF(BI26:BI37,$BX30,BS26:BS37),SUMIF(BI26:BI37,$BX30,BN26:BN37)))</f>
        <v>0.89300000000000002</v>
      </c>
      <c r="CB30" s="730">
        <v>20</v>
      </c>
      <c r="CC30" s="730">
        <f t="shared" si="4"/>
        <v>2</v>
      </c>
    </row>
    <row r="31" spans="2:81" ht="14.65" customHeight="1">
      <c r="B31" s="1513"/>
      <c r="C31" s="1514"/>
      <c r="D31" s="1514"/>
      <c r="E31" s="1514"/>
      <c r="F31" s="1514"/>
      <c r="G31" s="1514"/>
      <c r="H31" s="1514"/>
      <c r="I31" s="1514"/>
      <c r="J31" s="1514"/>
      <c r="K31" s="1514"/>
      <c r="L31" s="1514"/>
      <c r="M31" s="1514"/>
      <c r="N31" s="1514"/>
      <c r="O31" s="1514"/>
      <c r="P31" s="1514"/>
      <c r="Q31" s="1514"/>
      <c r="R31" s="1514"/>
      <c r="S31" s="1514"/>
      <c r="T31" s="1514"/>
      <c r="U31" s="1514"/>
      <c r="V31" s="1514"/>
      <c r="W31" s="1514"/>
      <c r="X31" s="1514"/>
      <c r="Y31" s="1514"/>
      <c r="Z31" s="1514"/>
      <c r="AA31" s="1514"/>
      <c r="AB31" s="1515"/>
      <c r="AE31" s="1659"/>
      <c r="AF31" s="1660"/>
      <c r="AG31" s="1660"/>
      <c r="AH31" s="1660"/>
      <c r="AI31" s="1660"/>
      <c r="AJ31" s="1660"/>
      <c r="AK31" s="1660"/>
      <c r="AL31" s="1660"/>
      <c r="AM31" s="1660"/>
      <c r="AN31" s="1660"/>
      <c r="AO31" s="1660"/>
      <c r="AP31" s="1660"/>
      <c r="AQ31" s="1660"/>
      <c r="AR31" s="1660"/>
      <c r="AS31" s="1660"/>
      <c r="AT31" s="1660"/>
      <c r="AU31" s="1660"/>
      <c r="AV31" s="1660"/>
      <c r="AW31" s="1660"/>
      <c r="AX31" s="1660"/>
      <c r="AY31" s="1660"/>
      <c r="AZ31" s="1660"/>
      <c r="BA31" s="1660"/>
      <c r="BB31" s="1660"/>
      <c r="BC31" s="1660"/>
      <c r="BD31" s="1660"/>
      <c r="BE31" s="1661"/>
      <c r="BG31" s="152"/>
      <c r="BI31" s="722" t="s">
        <v>326</v>
      </c>
      <c r="BJ31" s="722">
        <v>6</v>
      </c>
      <c r="BK31" s="722" t="s">
        <v>324</v>
      </c>
      <c r="BL31" s="774">
        <f t="shared" si="5"/>
        <v>0.51775199999999999</v>
      </c>
      <c r="BM31" s="725">
        <v>0.64800000000000002</v>
      </c>
      <c r="BN31" s="782">
        <v>0.79900000000000004</v>
      </c>
      <c r="BO31" s="136"/>
      <c r="BP31" s="782">
        <v>1.5</v>
      </c>
      <c r="BQ31" s="774">
        <f t="shared" si="6"/>
        <v>0</v>
      </c>
      <c r="BR31" s="785"/>
      <c r="BS31" s="785"/>
      <c r="BT31" s="136"/>
      <c r="BU31" s="782">
        <v>1.5</v>
      </c>
      <c r="BX31" s="666" t="str">
        <f t="shared" si="3"/>
        <v>Mar</v>
      </c>
      <c r="BY31" s="728">
        <f>IF(CB31=$CB38,SUMIF($BI26:$BI37,$BX31,$BR26:$BR37),SUMIF($BI26:$BI37,$BX31,$BM26:$BM37))</f>
        <v>0.64800000000000002</v>
      </c>
      <c r="BZ31" s="782">
        <f>IF(IF(CB31=CB38,SUMIF(BI26:BI37,$BX31,BU26:BU37),SUMIF(BI26:BI37,$BX31,BP26:BP37))=0,NA(),IF(CB31=CB38,SUMIF(BI26:BI37,$BX31,BU26:BU37),SUMIF(BI26:BI37,$BX31,BP26:BP37)))</f>
        <v>1.5</v>
      </c>
      <c r="CA31" s="784">
        <f>IF(IF(CB31=CB38,SUMIF(BI26:BI37,$BX31,BS26:BS37),SUMIF(BI26:BI37,$BX31,BN26:BN37))=0,NA(),IF(CB31=CB38,SUMIF(BI26:BI37,$BX31,BS26:BS37),SUMIF(BI26:BI37,$BX31,BN26:BN37)))</f>
        <v>0.79900000000000004</v>
      </c>
      <c r="CB31" s="730">
        <v>20</v>
      </c>
      <c r="CC31" s="730">
        <f t="shared" si="4"/>
        <v>3</v>
      </c>
    </row>
    <row r="32" spans="2:81" ht="14.65" customHeight="1">
      <c r="B32" s="1516"/>
      <c r="C32" s="1517"/>
      <c r="D32" s="1517"/>
      <c r="E32" s="1517"/>
      <c r="F32" s="1517"/>
      <c r="G32" s="1517"/>
      <c r="H32" s="1517"/>
      <c r="I32" s="1517"/>
      <c r="J32" s="1517"/>
      <c r="K32" s="1517"/>
      <c r="L32" s="1517"/>
      <c r="M32" s="1517"/>
      <c r="N32" s="1517"/>
      <c r="O32" s="1517"/>
      <c r="P32" s="1517"/>
      <c r="Q32" s="1517"/>
      <c r="R32" s="1517"/>
      <c r="S32" s="1517"/>
      <c r="T32" s="1517"/>
      <c r="U32" s="1517"/>
      <c r="V32" s="1517"/>
      <c r="W32" s="1517"/>
      <c r="X32" s="1517"/>
      <c r="Y32" s="1517"/>
      <c r="Z32" s="1517"/>
      <c r="AA32" s="1517"/>
      <c r="AB32" s="1518"/>
      <c r="AE32" s="1662"/>
      <c r="AF32" s="1663"/>
      <c r="AG32" s="1663"/>
      <c r="AH32" s="1663"/>
      <c r="AI32" s="1663"/>
      <c r="AJ32" s="1663"/>
      <c r="AK32" s="1663"/>
      <c r="AL32" s="1663"/>
      <c r="AM32" s="1663"/>
      <c r="AN32" s="1663"/>
      <c r="AO32" s="1663"/>
      <c r="AP32" s="1663"/>
      <c r="AQ32" s="1663"/>
      <c r="AR32" s="1663"/>
      <c r="AS32" s="1663"/>
      <c r="AT32" s="1663"/>
      <c r="AU32" s="1663"/>
      <c r="AV32" s="1663"/>
      <c r="AW32" s="1663"/>
      <c r="AX32" s="1663"/>
      <c r="AY32" s="1663"/>
      <c r="AZ32" s="1663"/>
      <c r="BA32" s="1663"/>
      <c r="BB32" s="1663"/>
      <c r="BC32" s="1663"/>
      <c r="BD32" s="1663"/>
      <c r="BE32" s="1664"/>
      <c r="BG32" s="152"/>
      <c r="BI32" s="722" t="s">
        <v>327</v>
      </c>
      <c r="BJ32" s="722">
        <v>7</v>
      </c>
      <c r="BK32" s="722" t="s">
        <v>328</v>
      </c>
      <c r="BL32" s="774">
        <f t="shared" si="5"/>
        <v>8.0889000000000003E-2</v>
      </c>
      <c r="BM32" s="725">
        <v>0.17699999999999999</v>
      </c>
      <c r="BN32" s="782">
        <v>0.45700000000000002</v>
      </c>
      <c r="BO32" s="140">
        <f>IF(SUM(BM32:BM34=0),0,SUM(BL32:BL34)/SUM(BM32:BM34))</f>
        <v>0.60850906095551904</v>
      </c>
      <c r="BP32" s="782">
        <v>1.5</v>
      </c>
      <c r="BQ32" s="774">
        <f t="shared" si="6"/>
        <v>0</v>
      </c>
      <c r="BR32" s="785"/>
      <c r="BS32" s="785"/>
      <c r="BT32" s="140">
        <f>IF(SUM(BR32:BR34=0),0,SUM(BQ32:BQ34)/SUM(BR32:BR34))</f>
        <v>0</v>
      </c>
      <c r="BU32" s="782">
        <v>1.5</v>
      </c>
      <c r="BX32" s="666" t="str">
        <f t="shared" si="3"/>
        <v>Apr</v>
      </c>
      <c r="BY32" s="728">
        <f>IF(CB32=$CB38,SUMIF($BI26:$BI37,$BX32,$BR26:$BR37),SUMIF($BI26:$BI37,$BX32,$BM26:$BM37))</f>
        <v>0.17699999999999999</v>
      </c>
      <c r="BZ32" s="782">
        <f>IF(IF(CB32=CB38,SUMIF(BI26:BI37,$BX32,BU26:BU37),SUMIF(BI26:BI37,$BX32,BP26:BP37))=0,NA(),IF(CB32=CB38,SUMIF(BI26:BI37,$BX32,BU26:BU37),SUMIF(BI26:BI37,$BX32,BP26:BP37)))</f>
        <v>1.5</v>
      </c>
      <c r="CA32" s="784">
        <f>IF(IF(CB32=CB38,SUMIF(BI26:BI37,$BX32,BS26:BS37),SUMIF(BI26:BI37,$BX32,BN26:BN37))=0,NA(),IF(CB32=CB38,SUMIF(BI26:BI37,$BX32,BS26:BS37),SUMIF(BI26:BI37,$BX32,BN26:BN37)))</f>
        <v>0.45700000000000002</v>
      </c>
      <c r="CB32" s="730">
        <v>20</v>
      </c>
      <c r="CC32" s="730">
        <f t="shared" si="4"/>
        <v>4</v>
      </c>
    </row>
    <row r="33" spans="1:81" ht="14.65" customHeight="1">
      <c r="BG33" s="152"/>
      <c r="BI33" s="722" t="s">
        <v>329</v>
      </c>
      <c r="BJ33" s="722">
        <v>8</v>
      </c>
      <c r="BK33" s="722" t="s">
        <v>328</v>
      </c>
      <c r="BL33" s="774">
        <f t="shared" si="5"/>
        <v>6.8856000000000001E-2</v>
      </c>
      <c r="BM33" s="725">
        <v>0.152</v>
      </c>
      <c r="BN33" s="782">
        <v>0.45300000000000001</v>
      </c>
      <c r="BO33" s="136"/>
      <c r="BP33" s="782">
        <v>1.5</v>
      </c>
      <c r="BQ33" s="774">
        <f t="shared" si="6"/>
        <v>0</v>
      </c>
      <c r="BR33" s="785"/>
      <c r="BS33" s="785"/>
      <c r="BT33" s="136"/>
      <c r="BU33" s="782">
        <v>1.5</v>
      </c>
      <c r="BX33" s="666" t="str">
        <f t="shared" si="3"/>
        <v>May</v>
      </c>
      <c r="BY33" s="728">
        <f>IF(CB33=$CB38,SUMIF($BI26:$BI37,$BX33,$BR26:$BR37),SUMIF($BI26:$BI37,$BX33,$BM26:$BM37))</f>
        <v>0.152</v>
      </c>
      <c r="BZ33" s="782">
        <f>IF(IF(CB33=CB38,SUMIF(BI26:BI37,$BX33,BU26:BU37),SUMIF(BI26:BI37,$BX33,BP26:BP37))=0,NA(),IF(CB33=CB38,SUMIF(BI26:BI37,$BX33,BU26:BU37),SUMIF(BI26:BI37,$BX33,BP26:BP37)))</f>
        <v>1.5</v>
      </c>
      <c r="CA33" s="784">
        <f>IF(IF(CB33=CB38,SUMIF(BI26:BI37,$BX33,BS26:BS37),SUMIF(BI26:BI37,$BX33,BN26:BN37))=0,NA(),IF(CB33=CB38,SUMIF(BI26:BI37,$BX33,BS26:BS37),SUMIF(BI26:BI37,$BX33,BN26:BN37)))</f>
        <v>0.45300000000000001</v>
      </c>
      <c r="CB33" s="730">
        <v>20</v>
      </c>
      <c r="CC33" s="730">
        <f t="shared" si="4"/>
        <v>5</v>
      </c>
    </row>
    <row r="34" spans="1:81" ht="14.65" customHeight="1">
      <c r="B34" s="12" t="s">
        <v>330</v>
      </c>
      <c r="C34" s="13"/>
      <c r="D34" s="13"/>
      <c r="E34" s="13"/>
      <c r="F34" s="13"/>
      <c r="G34" s="17"/>
      <c r="H34" s="17"/>
      <c r="I34" s="17"/>
      <c r="J34" s="17"/>
      <c r="K34" s="17"/>
      <c r="L34" s="18"/>
      <c r="M34" s="13"/>
      <c r="N34" s="13"/>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G34" s="152"/>
      <c r="BI34" s="722" t="s">
        <v>331</v>
      </c>
      <c r="BJ34" s="722">
        <v>9</v>
      </c>
      <c r="BK34" s="722" t="s">
        <v>328</v>
      </c>
      <c r="BL34" s="774">
        <f t="shared" si="5"/>
        <v>0.21962000000000004</v>
      </c>
      <c r="BM34" s="725">
        <v>0.27800000000000002</v>
      </c>
      <c r="BN34" s="782">
        <v>0.79</v>
      </c>
      <c r="BO34" s="136"/>
      <c r="BP34" s="782">
        <v>1.5</v>
      </c>
      <c r="BQ34" s="774">
        <f t="shared" si="6"/>
        <v>0</v>
      </c>
      <c r="BR34" s="785"/>
      <c r="BS34" s="785"/>
      <c r="BT34" s="136"/>
      <c r="BU34" s="782">
        <v>1.5</v>
      </c>
      <c r="BX34" s="666" t="str">
        <f t="shared" si="3"/>
        <v>Jun</v>
      </c>
      <c r="BY34" s="728">
        <f>IF(CB34=$CB38,SUMIF($BI26:$BI37,$BX34,$BR26:$BR37),SUMIF($BI26:$BI37,$BX34,$BM26:$BM37))</f>
        <v>0.27800000000000002</v>
      </c>
      <c r="BZ34" s="782">
        <f>IF(IF(CB34=CB38,SUMIF(BI26:BI37,$BX34,BU26:BU37),SUMIF(BI26:BI37,$BX34,BP26:BP37))=0,NA(),IF(CB34=CB38,SUMIF(BI26:BI37,$BX34,BU26:BU37),SUMIF(BI26:BI37,$BX34,BP26:BP37)))</f>
        <v>1.5</v>
      </c>
      <c r="CA34" s="784">
        <f>IF(IF(CB34=CB38,SUMIF(BI26:BI37,$BX34,BS26:BS37),SUMIF(BI26:BI37,$BX34,BN26:BN37))=0,NA(),IF(CB34=CB38,SUMIF(BI26:BI37,$BX34,BS26:BS37),SUMIF(BI26:BI37,$BX34,BN26:BN37)))</f>
        <v>0.79</v>
      </c>
      <c r="CB34" s="730">
        <v>20</v>
      </c>
      <c r="CC34" s="730">
        <f t="shared" si="4"/>
        <v>6</v>
      </c>
    </row>
    <row r="35" spans="1:81" s="43" customFormat="1" ht="16.149999999999999" customHeight="1">
      <c r="B35" s="1499" t="s">
        <v>332</v>
      </c>
      <c r="C35" s="1499"/>
      <c r="D35" s="1499"/>
      <c r="E35" s="1499"/>
      <c r="F35" s="1499"/>
      <c r="G35" s="1499"/>
      <c r="H35" s="1499"/>
      <c r="I35" s="1499"/>
      <c r="J35" s="1499"/>
      <c r="K35" s="1499" t="s">
        <v>528</v>
      </c>
      <c r="L35" s="1499"/>
      <c r="M35" s="1499"/>
      <c r="N35" s="1499"/>
      <c r="O35" s="1499"/>
      <c r="P35" s="1499"/>
      <c r="Q35" s="1500" t="s">
        <v>529</v>
      </c>
      <c r="R35" s="1500"/>
      <c r="S35" s="1500"/>
      <c r="T35" s="1499" t="s">
        <v>530</v>
      </c>
      <c r="U35" s="1499"/>
      <c r="V35" s="1499"/>
      <c r="W35" s="1499"/>
      <c r="X35" s="1499"/>
      <c r="Y35" s="1499"/>
      <c r="Z35" s="1499"/>
      <c r="AA35" s="1499"/>
      <c r="AB35" s="1499"/>
      <c r="AC35" s="1501" t="s">
        <v>336</v>
      </c>
      <c r="AD35" s="1502"/>
      <c r="AE35" s="1502"/>
      <c r="AF35" s="1502"/>
      <c r="AG35" s="1502"/>
      <c r="AH35" s="1502"/>
      <c r="AI35" s="1502"/>
      <c r="AJ35" s="1502"/>
      <c r="AK35" s="1502"/>
      <c r="AL35" s="1502"/>
      <c r="AM35" s="1502"/>
      <c r="AN35" s="1502"/>
      <c r="AO35" s="1502"/>
      <c r="AP35" s="1502"/>
      <c r="AQ35" s="1502"/>
      <c r="AR35" s="1502"/>
      <c r="AS35" s="1502"/>
      <c r="AT35" s="1502"/>
      <c r="AU35" s="1502"/>
      <c r="AV35" s="1502"/>
      <c r="AW35" s="1502"/>
      <c r="AX35" s="1502"/>
      <c r="AY35" s="1502"/>
      <c r="AZ35" s="1502"/>
      <c r="BA35" s="1502"/>
      <c r="BB35" s="1502"/>
      <c r="BC35" s="1502"/>
      <c r="BD35" s="1502"/>
      <c r="BE35" s="1503"/>
      <c r="BG35" s="152"/>
      <c r="BH35" s="223"/>
      <c r="BI35" s="722" t="s">
        <v>337</v>
      </c>
      <c r="BJ35" s="722">
        <v>10</v>
      </c>
      <c r="BK35" s="722" t="s">
        <v>338</v>
      </c>
      <c r="BL35" s="774">
        <f t="shared" si="5"/>
        <v>7.5864000000000001E-2</v>
      </c>
      <c r="BM35" s="725">
        <v>0.34799999999999998</v>
      </c>
      <c r="BN35" s="782">
        <v>0.218</v>
      </c>
      <c r="BO35" s="140">
        <f>IF(SUM(BM35:BM37=0),0,SUM(BL35:BL37)/SUM(BM35:BM37))</f>
        <v>0.60575992063492057</v>
      </c>
      <c r="BP35" s="782">
        <v>1.5</v>
      </c>
      <c r="BQ35" s="774">
        <f t="shared" si="6"/>
        <v>0</v>
      </c>
      <c r="BR35" s="785"/>
      <c r="BS35" s="785"/>
      <c r="BT35" s="140">
        <f>IF(SUM(BR35:BR37=0),0,SUM(BQ35:BQ37)/SUM(BR35:BR37))</f>
        <v>0</v>
      </c>
      <c r="BU35" s="782">
        <v>1.5</v>
      </c>
      <c r="BW35" s="6"/>
      <c r="BX35" s="666" t="str">
        <f t="shared" si="3"/>
        <v>Jul</v>
      </c>
      <c r="BY35" s="728">
        <f>IF(CB35=$CB38,SUMIF($BI26:$BI37,$BX35,$BR26:$BR37),SUMIF($BI26:$BI37,$BX35,$BM26:$BM37))</f>
        <v>0.34799999999999998</v>
      </c>
      <c r="BZ35" s="782">
        <f>IF(IF(CB35=CB38,SUMIF(BI26:BI37,$BX35,BU26:BU37),SUMIF(BI26:BI37,$BX35,BP26:BP37))=0,NA(),IF(CB35=CB38,SUMIF(BI26:BI37,$BX35,BU26:BU37),SUMIF(BI26:BI37,$BX35,BP26:BP37)))</f>
        <v>1.5</v>
      </c>
      <c r="CA35" s="784">
        <f>IF(IF(CB35=CB38,SUMIF(BI26:BI37,$BX35,BS26:BS37),SUMIF(BI26:BI37,$BX35,BN26:BN37))=0,NA(),IF(CB35=CB38,SUMIF(BI26:BI37,$BX35,BS26:BS37),SUMIF(BI26:BI37,$BX35,BN26:BN37)))</f>
        <v>0.218</v>
      </c>
      <c r="CB35" s="730">
        <v>20</v>
      </c>
      <c r="CC35" s="730">
        <f t="shared" si="4"/>
        <v>7</v>
      </c>
    </row>
    <row r="36" spans="1:81" s="43" customFormat="1" ht="16.149999999999999" customHeight="1">
      <c r="B36" s="1499"/>
      <c r="C36" s="1499"/>
      <c r="D36" s="1499"/>
      <c r="E36" s="1499"/>
      <c r="F36" s="1499"/>
      <c r="G36" s="1499"/>
      <c r="H36" s="1499"/>
      <c r="I36" s="1499"/>
      <c r="J36" s="1499"/>
      <c r="K36" s="1499" t="s">
        <v>23</v>
      </c>
      <c r="L36" s="1499"/>
      <c r="M36" s="1499"/>
      <c r="N36" s="1499" t="s">
        <v>339</v>
      </c>
      <c r="O36" s="1499"/>
      <c r="P36" s="1499"/>
      <c r="Q36" s="1500"/>
      <c r="R36" s="1500"/>
      <c r="S36" s="1500"/>
      <c r="T36" s="1500" t="s">
        <v>340</v>
      </c>
      <c r="U36" s="1500"/>
      <c r="V36" s="1500"/>
      <c r="W36" s="1500" t="s">
        <v>341</v>
      </c>
      <c r="X36" s="1500"/>
      <c r="Y36" s="1500"/>
      <c r="Z36" s="1500" t="s">
        <v>342</v>
      </c>
      <c r="AA36" s="1500"/>
      <c r="AB36" s="1500"/>
      <c r="AC36" s="1504"/>
      <c r="AD36" s="1505"/>
      <c r="AE36" s="1505"/>
      <c r="AF36" s="1505"/>
      <c r="AG36" s="1505"/>
      <c r="AH36" s="1505"/>
      <c r="AI36" s="1505"/>
      <c r="AJ36" s="1505"/>
      <c r="AK36" s="1505"/>
      <c r="AL36" s="1505"/>
      <c r="AM36" s="1505"/>
      <c r="AN36" s="1505"/>
      <c r="AO36" s="1505"/>
      <c r="AP36" s="1505"/>
      <c r="AQ36" s="1505"/>
      <c r="AR36" s="1505"/>
      <c r="AS36" s="1505"/>
      <c r="AT36" s="1505"/>
      <c r="AU36" s="1505"/>
      <c r="AV36" s="1505"/>
      <c r="AW36" s="1505"/>
      <c r="AX36" s="1505"/>
      <c r="AY36" s="1505"/>
      <c r="AZ36" s="1505"/>
      <c r="BA36" s="1505"/>
      <c r="BB36" s="1505"/>
      <c r="BC36" s="1505"/>
      <c r="BD36" s="1505"/>
      <c r="BE36" s="1506"/>
      <c r="BG36" s="152"/>
      <c r="BH36" s="223"/>
      <c r="BI36" s="722" t="s">
        <v>343</v>
      </c>
      <c r="BJ36" s="722">
        <v>11</v>
      </c>
      <c r="BK36" s="722" t="s">
        <v>338</v>
      </c>
      <c r="BL36" s="774">
        <f t="shared" si="5"/>
        <v>6.6009999999999999E-2</v>
      </c>
      <c r="BM36" s="725">
        <v>0.32200000000000001</v>
      </c>
      <c r="BN36" s="782">
        <v>0.20499999999999999</v>
      </c>
      <c r="BO36"/>
      <c r="BP36" s="782">
        <v>1.5</v>
      </c>
      <c r="BQ36" s="774">
        <f t="shared" si="6"/>
        <v>0</v>
      </c>
      <c r="BR36" s="785"/>
      <c r="BS36" s="785"/>
      <c r="BT36"/>
      <c r="BU36" s="782">
        <v>1.5</v>
      </c>
      <c r="BW36" s="6"/>
      <c r="BX36" s="666" t="str">
        <f t="shared" si="3"/>
        <v>Aug</v>
      </c>
      <c r="BY36" s="728">
        <f>IF(CB36=$CB38,SUMIF($BI26:$BI37,$BX36,$BR26:$BR37),SUMIF($BI26:$BI37,$BX36,$BM26:$BM37))</f>
        <v>0.32200000000000001</v>
      </c>
      <c r="BZ36" s="782">
        <f>IF(IF(CB36=CB38,SUMIF(BI26:BI37,$BX36,BU26:BU37),SUMIF(BI26:BI37,$BX36,BP26:BP37))=0,NA(),IF(CB36=CB38,SUMIF(BI26:BI37,$BX36,BU26:BU37),SUMIF(BI26:BI37,$BX36,BP26:BP37)))</f>
        <v>1.5</v>
      </c>
      <c r="CA36" s="784">
        <f>IF(IF(CB36=CB38,SUMIF(BI26:BI37,$BX36,BS26:BS37),SUMIF(BI26:BI37,$BX36,BN26:BN37))=0,NA(),IF(CB36=CB38,SUMIF(BI26:BI37,$BX36,BS26:BS37),SUMIF(BI26:BI37,$BX36,BN26:BN37)))</f>
        <v>0.20499999999999999</v>
      </c>
      <c r="CB36" s="730">
        <v>20</v>
      </c>
      <c r="CC36" s="730">
        <f t="shared" si="4"/>
        <v>8</v>
      </c>
    </row>
    <row r="37" spans="1:81" ht="16.149999999999999" customHeight="1">
      <c r="B37" s="1499"/>
      <c r="C37" s="1499"/>
      <c r="D37" s="1499"/>
      <c r="E37" s="1499"/>
      <c r="F37" s="1499"/>
      <c r="G37" s="1499"/>
      <c r="H37" s="1499"/>
      <c r="I37" s="1499"/>
      <c r="J37" s="1499"/>
      <c r="K37" s="1499"/>
      <c r="L37" s="1499"/>
      <c r="M37" s="1499"/>
      <c r="N37" s="1499"/>
      <c r="O37" s="1499"/>
      <c r="P37" s="1499"/>
      <c r="Q37" s="1500"/>
      <c r="R37" s="1500"/>
      <c r="S37" s="1500"/>
      <c r="T37" s="1500"/>
      <c r="U37" s="1500"/>
      <c r="V37" s="1500"/>
      <c r="W37" s="1500"/>
      <c r="X37" s="1500"/>
      <c r="Y37" s="1500"/>
      <c r="Z37" s="1500"/>
      <c r="AA37" s="1500"/>
      <c r="AB37" s="1500"/>
      <c r="AC37" s="1507"/>
      <c r="AD37" s="1508"/>
      <c r="AE37" s="1508"/>
      <c r="AF37" s="1508"/>
      <c r="AG37" s="1508"/>
      <c r="AH37" s="1508"/>
      <c r="AI37" s="1508"/>
      <c r="AJ37" s="1508"/>
      <c r="AK37" s="1508"/>
      <c r="AL37" s="1508"/>
      <c r="AM37" s="1508"/>
      <c r="AN37" s="1508"/>
      <c r="AO37" s="1508"/>
      <c r="AP37" s="1508"/>
      <c r="AQ37" s="1508"/>
      <c r="AR37" s="1508"/>
      <c r="AS37" s="1508"/>
      <c r="AT37" s="1508"/>
      <c r="AU37" s="1508"/>
      <c r="AV37" s="1508"/>
      <c r="AW37" s="1508"/>
      <c r="AX37" s="1508"/>
      <c r="AY37" s="1508"/>
      <c r="AZ37" s="1508"/>
      <c r="BA37" s="1508"/>
      <c r="BB37" s="1508"/>
      <c r="BC37" s="1508"/>
      <c r="BD37" s="1508"/>
      <c r="BE37" s="1509"/>
      <c r="BG37" s="152"/>
      <c r="BH37" s="223"/>
      <c r="BI37" s="722" t="s">
        <v>344</v>
      </c>
      <c r="BJ37" s="722">
        <v>12</v>
      </c>
      <c r="BK37" s="722" t="s">
        <v>338</v>
      </c>
      <c r="BL37" s="774">
        <v>0.46873199999999998</v>
      </c>
      <c r="BM37" s="725">
        <v>0.33800000000000002</v>
      </c>
      <c r="BN37" s="782">
        <v>0.20699999999999999</v>
      </c>
      <c r="BP37" s="782">
        <v>1.5</v>
      </c>
      <c r="BQ37" s="774">
        <f t="shared" si="6"/>
        <v>0</v>
      </c>
      <c r="BR37" s="785"/>
      <c r="BS37" s="785"/>
      <c r="BU37" s="782">
        <v>1.5</v>
      </c>
      <c r="BX37" s="666" t="str">
        <f t="shared" si="3"/>
        <v>Sep</v>
      </c>
      <c r="BY37" s="728">
        <f>IF(CB37=$CB38,SUMIF($BI26:$BI37,$BX37,$BR26:$BR37),SUMIF($BI26:$BI37,$BX37,$BM26:$BM37))</f>
        <v>0.33800000000000002</v>
      </c>
      <c r="BZ37" s="782">
        <f>IF(IF(CB37=CB38,SUMIF(BI26:BI37,$BX37,BU26:BU37),SUMIF(BI26:BI37,$BX37,BP26:BP37))=0,NA(),IF(CB37=CB38,SUMIF(BI26:BI37,$BX37,BU26:BU37),SUMIF(BI26:BI37,$BX37,BP26:BP37)))</f>
        <v>1.5</v>
      </c>
      <c r="CA37" s="784">
        <f>IF(IF(CB37=CB38,SUMIF(BI26:BI37,$BX37,BS26:BS37),SUMIF(BI26:BI37,$BX37,BN26:BN37))=0,NA(),IF(CB37=CB38,SUMIF(BI26:BI37,$BX37,BS26:BS37),SUMIF(BI26:BI37,$BX37,BN26:BN37)))</f>
        <v>0.20699999999999999</v>
      </c>
      <c r="CB37" s="730">
        <v>20</v>
      </c>
      <c r="CC37" s="730">
        <f>IF(CC38-1&lt;1,CC38+11,CC38-1)</f>
        <v>9</v>
      </c>
    </row>
    <row r="38" spans="1:81" ht="46.9" customHeight="1">
      <c r="B38" s="1614" t="s">
        <v>612</v>
      </c>
      <c r="C38" s="1614"/>
      <c r="D38" s="1614"/>
      <c r="E38" s="1614"/>
      <c r="F38" s="1614"/>
      <c r="G38" s="1614"/>
      <c r="H38" s="1614"/>
      <c r="I38" s="1614"/>
      <c r="J38" s="1614"/>
      <c r="K38" s="1520">
        <f>SUMIF(SC!$BJ$26:$BJ$37,Cover!$M$36,SC!$BN$26:$BN$37)</f>
        <v>0.73399999999999999</v>
      </c>
      <c r="L38" s="1520"/>
      <c r="M38" s="1520"/>
      <c r="N38" s="1520">
        <f>SUMIF(SC!$BK$26:$BK$37,Cover!$M$35,SC!$BO$26:$BO$37)</f>
        <v>0.69413861386138609</v>
      </c>
      <c r="O38" s="1520"/>
      <c r="P38" s="1520"/>
      <c r="Q38" s="1610">
        <f>SUMIF(SC!$BJ$26:$BJ$37,Cover!$M$36,SC!$BU$26:$BU$37)</f>
        <v>1.5</v>
      </c>
      <c r="R38" s="1610"/>
      <c r="S38" s="1610"/>
      <c r="T38" s="1520">
        <f>IF(Cover!$M$36=1,SUMIF($BJ$26:$BJ$37,12,$BN$26:$BN$37),SUMIF(SC!$BJ$26:$BJ$37,Cover!$M$36-1,SC!$BS$26:$BS$37))</f>
        <v>0.20699999999999999</v>
      </c>
      <c r="U38" s="1520"/>
      <c r="V38" s="1520"/>
      <c r="W38" s="1520">
        <f>SUMIF(SC!$BJ$26:$BJ$37,Cover!$M$36,SC!$BS$26:$BS$37)</f>
        <v>0.16</v>
      </c>
      <c r="X38" s="1520"/>
      <c r="Y38" s="1520"/>
      <c r="Z38" s="1520">
        <f>SUMIF(SC!$BK$26:$BK$37,Cover!$M$35,SC!$BT$26:$BT$37)</f>
        <v>0.16</v>
      </c>
      <c r="AA38" s="1520"/>
      <c r="AB38" s="1520"/>
      <c r="AC38" s="1543" t="s">
        <v>613</v>
      </c>
      <c r="AD38" s="1544"/>
      <c r="AE38" s="1544"/>
      <c r="AF38" s="1544"/>
      <c r="AG38" s="1544"/>
      <c r="AH38" s="1544"/>
      <c r="AI38" s="1544"/>
      <c r="AJ38" s="1544"/>
      <c r="AK38" s="1544"/>
      <c r="AL38" s="1544"/>
      <c r="AM38" s="1544"/>
      <c r="AN38" s="1544"/>
      <c r="AO38" s="1544"/>
      <c r="AP38" s="1544"/>
      <c r="AQ38" s="1544"/>
      <c r="AR38" s="1544"/>
      <c r="AS38" s="1544"/>
      <c r="AT38" s="1544"/>
      <c r="AU38" s="1544"/>
      <c r="AV38" s="1544"/>
      <c r="AW38" s="1544"/>
      <c r="AX38" s="1544"/>
      <c r="AY38" s="1544"/>
      <c r="AZ38" s="1544"/>
      <c r="BA38" s="1544"/>
      <c r="BB38" s="1544"/>
      <c r="BC38" s="1544"/>
      <c r="BD38" s="1544"/>
      <c r="BE38" s="1545"/>
      <c r="BH38" s="160">
        <f>IF(Q38=0,4,IF(W38=0,0,IF(Q38="","",IF(W38&lt;=Q38,1,IF(W38&gt;Q38*1.9,3,2)))))</f>
        <v>1</v>
      </c>
      <c r="BJ38" s="2"/>
      <c r="BK38" s="2"/>
      <c r="BL38" s="269"/>
      <c r="BM38" s="269"/>
      <c r="BN38" s="269"/>
      <c r="BO38" s="2"/>
      <c r="BP38" s="2"/>
      <c r="BQ38" s="2"/>
      <c r="BS38" s="2"/>
      <c r="BT38" s="6"/>
      <c r="BU38" s="6"/>
      <c r="BW38" s="667" t="str">
        <f>Cover!$M$34</f>
        <v>OCT FY-24</v>
      </c>
      <c r="BX38" s="666" t="str">
        <f>TEXT(CONCATENATE(CC38,"/01/20",CB38),"MMM")</f>
        <v>Oct</v>
      </c>
      <c r="BY38" s="728">
        <f>SUMIF($BI26:$BI37,$BX38,$BR26:$BR37)</f>
        <v>0.33700000000000002</v>
      </c>
      <c r="BZ38" s="782">
        <f>IF(IF(CB38=CB38,SUMIF(BI26:BI37,$BX38,BU26:BU37),SUMIF(BI26:BI37,$BX38,BP26:BP37))=0,NA(),IF(CB38=CB38,SUMIF(BI26:BI37,$BX38,BU26:BU37),SUMIF(BI26:BI37,$BX38,BP26:BP37)))</f>
        <v>1.5</v>
      </c>
      <c r="CA38" s="784">
        <f>IF(SUMIF($BI26:$BI37,$BX38,$BS26:$BS37)=0,NA(),SUMIF($BI26:$BI37,$BX38,$BS26:$BS37))</f>
        <v>0.16</v>
      </c>
      <c r="CB38" s="730">
        <v>21</v>
      </c>
      <c r="CC38" s="730">
        <f>MONTH(DATEVALUE(LEFT(BW38,3)&amp;" 1"))</f>
        <v>10</v>
      </c>
    </row>
    <row r="39" spans="1:81" ht="46.9" customHeight="1">
      <c r="B39" s="1541" t="s">
        <v>614</v>
      </c>
      <c r="C39" s="1542"/>
      <c r="D39" s="1542"/>
      <c r="E39" s="1542"/>
      <c r="F39" s="1542"/>
      <c r="G39" s="1542"/>
      <c r="H39" s="1542"/>
      <c r="I39" s="1542"/>
      <c r="J39" s="1542"/>
      <c r="K39" s="1520">
        <f>SUMIF(SC!$BJ$45:$BJ$56,Cover!$M$36,SC!$BN$45:$BN$56)</f>
        <v>1.9079999999999999</v>
      </c>
      <c r="L39" s="1520"/>
      <c r="M39" s="1520"/>
      <c r="N39" s="1520">
        <f>SUMIF(SC!$BK$45:$BK$56,Cover!$M$35,SC!$BO$45:$BO$56)</f>
        <v>2.0704763532763533</v>
      </c>
      <c r="O39" s="1520"/>
      <c r="P39" s="1520"/>
      <c r="Q39" s="1671">
        <f>SUMIF(SC!$BJ$45:$BJ$56,Cover!$M$36,SC!$BU$45:$BU$56)</f>
        <v>5</v>
      </c>
      <c r="R39" s="1671"/>
      <c r="S39" s="1671"/>
      <c r="T39" s="1520">
        <f>IF(Cover!$M$36=1,SUMIF($BJ$45:$BJ$56,12,$BN$45:$BN$56),SUMIF(SC!$BJ$45:$BJ$56,Cover!$M$36-1,SC!$BS$45:$BS$56))</f>
        <v>1.756</v>
      </c>
      <c r="U39" s="1520"/>
      <c r="V39" s="1520"/>
      <c r="W39" s="1520">
        <f>SUMIF(SC!$BJ$45:$BJ$56,Cover!$M$36,SC!$BS$45:$BS$56)</f>
        <v>1.4079999999999999</v>
      </c>
      <c r="X39" s="1520"/>
      <c r="Y39" s="1520"/>
      <c r="Z39" s="1520">
        <f>SUMIF(SC!$BK$45:$BK$56,Cover!$M$35,SC!$BT$45:$BT$56)</f>
        <v>1.4079999999999999</v>
      </c>
      <c r="AA39" s="1520"/>
      <c r="AB39" s="1520"/>
      <c r="AC39" s="1665" t="s">
        <v>615</v>
      </c>
      <c r="AD39" s="1666"/>
      <c r="AE39" s="1666"/>
      <c r="AF39" s="1666"/>
      <c r="AG39" s="1666"/>
      <c r="AH39" s="1666"/>
      <c r="AI39" s="1666"/>
      <c r="AJ39" s="1666"/>
      <c r="AK39" s="1666"/>
      <c r="AL39" s="1666"/>
      <c r="AM39" s="1666"/>
      <c r="AN39" s="1666"/>
      <c r="AO39" s="1666"/>
      <c r="AP39" s="1666"/>
      <c r="AQ39" s="1666"/>
      <c r="AR39" s="1666"/>
      <c r="AS39" s="1666"/>
      <c r="AT39" s="1666"/>
      <c r="AU39" s="1666"/>
      <c r="AV39" s="1666"/>
      <c r="AW39" s="1666"/>
      <c r="AX39" s="1666"/>
      <c r="AY39" s="1666"/>
      <c r="AZ39" s="1666"/>
      <c r="BA39" s="1666"/>
      <c r="BB39" s="1666"/>
      <c r="BC39" s="1666"/>
      <c r="BD39" s="1666"/>
      <c r="BE39" s="1667"/>
      <c r="BH39" s="160">
        <f>IF(Q39=0,4,IF(W39=0,0,IF(Q39="","",IF(W39&lt;=Q39,1,IF(W39&gt;Q39/1.9,3,2)))))</f>
        <v>1</v>
      </c>
      <c r="BI39" s="6"/>
      <c r="BJ39" s="6"/>
      <c r="BK39" s="6"/>
      <c r="BL39" s="6"/>
      <c r="BM39" s="6"/>
      <c r="BN39" s="6"/>
      <c r="BO39" s="6"/>
      <c r="BP39" s="6"/>
      <c r="BQ39" s="6"/>
      <c r="BR39" s="6"/>
      <c r="BS39" s="6"/>
      <c r="BT39" s="6"/>
      <c r="BU39" s="6"/>
    </row>
    <row r="40" spans="1:81" customFormat="1" ht="46.9" customHeight="1">
      <c r="A40" s="6"/>
      <c r="B40" s="1672"/>
      <c r="C40" s="1672"/>
      <c r="D40" s="1672"/>
      <c r="E40" s="1672"/>
      <c r="F40" s="1672"/>
      <c r="G40" s="1672"/>
      <c r="H40" s="1672"/>
      <c r="I40" s="1672"/>
      <c r="J40" s="1672"/>
      <c r="K40" s="20"/>
      <c r="L40" s="20"/>
      <c r="M40" s="20"/>
      <c r="N40" s="20"/>
      <c r="O40" s="20"/>
      <c r="P40" s="20"/>
      <c r="Q40" s="20"/>
      <c r="R40" s="20"/>
      <c r="S40" s="20"/>
      <c r="T40" s="20"/>
      <c r="U40" s="20"/>
      <c r="V40" s="20"/>
      <c r="W40" s="20"/>
      <c r="X40" s="20"/>
      <c r="Y40" s="20"/>
      <c r="Z40" s="20"/>
      <c r="AA40" s="20"/>
      <c r="AB40" s="20"/>
      <c r="AC40" s="1668"/>
      <c r="AD40" s="1669"/>
      <c r="AE40" s="1669"/>
      <c r="AF40" s="1669"/>
      <c r="AG40" s="1669"/>
      <c r="AH40" s="1669"/>
      <c r="AI40" s="1669"/>
      <c r="AJ40" s="1669"/>
      <c r="AK40" s="1669"/>
      <c r="AL40" s="1669"/>
      <c r="AM40" s="1669"/>
      <c r="AN40" s="1669"/>
      <c r="AO40" s="1669"/>
      <c r="AP40" s="1669"/>
      <c r="AQ40" s="1669"/>
      <c r="AR40" s="1669"/>
      <c r="AS40" s="1669"/>
      <c r="AT40" s="1669"/>
      <c r="AU40" s="1669"/>
      <c r="AV40" s="1669"/>
      <c r="AW40" s="1669"/>
      <c r="AX40" s="1669"/>
      <c r="AY40" s="1669"/>
      <c r="AZ40" s="1669"/>
      <c r="BA40" s="1669"/>
      <c r="BB40" s="1669"/>
      <c r="BC40" s="1669"/>
      <c r="BD40" s="1669"/>
      <c r="BE40" s="1670"/>
      <c r="BF40" s="6"/>
      <c r="BH40" s="160"/>
      <c r="BI40" s="1" t="s">
        <v>292</v>
      </c>
      <c r="BJ40" s="1526" t="s">
        <v>616</v>
      </c>
      <c r="BK40" s="1526"/>
      <c r="BL40" s="1526"/>
      <c r="BM40" s="1526"/>
      <c r="BN40" s="1526"/>
      <c r="BO40" s="1526"/>
      <c r="BP40" s="1526"/>
      <c r="BQ40" s="1526"/>
      <c r="BR40" s="1526"/>
      <c r="BS40" s="1526"/>
      <c r="BT40" s="1526"/>
      <c r="BU40" s="1526"/>
      <c r="BW40" s="6"/>
      <c r="BX40" s="6"/>
    </row>
    <row r="41" spans="1:81" ht="14.65" customHeight="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I41" s="54" t="s">
        <v>296</v>
      </c>
      <c r="BJ41" s="165" t="s">
        <v>617</v>
      </c>
      <c r="BK41" s="165"/>
      <c r="BL41" s="165"/>
      <c r="BM41" s="165"/>
      <c r="BN41" s="165"/>
      <c r="BO41" s="165"/>
      <c r="BP41" s="165"/>
      <c r="BQ41" s="165"/>
      <c r="BR41" s="165"/>
      <c r="BS41" s="165"/>
      <c r="BT41" s="165"/>
      <c r="BU41" s="165"/>
      <c r="BW41"/>
      <c r="BX41"/>
    </row>
    <row r="42" spans="1:81" ht="14.65" customHeight="1" thickBot="1">
      <c r="A42"/>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c r="BI42" s="1" t="s">
        <v>300</v>
      </c>
      <c r="BJ42" s="165" t="s">
        <v>618</v>
      </c>
      <c r="BK42" s="165"/>
      <c r="BL42" s="165"/>
      <c r="BM42" s="165"/>
      <c r="BN42" s="165"/>
      <c r="BO42" s="165"/>
      <c r="BP42" s="165"/>
      <c r="BQ42" s="165"/>
      <c r="BR42" s="165"/>
      <c r="BS42" s="165"/>
      <c r="BT42" s="165"/>
      <c r="BU42" s="165"/>
      <c r="BY42"/>
      <c r="BZ42"/>
      <c r="CA42"/>
      <c r="CB42"/>
      <c r="CC42"/>
    </row>
    <row r="43" spans="1:81" ht="14.65" customHeight="1" thickBot="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I43" s="2"/>
      <c r="BJ43" s="2"/>
      <c r="BK43" s="2"/>
      <c r="BL43" s="1490" t="s">
        <v>487</v>
      </c>
      <c r="BM43" s="1491"/>
      <c r="BN43" s="1491"/>
      <c r="BO43" s="1491"/>
      <c r="BP43" s="1521"/>
      <c r="BQ43" s="1490" t="s">
        <v>522</v>
      </c>
      <c r="BR43" s="1491"/>
      <c r="BS43" s="1491"/>
      <c r="BT43" s="1491"/>
      <c r="BU43" s="1492"/>
      <c r="BW43" s="1490" t="s">
        <v>303</v>
      </c>
      <c r="BX43" s="1491"/>
      <c r="BY43" s="1491"/>
      <c r="BZ43" s="1491"/>
      <c r="CA43" s="1491"/>
      <c r="CB43" s="1491"/>
      <c r="CC43" s="1492"/>
    </row>
    <row r="44" spans="1:81" ht="14.65" customHeight="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I44" s="720" t="s">
        <v>23</v>
      </c>
      <c r="BJ44" s="720" t="s">
        <v>37</v>
      </c>
      <c r="BK44" s="720" t="s">
        <v>304</v>
      </c>
      <c r="BL44" s="721" t="s">
        <v>305</v>
      </c>
      <c r="BM44" s="721" t="s">
        <v>306</v>
      </c>
      <c r="BN44" s="721" t="s">
        <v>488</v>
      </c>
      <c r="BO44" s="135" t="s">
        <v>489</v>
      </c>
      <c r="BP44" s="721" t="s">
        <v>490</v>
      </c>
      <c r="BQ44" s="721" t="s">
        <v>305</v>
      </c>
      <c r="BR44" s="721" t="s">
        <v>523</v>
      </c>
      <c r="BS44" s="721" t="s">
        <v>524</v>
      </c>
      <c r="BT44" s="135" t="s">
        <v>525</v>
      </c>
      <c r="BU44" s="721" t="s">
        <v>526</v>
      </c>
      <c r="BW44" s="164" t="s">
        <v>314</v>
      </c>
      <c r="BX44" s="164" t="s">
        <v>23</v>
      </c>
      <c r="BY44" s="169" t="s">
        <v>315</v>
      </c>
      <c r="BZ44" s="164" t="s">
        <v>122</v>
      </c>
      <c r="CA44" s="164" t="s">
        <v>316</v>
      </c>
      <c r="CB44" s="164" t="s">
        <v>317</v>
      </c>
      <c r="CC44" s="164" t="s">
        <v>318</v>
      </c>
    </row>
    <row r="45" spans="1:81" ht="14.65"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I45" s="722" t="s">
        <v>319</v>
      </c>
      <c r="BJ45" s="722">
        <v>1</v>
      </c>
      <c r="BK45" s="722" t="s">
        <v>320</v>
      </c>
      <c r="BL45" s="774">
        <f>BN45*BM45</f>
        <v>1.205856</v>
      </c>
      <c r="BM45" s="725">
        <v>0.63200000000000001</v>
      </c>
      <c r="BN45" s="782">
        <v>1.9079999999999999</v>
      </c>
      <c r="BO45" s="140">
        <f>IF(SUM(BM45:BM47=0),0,SUM(BL45:BL47)/SUM(BM45:BM47))</f>
        <v>2.0704763532763533</v>
      </c>
      <c r="BP45" s="782">
        <v>5</v>
      </c>
      <c r="BQ45" s="774">
        <f>BS45*BR45</f>
        <v>0.45196799999999998</v>
      </c>
      <c r="BR45" s="783">
        <v>0.32100000000000001</v>
      </c>
      <c r="BS45" s="783">
        <v>1.4079999999999999</v>
      </c>
      <c r="BT45" s="140">
        <f>IF(SUM(BR45:BR47=0),0,SUM(BQ45:BQ47)/SUM(BR45:BR47))</f>
        <v>1.4079999999999999</v>
      </c>
      <c r="BU45" s="782">
        <v>5</v>
      </c>
      <c r="BX45" s="666" t="str">
        <f t="shared" ref="BX45:BX56" si="7">TEXT(CONCATENATE(CC45,"/01/20",CB45),"MMM")</f>
        <v>Oct</v>
      </c>
      <c r="BY45" s="766">
        <f>IF(CB45=$CB57,SUMIF($BI45:$BI56,$BX45,$BR45:$BR56),SUMIF($BI45:$BI56,$BX45,$BM45:$BM56))</f>
        <v>0.63200000000000001</v>
      </c>
      <c r="BZ45" s="782">
        <f>IF(IF(CB45=CB57,SUMIF(BI45:BI56,$BX45,BU45:BU56),SUMIF(BI45:BI56,$BX45,BP45:BP56))=0,NA(),IF(CB45=CB57,SUMIF(BI45:BI56,$BX45,BU45:BU56),SUMIF(BI45:BI56,$BX45,BP45:BP56)))</f>
        <v>5</v>
      </c>
      <c r="CA45" s="784">
        <f>IF(IF(CB45=CB57,SUMIF(BI45:BI56,$BX45,BS45:BS56),SUMIF(BI45:BI56,$BX45,BN45:BN56))=0,NA(),IF(CB45=CB57,SUMIF(BI45:BI56,$BX45,BS45:BS56),SUMIF(BI45:BI56,$BX45,BN45:BN56)))</f>
        <v>1.9079999999999999</v>
      </c>
      <c r="CB45" s="730">
        <v>20</v>
      </c>
      <c r="CC45" s="730">
        <f t="shared" ref="CC45:CC55" si="8">IF(CC46-1&lt;1,CC46+11,CC46-1)</f>
        <v>10</v>
      </c>
    </row>
    <row r="46" spans="1:81" ht="14.65" customHeight="1">
      <c r="B46" s="45" t="s">
        <v>350</v>
      </c>
      <c r="C46" s="46"/>
      <c r="D46" s="46"/>
      <c r="E46" s="46"/>
      <c r="F46" s="46"/>
      <c r="G46" s="11"/>
      <c r="H46" s="11"/>
      <c r="I46" s="11"/>
      <c r="J46" s="11"/>
      <c r="K46" s="11"/>
      <c r="L46" s="48"/>
      <c r="M46" s="46"/>
      <c r="N46" s="4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I46" s="722" t="s">
        <v>321</v>
      </c>
      <c r="BJ46" s="722">
        <v>2</v>
      </c>
      <c r="BK46" s="722" t="s">
        <v>320</v>
      </c>
      <c r="BL46" s="774">
        <f t="shared" ref="BL46:BL55" si="9">BN46*BM46</f>
        <v>1.1439999999999999</v>
      </c>
      <c r="BM46" s="725">
        <v>0.57199999999999995</v>
      </c>
      <c r="BN46" s="782">
        <v>2</v>
      </c>
      <c r="BO46" s="136"/>
      <c r="BP46" s="782">
        <v>5</v>
      </c>
      <c r="BQ46" s="774">
        <f t="shared" ref="BQ46:BQ56" si="10">BS46*BR46</f>
        <v>0</v>
      </c>
      <c r="BR46" s="783"/>
      <c r="BS46" s="783"/>
      <c r="BT46" s="136"/>
      <c r="BU46" s="782">
        <v>5</v>
      </c>
      <c r="BX46" s="666" t="str">
        <f t="shared" si="7"/>
        <v>Nov</v>
      </c>
      <c r="BY46" s="766">
        <f>IF(CB46=$CB57,SUMIF($BI45:$BI56,$BX46,$BR45:$BR56),SUMIF($BI45:$BI56,$BX46,$BM45:$BM56))</f>
        <v>0.57199999999999995</v>
      </c>
      <c r="BZ46" s="782">
        <f>IF(IF(CB46=CB57,SUMIF(BI45:BI56,$BX46,BU45:BU56),SUMIF(BI45:BI56,$BX46,BP45:BP56))=0,NA(),IF(CB46=CB57,SUMIF(BI45:BI56,$BX46,BU45:BU56),SUMIF(BI45:BI56,$BX46,BP45:BP56)))</f>
        <v>5</v>
      </c>
      <c r="CA46" s="784">
        <f>IF(IF(CB46=CB57,SUMIF(BI45:BI56,$BX46,BS45:BS56),SUMIF(BI45:BI56,$BX46,BN45:BN56))=0,NA(),IF(CB46=CB57,SUMIF(BI45:BI56,$BX46,BS45:BS56),SUMIF(BI45:BI56,$BX46,BN45:BN56)))</f>
        <v>2</v>
      </c>
      <c r="CB46" s="730">
        <v>20</v>
      </c>
      <c r="CC46" s="730">
        <f t="shared" si="8"/>
        <v>11</v>
      </c>
    </row>
    <row r="47" spans="1:81" ht="14.65" customHeight="1">
      <c r="F47" s="21"/>
      <c r="G47" s="22"/>
      <c r="BI47" s="722" t="s">
        <v>322</v>
      </c>
      <c r="BJ47" s="722">
        <v>3</v>
      </c>
      <c r="BK47" s="722" t="s">
        <v>320</v>
      </c>
      <c r="BL47" s="774">
        <f t="shared" si="9"/>
        <v>1.2838300000000002</v>
      </c>
      <c r="BM47" s="725">
        <v>0.55100000000000005</v>
      </c>
      <c r="BN47" s="782">
        <v>2.33</v>
      </c>
      <c r="BO47" s="136"/>
      <c r="BP47" s="782">
        <v>5</v>
      </c>
      <c r="BQ47" s="774">
        <f t="shared" si="10"/>
        <v>0</v>
      </c>
      <c r="BR47" s="783"/>
      <c r="BS47" s="783"/>
      <c r="BT47" s="136"/>
      <c r="BU47" s="782">
        <v>5</v>
      </c>
      <c r="BX47" s="666" t="str">
        <f t="shared" si="7"/>
        <v>Dec</v>
      </c>
      <c r="BY47" s="766">
        <f>IF(CB47=$CB57,SUMIF($BI45:$BI56,$BX47,$BR45:$BR56),SUMIF($BI45:$BI56,$BX47,$BM45:$BM56))</f>
        <v>0.55100000000000005</v>
      </c>
      <c r="BZ47" s="782">
        <f>IF(IF(CB47=CB57,SUMIF(BI45:BI56,$BX47,BU45:BU56),SUMIF(BI45:BI56,$BX47,BP45:BP56))=0,NA(),IF(CB47=CB57,SUMIF(BI45:BI56,$BX47,BU45:BU56),SUMIF(BI45:BI56,$BX47,BP45:BP56)))</f>
        <v>5</v>
      </c>
      <c r="CA47" s="784">
        <f>IF(IF(CB47=CB57,SUMIF(BI45:BI56,$BX47,BS45:BS56),SUMIF(BI45:BI56,$BX47,BN45:BN56))=0,NA(),IF(CB47=CB57,SUMIF(BI45:BI56,$BX47,BS45:BS56),SUMIF(BI45:BI56,$BX47,BN45:BN56)))</f>
        <v>2.33</v>
      </c>
      <c r="CB47" s="730">
        <v>20</v>
      </c>
      <c r="CC47" s="730">
        <f t="shared" si="8"/>
        <v>12</v>
      </c>
    </row>
    <row r="48" spans="1:81" ht="14.65" customHeight="1">
      <c r="B48" s="52"/>
      <c r="F48" s="21"/>
      <c r="G48" s="22"/>
      <c r="AD48"/>
      <c r="BI48" s="722" t="s">
        <v>323</v>
      </c>
      <c r="BJ48" s="722">
        <v>4</v>
      </c>
      <c r="BK48" s="722" t="s">
        <v>324</v>
      </c>
      <c r="BL48" s="774">
        <f t="shared" si="9"/>
        <v>1.5293399999999999</v>
      </c>
      <c r="BM48" s="725">
        <v>0.71799999999999997</v>
      </c>
      <c r="BN48" s="782">
        <v>2.13</v>
      </c>
      <c r="BO48" s="140">
        <f>IF(SUM(BM48:BM50=0),0,SUM(BL48:BL50)/SUM(BM48:BM50))</f>
        <v>2.0912552215995923</v>
      </c>
      <c r="BP48" s="782">
        <v>5</v>
      </c>
      <c r="BQ48" s="774">
        <f t="shared" si="10"/>
        <v>0</v>
      </c>
      <c r="BR48" s="783"/>
      <c r="BS48" s="783"/>
      <c r="BT48" s="140">
        <f>IF(SUM(BR48:BR50=0),0,SUM(BQ48:BQ50)/SUM(BR48:BR50))</f>
        <v>0</v>
      </c>
      <c r="BU48" s="782">
        <v>5</v>
      </c>
      <c r="BX48" s="666" t="str">
        <f t="shared" si="7"/>
        <v>Jan</v>
      </c>
      <c r="BY48" s="766">
        <f>IF(CB48=$CB57,SUMIF($BI45:$BI56,$BX48,$BR45:$BR56),SUMIF($BI45:$BI56,$BX48,$BM45:$BM56))</f>
        <v>0.71799999999999997</v>
      </c>
      <c r="BZ48" s="782">
        <f>IF(IF(CB48=CB57,SUMIF(BI45:BI56,$BX48,BU45:BU56),SUMIF(BI45:BI56,$BX48,BP45:BP56))=0,NA(),IF(CB48=CB57,SUMIF(BI45:BI56,$BX48,BU45:BU56),SUMIF(BI45:BI56,$BX48,BP45:BP56)))</f>
        <v>5</v>
      </c>
      <c r="CA48" s="784">
        <f>IF(IF(CB48=CB57,SUMIF(BI45:BI56,$BX48,BS45:BS56),SUMIF(BI45:BI56,$BX48,BN45:BN56))=0,NA(),IF(CB48=CB57,SUMIF(BI45:BI56,$BX48,BS45:BS56),SUMIF(BI45:BI56,$BX48,BN45:BN56)))</f>
        <v>2.13</v>
      </c>
      <c r="CB48" s="730">
        <v>20</v>
      </c>
      <c r="CC48" s="730">
        <f t="shared" si="8"/>
        <v>1</v>
      </c>
    </row>
    <row r="49" spans="61:81" ht="14.65" customHeight="1">
      <c r="BI49" s="722" t="s">
        <v>325</v>
      </c>
      <c r="BJ49" s="722">
        <v>5</v>
      </c>
      <c r="BK49" s="722" t="s">
        <v>324</v>
      </c>
      <c r="BL49" s="774">
        <f t="shared" si="9"/>
        <v>1.3862699999999999</v>
      </c>
      <c r="BM49" s="725">
        <v>0.65700000000000003</v>
      </c>
      <c r="BN49" s="782">
        <v>2.11</v>
      </c>
      <c r="BO49" s="136"/>
      <c r="BP49" s="782">
        <v>5</v>
      </c>
      <c r="BQ49" s="774">
        <f t="shared" si="10"/>
        <v>0</v>
      </c>
      <c r="BR49" s="785"/>
      <c r="BS49" s="785"/>
      <c r="BT49" s="136"/>
      <c r="BU49" s="782">
        <v>5</v>
      </c>
      <c r="BX49" s="666" t="str">
        <f t="shared" si="7"/>
        <v>Feb</v>
      </c>
      <c r="BY49" s="766">
        <f>IF(CB49=$CB57,SUMIF($BI45:$BI56,$BX49,$BR45:$BR56),SUMIF($BI45:$BI56,$BX49,$BM45:$BM56))</f>
        <v>0.65700000000000003</v>
      </c>
      <c r="BZ49" s="782">
        <f>IF(IF(CB49=CB57,SUMIF(BI45:BI56,$BX49,BU45:BU56),SUMIF(BI45:BI56,$BX49,BP45:BP56))=0,NA(),IF(CB49=CB57,SUMIF(BI45:BI56,$BX49,BU45:BU56),SUMIF(BI45:BI56,$BX49,BP45:BP56)))</f>
        <v>5</v>
      </c>
      <c r="CA49" s="784">
        <f>IF(IF(CB49=CB57,SUMIF(BI45:BI56,$BX49,BS45:BS56),SUMIF(BI45:BI56,$BX49,BN45:BN56))=0,NA(),IF(CB49=CB57,SUMIF(BI45:BI56,$BX49,BS45:BS56),SUMIF(BI45:BI56,$BX49,BN45:BN56)))</f>
        <v>2.11</v>
      </c>
      <c r="CB49" s="730">
        <v>20</v>
      </c>
      <c r="CC49" s="730">
        <f t="shared" si="8"/>
        <v>2</v>
      </c>
    </row>
    <row r="50" spans="61:81" ht="14.65" customHeight="1">
      <c r="BI50" s="722" t="s">
        <v>326</v>
      </c>
      <c r="BJ50" s="722">
        <v>6</v>
      </c>
      <c r="BK50" s="722" t="s">
        <v>324</v>
      </c>
      <c r="BL50" s="774">
        <f t="shared" si="9"/>
        <v>1.189524</v>
      </c>
      <c r="BM50" s="725">
        <v>0.58799999999999997</v>
      </c>
      <c r="BN50" s="782">
        <v>2.0230000000000001</v>
      </c>
      <c r="BO50" s="136"/>
      <c r="BP50" s="782">
        <v>5</v>
      </c>
      <c r="BQ50" s="774">
        <f t="shared" si="10"/>
        <v>0</v>
      </c>
      <c r="BR50" s="785"/>
      <c r="BS50" s="785"/>
      <c r="BT50" s="136"/>
      <c r="BU50" s="782">
        <v>5</v>
      </c>
      <c r="BX50" s="666" t="str">
        <f t="shared" si="7"/>
        <v>Mar</v>
      </c>
      <c r="BY50" s="766">
        <f>IF(CB50=$CB57,SUMIF($BI45:$BI56,$BX50,$BR45:$BR56),SUMIF($BI45:$BI56,$BX50,$BM45:$BM56))</f>
        <v>0.58799999999999997</v>
      </c>
      <c r="BZ50" s="782">
        <f>IF(IF(CB50=CB57,SUMIF(BI45:BI56,$BX50,BU45:BU56),SUMIF(BI45:BI56,$BX50,BP45:BP56))=0,NA(),IF(CB50=CB57,SUMIF(BI45:BI56,$BX50,BU45:BU56),SUMIF(BI45:BI56,$BX50,BP45:BP56)))</f>
        <v>5</v>
      </c>
      <c r="CA50" s="784">
        <f>IF(IF(CB50=CB57,SUMIF(BI45:BI56,$BX50,BS45:BS56),SUMIF(BI45:BI56,$BX50,BN45:BN56))=0,NA(),IF(CB50=CB57,SUMIF(BI45:BI56,$BX50,BS45:BS56),SUMIF(BI45:BI56,$BX50,BN45:BN56)))</f>
        <v>2.0230000000000001</v>
      </c>
      <c r="CB50" s="730">
        <v>20</v>
      </c>
      <c r="CC50" s="730">
        <f t="shared" si="8"/>
        <v>3</v>
      </c>
    </row>
    <row r="51" spans="61:81" ht="14.65" customHeight="1">
      <c r="BI51" s="722" t="s">
        <v>327</v>
      </c>
      <c r="BJ51" s="722">
        <v>7</v>
      </c>
      <c r="BK51" s="722" t="s">
        <v>328</v>
      </c>
      <c r="BL51" s="774">
        <f t="shared" si="9"/>
        <v>0.29417399999999999</v>
      </c>
      <c r="BM51" s="725">
        <v>0.17699999999999999</v>
      </c>
      <c r="BN51" s="782">
        <v>1.6619999999999999</v>
      </c>
      <c r="BO51" s="140">
        <f>IF(SUM(BM51:BM53=0),0,SUM(BL51:BL53)/SUM(BM51:BM53))</f>
        <v>0.97404592901878917</v>
      </c>
      <c r="BP51" s="782">
        <v>5</v>
      </c>
      <c r="BQ51" s="774">
        <f t="shared" si="10"/>
        <v>0</v>
      </c>
      <c r="BR51" s="785"/>
      <c r="BS51" s="785"/>
      <c r="BT51" s="140">
        <f>IF(SUM(BR51:BR53=0),0,SUM(BQ51:BQ53)/SUM(BR51:BR53))</f>
        <v>0</v>
      </c>
      <c r="BU51" s="782">
        <v>5</v>
      </c>
      <c r="BX51" s="666" t="str">
        <f t="shared" si="7"/>
        <v>Apr</v>
      </c>
      <c r="BY51" s="766">
        <f>IF(CB51=$CB57,SUMIF($BI45:$BI56,$BX51,$BR45:$BR56),SUMIF($BI45:$BI56,$BX51,$BM45:$BM56))</f>
        <v>0.17699999999999999</v>
      </c>
      <c r="BZ51" s="782">
        <f>IF(IF(CB51=CB57,SUMIF(BI45:BI56,$BX51,BU45:BU56),SUMIF(BI45:BI56,$BX51,BP45:BP56))=0,NA(),IF(CB51=CB57,SUMIF(BI45:BI56,$BX51,BU45:BU56),SUMIF(BI45:BI56,$BX51,BP45:BP56)))</f>
        <v>5</v>
      </c>
      <c r="CA51" s="784">
        <f>IF(IF(CB51=CB57,SUMIF(BI45:BI56,$BX51,BS45:BS56),SUMIF(BI45:BI56,$BX51,BN45:BN56))=0,NA(),IF(CB51=CB57,SUMIF(BI45:BI56,$BX51,BS45:BS56),SUMIF(BI45:BI56,$BX51,BN45:BN56)))</f>
        <v>1.6619999999999999</v>
      </c>
      <c r="CB51" s="730">
        <v>20</v>
      </c>
      <c r="CC51" s="730">
        <f t="shared" si="8"/>
        <v>4</v>
      </c>
    </row>
    <row r="52" spans="61:81" ht="14.65" customHeight="1">
      <c r="BI52" s="722" t="s">
        <v>329</v>
      </c>
      <c r="BJ52" s="722">
        <v>8</v>
      </c>
      <c r="BK52" s="722" t="s">
        <v>328</v>
      </c>
      <c r="BL52" s="774">
        <f t="shared" si="9"/>
        <v>0.109664</v>
      </c>
      <c r="BM52" s="725">
        <v>0.14899999999999999</v>
      </c>
      <c r="BN52" s="782">
        <v>0.73599999999999999</v>
      </c>
      <c r="BO52" s="136"/>
      <c r="BP52" s="782">
        <v>5</v>
      </c>
      <c r="BQ52" s="774">
        <f t="shared" si="10"/>
        <v>0</v>
      </c>
      <c r="BR52" s="785"/>
      <c r="BS52" s="785"/>
      <c r="BT52" s="136"/>
      <c r="BU52" s="782">
        <v>5</v>
      </c>
      <c r="BX52" s="666" t="str">
        <f t="shared" si="7"/>
        <v>May</v>
      </c>
      <c r="BY52" s="766">
        <f>IF(CB52=$CB57,SUMIF($BI45:$BI56,$BX52,$BR45:$BR56),SUMIF($BI45:$BI56,$BX52,$BM45:$BM56))</f>
        <v>0.14899999999999999</v>
      </c>
      <c r="BZ52" s="782">
        <f>IF(IF(CB52=CB57,SUMIF(BI45:BI56,$BX52,BU45:BU56),SUMIF(BI45:BI56,$BX52,BP45:BP56))=0,NA(),IF(CB52=CB57,SUMIF(BI45:BI56,$BX52,BU45:BU56),SUMIF(BI45:BI56,$BX52,BP45:BP56)))</f>
        <v>5</v>
      </c>
      <c r="CA52" s="784">
        <f>IF(IF(CB52=CB57,SUMIF(BI45:BI56,$BX52,BS45:BS56),SUMIF(BI45:BI56,$BX52,BN45:BN56))=0,NA(),IF(CB52=CB57,SUMIF(BI45:BI56,$BX52,BS45:BS56),SUMIF(BI45:BI56,$BX52,BN45:BN56)))</f>
        <v>0.73599999999999999</v>
      </c>
      <c r="CB52" s="730">
        <v>20</v>
      </c>
      <c r="CC52" s="730">
        <f t="shared" si="8"/>
        <v>5</v>
      </c>
    </row>
    <row r="53" spans="61:81" ht="14.65" customHeight="1">
      <c r="BI53" s="722" t="s">
        <v>331</v>
      </c>
      <c r="BJ53" s="722">
        <v>9</v>
      </c>
      <c r="BK53" s="722" t="s">
        <v>328</v>
      </c>
      <c r="BL53" s="774">
        <f t="shared" si="9"/>
        <v>6.2729999999999994E-2</v>
      </c>
      <c r="BM53" s="725">
        <v>0.153</v>
      </c>
      <c r="BN53" s="782">
        <v>0.41</v>
      </c>
      <c r="BO53" s="136"/>
      <c r="BP53" s="782">
        <v>5</v>
      </c>
      <c r="BQ53" s="774">
        <f t="shared" si="10"/>
        <v>0</v>
      </c>
      <c r="BR53" s="785"/>
      <c r="BS53" s="785"/>
      <c r="BT53" s="136"/>
      <c r="BU53" s="782">
        <v>5</v>
      </c>
      <c r="BX53" s="666" t="str">
        <f t="shared" si="7"/>
        <v>Jun</v>
      </c>
      <c r="BY53" s="766">
        <f>IF(CB53=$CB57,SUMIF($BI45:$BI56,$BX53,$BR45:$BR56),SUMIF($BI45:$BI56,$BX53,$BM45:$BM56))</f>
        <v>0.153</v>
      </c>
      <c r="BZ53" s="782">
        <f>IF(IF(CB53=CB57,SUMIF(BI45:BI56,$BX53,BU45:BU56),SUMIF(BI45:BI56,$BX53,BP45:BP56))=0,NA(),IF(CB53=CB57,SUMIF(BI45:BI56,$BX53,BU45:BU56),SUMIF(BI45:BI56,$BX53,BP45:BP56)))</f>
        <v>5</v>
      </c>
      <c r="CA53" s="784">
        <f>IF(IF(CB53=CB57,SUMIF(BI45:BI56,$BX53,BS45:BS56),SUMIF(BI45:BI56,$BX53,BN45:BN56))=0,NA(),IF(CB53=CB57,SUMIF(BI45:BI56,$BX53,BS45:BS56),SUMIF(BI45:BI56,$BX53,BN45:BN56)))</f>
        <v>0.41</v>
      </c>
      <c r="CB53" s="730">
        <v>20</v>
      </c>
      <c r="CC53" s="730">
        <f t="shared" si="8"/>
        <v>6</v>
      </c>
    </row>
    <row r="54" spans="61:81" ht="14.65" customHeight="1">
      <c r="BI54" s="722" t="s">
        <v>337</v>
      </c>
      <c r="BJ54" s="722">
        <v>10</v>
      </c>
      <c r="BK54" s="722" t="s">
        <v>338</v>
      </c>
      <c r="BL54" s="774">
        <f t="shared" si="9"/>
        <v>0.5248600000000001</v>
      </c>
      <c r="BM54" s="725">
        <v>0.32600000000000001</v>
      </c>
      <c r="BN54" s="782">
        <v>1.61</v>
      </c>
      <c r="BO54" s="140">
        <f>IF(SUM(BM54:BM56=0),0,SUM(BL54:BL56)/SUM(BM54:BM56))</f>
        <v>2.4860917030567684</v>
      </c>
      <c r="BP54" s="782">
        <v>5</v>
      </c>
      <c r="BQ54" s="774">
        <f t="shared" si="10"/>
        <v>0</v>
      </c>
      <c r="BR54" s="785"/>
      <c r="BS54" s="785"/>
      <c r="BT54" s="140">
        <f>IF(SUM(BR54:BR56=0),0,SUM(BQ54:BQ56)/SUM(BR54:BR56))</f>
        <v>0</v>
      </c>
      <c r="BU54" s="782">
        <v>5</v>
      </c>
      <c r="BX54" s="666" t="str">
        <f t="shared" si="7"/>
        <v>Jul</v>
      </c>
      <c r="BY54" s="766">
        <f>IF(CB54=$CB57,SUMIF($BI45:$BI56,$BX54,$BR45:$BR56),SUMIF($BI45:$BI56,$BX54,$BM45:$BM56))</f>
        <v>0.32600000000000001</v>
      </c>
      <c r="BZ54" s="782">
        <f>IF(IF(CB54=CB57,SUMIF(BI45:BI56,$BX54,BU45:BU56),SUMIF(BI45:BI56,$BX54,BP45:BP56))=0,NA(),IF(CB54=CB57,SUMIF(BI45:BI56,$BX54,BU45:BU56),SUMIF(BI45:BI56,$BX54,BP45:BP56)))</f>
        <v>5</v>
      </c>
      <c r="CA54" s="784">
        <f>IF(IF(CB54=CB57,SUMIF(BI45:BI56,$BX54,BS45:BS56),SUMIF(BI45:BI56,$BX54,BN45:BN56))=0,NA(),IF(CB54=CB57,SUMIF(BI45:BI56,$BX54,BS45:BS56),SUMIF(BI45:BI56,$BX54,BN45:BN56)))</f>
        <v>1.61</v>
      </c>
      <c r="CB54" s="730">
        <v>20</v>
      </c>
      <c r="CC54" s="730">
        <f t="shared" si="8"/>
        <v>7</v>
      </c>
    </row>
    <row r="55" spans="61:81" ht="14.65" customHeight="1">
      <c r="BI55" s="722" t="s">
        <v>343</v>
      </c>
      <c r="BJ55" s="722">
        <v>11</v>
      </c>
      <c r="BK55" s="722" t="s">
        <v>338</v>
      </c>
      <c r="BL55" s="774">
        <f t="shared" si="9"/>
        <v>0.54766000000000004</v>
      </c>
      <c r="BM55" s="725">
        <v>0.27800000000000002</v>
      </c>
      <c r="BN55" s="782">
        <v>1.97</v>
      </c>
      <c r="BP55" s="782">
        <v>5</v>
      </c>
      <c r="BQ55" s="774">
        <f t="shared" si="10"/>
        <v>0</v>
      </c>
      <c r="BR55" s="785"/>
      <c r="BS55" s="785"/>
      <c r="BU55" s="782">
        <v>5</v>
      </c>
      <c r="BX55" s="666" t="str">
        <f t="shared" si="7"/>
        <v>Aug</v>
      </c>
      <c r="BY55" s="766">
        <f>IF(CB55=$CB57,SUMIF($BI45:$BI56,$BX55,$BR45:$BR56),SUMIF($BI45:$BI56,$BX55,$BM45:$BM56))</f>
        <v>0.27800000000000002</v>
      </c>
      <c r="BZ55" s="782">
        <f>IF(IF(CB55=CB57,SUMIF(BI45:BI56,$BX55,BU45:BU56),SUMIF(BI45:BI56,$BX55,BP45:BP56))=0,NA(),IF(CB55=CB57,SUMIF(BI45:BI56,$BX55,BU45:BU56),SUMIF(BI45:BI56,$BX55,BP45:BP56)))</f>
        <v>5</v>
      </c>
      <c r="CA55" s="784">
        <f>IF(IF(CB55=CB57,SUMIF(BI45:BI56,$BX55,BS45:BS56),SUMIF(BI45:BI56,$BX55,BN45:BN56))=0,NA(),IF(CB55=CB57,SUMIF(BI45:BI56,$BX55,BS45:BS56),SUMIF(BI45:BI56,$BX55,BN45:BN56)))</f>
        <v>1.97</v>
      </c>
      <c r="CB55" s="730">
        <v>20</v>
      </c>
      <c r="CC55" s="730">
        <f t="shared" si="8"/>
        <v>8</v>
      </c>
    </row>
    <row r="56" spans="61:81" ht="14.65" customHeight="1">
      <c r="BI56" s="722" t="s">
        <v>344</v>
      </c>
      <c r="BJ56" s="722">
        <v>12</v>
      </c>
      <c r="BK56" s="722" t="s">
        <v>338</v>
      </c>
      <c r="BL56" s="774">
        <v>1.2047399999999999</v>
      </c>
      <c r="BM56" s="725">
        <v>0.312</v>
      </c>
      <c r="BN56" s="782">
        <v>1.756</v>
      </c>
      <c r="BP56" s="782">
        <v>5</v>
      </c>
      <c r="BQ56" s="774">
        <f t="shared" si="10"/>
        <v>0</v>
      </c>
      <c r="BR56" s="785"/>
      <c r="BS56" s="785"/>
      <c r="BU56" s="782">
        <v>5</v>
      </c>
      <c r="BX56" s="666" t="str">
        <f t="shared" si="7"/>
        <v>Sep</v>
      </c>
      <c r="BY56" s="766">
        <f>IF(CB56=$CB57,SUMIF($BI45:$BI56,$BX56,$BR45:$BR56),SUMIF($BI45:$BI56,$BX56,$BM45:$BM56))</f>
        <v>0.312</v>
      </c>
      <c r="BZ56" s="782">
        <f>IF(IF(CB56=CB57,SUMIF(BI45:BI56,$BX56,BU45:BU56),SUMIF(BI45:BI56,$BX56,BP45:BP56))=0,NA(),IF(CB56=CB57,SUMIF(BI45:BI56,$BX56,BU45:BU56),SUMIF(BI45:BI56,$BX56,BP45:BP56)))</f>
        <v>5</v>
      </c>
      <c r="CA56" s="784">
        <f>IF(IF(CB56=CB57,SUMIF(BI45:BI56,$BX56,BS45:BS56),SUMIF(BI45:BI56,$BX56,BN45:BN56))=0,NA(),IF(CB56=CB57,SUMIF(BI45:BI56,$BX56,BS45:BS56),SUMIF(BI45:BI56,$BX56,BN45:BN56)))</f>
        <v>1.756</v>
      </c>
      <c r="CB56" s="730">
        <v>20</v>
      </c>
      <c r="CC56" s="730">
        <f>IF(CC57-1&lt;1,CC57+11,CC57-1)</f>
        <v>9</v>
      </c>
    </row>
    <row r="57" spans="61:81" ht="14.65" customHeight="1">
      <c r="BI57" s="6"/>
      <c r="BJ57" s="6"/>
      <c r="BK57" s="6"/>
      <c r="BL57" s="6"/>
      <c r="BM57" s="6"/>
      <c r="BN57" s="6"/>
      <c r="BO57" s="6"/>
      <c r="BP57" s="6"/>
      <c r="BQ57" s="6"/>
      <c r="BR57" s="6"/>
      <c r="BS57" s="6"/>
      <c r="BT57" s="6"/>
      <c r="BU57" s="6"/>
      <c r="BW57" s="667" t="str">
        <f>Cover!$M$34</f>
        <v>OCT FY-24</v>
      </c>
      <c r="BX57" s="666" t="str">
        <f>TEXT(CONCATENATE(CC57,"/01/20",CB57),"MMM")</f>
        <v>Oct</v>
      </c>
      <c r="BY57" s="766">
        <f>SUMIF($BI45:$BI56,$BX57,$BR45:$BR56)</f>
        <v>0.32100000000000001</v>
      </c>
      <c r="BZ57" s="782">
        <f>IF(IF(CB57=CB57,SUMIF(BI45:BI56,$BX57,BU45:BU56),SUMIF(BI45:BI56,$BX57,BP45:BP56))=0,NA(),IF(CB57=CB57,SUMIF(BI45:BI56,$BX57,BU45:BU56),SUMIF(BI45:BI56,$BX57,BP45:BP56)))</f>
        <v>5</v>
      </c>
      <c r="CA57" s="784">
        <f>IF(SUMIF($BI45:$BI56,$BX57,$BS45:$BS56)=0,NA(),SUMIF($BI45:$BI56,$BX57,$BS45:$BS56))</f>
        <v>1.4079999999999999</v>
      </c>
      <c r="CB57" s="730">
        <v>21</v>
      </c>
      <c r="CC57" s="730">
        <f>MONTH(DATEVALUE(LEFT(BW57,3)&amp;" 1"))</f>
        <v>10</v>
      </c>
    </row>
    <row r="58" spans="61:81" ht="14.65" customHeight="1">
      <c r="BI58" s="6"/>
      <c r="BJ58" s="6"/>
      <c r="BK58" s="6"/>
      <c r="BL58" s="6"/>
      <c r="BM58" s="6"/>
      <c r="BN58" s="6"/>
      <c r="BO58" s="6"/>
      <c r="BP58" s="6"/>
      <c r="BQ58" s="6"/>
      <c r="BR58" s="6"/>
      <c r="BS58" s="6"/>
      <c r="BT58" s="6"/>
      <c r="BU58" s="6"/>
    </row>
    <row r="59" spans="61:81" ht="14.65" customHeight="1">
      <c r="BI59" s="2"/>
      <c r="BJ59" s="2"/>
      <c r="BK59" s="2"/>
      <c r="BL59" s="233"/>
      <c r="BM59" s="176"/>
      <c r="BN59" s="234"/>
      <c r="BP59" s="234"/>
      <c r="BQ59" s="233"/>
    </row>
    <row r="60" spans="61:81" ht="14.65" customHeight="1">
      <c r="BI60" s="2"/>
      <c r="BJ60" s="2"/>
      <c r="BK60" s="2"/>
      <c r="BL60" s="233"/>
      <c r="BM60" s="176"/>
      <c r="BN60" s="234"/>
      <c r="BP60" s="234"/>
      <c r="BQ60" s="233"/>
    </row>
    <row r="61" spans="61:81" ht="14.65" customHeight="1">
      <c r="BI61" s="2"/>
      <c r="BJ61" s="2"/>
      <c r="BK61" s="2"/>
      <c r="BL61" s="233"/>
      <c r="BM61" s="176"/>
      <c r="BN61" s="234"/>
      <c r="BP61" s="234"/>
      <c r="BQ61" s="233"/>
    </row>
    <row r="62" spans="61:81" ht="14.65" customHeight="1">
      <c r="BI62" s="2"/>
      <c r="BJ62" s="2"/>
      <c r="BK62" s="2"/>
      <c r="BL62" s="233"/>
      <c r="BM62" s="176"/>
      <c r="BN62" s="234"/>
      <c r="BP62" s="234"/>
      <c r="BQ62" s="233"/>
    </row>
    <row r="63" spans="61:81" ht="14.65" customHeight="1">
      <c r="BI63" s="2"/>
      <c r="BJ63" s="2"/>
      <c r="BK63" s="2"/>
      <c r="BL63" s="233"/>
      <c r="BM63" s="176"/>
      <c r="BN63" s="234"/>
      <c r="BP63" s="234"/>
      <c r="BQ63" s="233"/>
    </row>
    <row r="64" spans="61:81" ht="14.65" customHeight="1">
      <c r="BI64" s="2"/>
      <c r="BJ64" s="2"/>
      <c r="BK64" s="2"/>
      <c r="BL64" s="233"/>
      <c r="BM64" s="176"/>
      <c r="BN64" s="234"/>
      <c r="BP64" s="234"/>
      <c r="BQ64" s="233"/>
    </row>
    <row r="65" spans="2:69" ht="14.65" customHeight="1">
      <c r="B65" s="44" t="s">
        <v>242</v>
      </c>
      <c r="C65" s="44"/>
      <c r="D65" s="44"/>
      <c r="E65" s="87"/>
      <c r="F65" s="94"/>
      <c r="G65" s="94"/>
      <c r="H65" s="94"/>
      <c r="I65" s="94"/>
      <c r="J65" s="94"/>
      <c r="K65" s="94"/>
      <c r="L65" s="94"/>
      <c r="M65" s="94"/>
      <c r="N65" s="94"/>
      <c r="O65" s="94"/>
      <c r="P65" s="94"/>
      <c r="Q65" s="94"/>
      <c r="R65" s="94"/>
      <c r="S65" s="94"/>
      <c r="T65" s="94"/>
      <c r="U65" s="94"/>
      <c r="V65" s="94"/>
      <c r="W65" s="94"/>
      <c r="X65" s="94"/>
      <c r="Y65" s="94"/>
      <c r="Z65" s="94"/>
      <c r="AA65" s="94"/>
      <c r="AB65" s="94"/>
      <c r="AE65" s="44" t="s">
        <v>242</v>
      </c>
      <c r="AF65" s="44"/>
      <c r="AG65" s="44"/>
      <c r="AH65" s="87"/>
      <c r="AI65" s="94"/>
      <c r="AJ65" s="94"/>
      <c r="AK65" s="94"/>
      <c r="AL65" s="94"/>
      <c r="AM65" s="94"/>
      <c r="AN65" s="94"/>
      <c r="AO65" s="94"/>
      <c r="AP65" s="94"/>
      <c r="AQ65" s="94"/>
      <c r="AR65" s="94"/>
      <c r="AS65" s="94"/>
      <c r="AT65" s="94"/>
      <c r="AU65" s="94"/>
      <c r="AV65" s="94"/>
      <c r="AW65" s="94"/>
      <c r="AX65" s="94"/>
      <c r="AY65" s="94"/>
      <c r="AZ65" s="94"/>
      <c r="BA65" s="94"/>
      <c r="BB65" s="94"/>
      <c r="BC65" s="94"/>
      <c r="BD65" s="94"/>
      <c r="BE65" s="94"/>
      <c r="BI65" s="2"/>
      <c r="BJ65" s="2"/>
      <c r="BK65" s="2"/>
      <c r="BL65" s="233"/>
      <c r="BM65" s="176"/>
      <c r="BN65" s="234"/>
      <c r="BP65" s="234"/>
      <c r="BQ65" s="233"/>
    </row>
    <row r="66" spans="2:69" ht="14.65" customHeight="1">
      <c r="B66" s="1656" t="str">
        <f>AC38</f>
        <v>Decrease in volume as compared to FY19 due to COVID19.</v>
      </c>
      <c r="C66" s="1657"/>
      <c r="D66" s="1657"/>
      <c r="E66" s="1657"/>
      <c r="F66" s="1657"/>
      <c r="G66" s="1657"/>
      <c r="H66" s="1657"/>
      <c r="I66" s="1657"/>
      <c r="J66" s="1657"/>
      <c r="K66" s="1657"/>
      <c r="L66" s="1657"/>
      <c r="M66" s="1657"/>
      <c r="N66" s="1657"/>
      <c r="O66" s="1657"/>
      <c r="P66" s="1657"/>
      <c r="Q66" s="1657"/>
      <c r="R66" s="1657"/>
      <c r="S66" s="1657"/>
      <c r="T66" s="1657"/>
      <c r="U66" s="1657"/>
      <c r="V66" s="1657"/>
      <c r="W66" s="1657"/>
      <c r="X66" s="1657"/>
      <c r="Y66" s="1657"/>
      <c r="Z66" s="1657"/>
      <c r="AA66" s="1657"/>
      <c r="AB66" s="1658"/>
      <c r="AE66" s="1656" t="str">
        <f>AC39</f>
        <v xml:space="preserve">Decrease in pre-boarding activities KPI due to 90% of candidates taking action on packets within 3 days and a slight increase in volume (quantity) from previous month. </v>
      </c>
      <c r="AF66" s="1657"/>
      <c r="AG66" s="1657"/>
      <c r="AH66" s="1657"/>
      <c r="AI66" s="1657"/>
      <c r="AJ66" s="1657"/>
      <c r="AK66" s="1657"/>
      <c r="AL66" s="1657"/>
      <c r="AM66" s="1657"/>
      <c r="AN66" s="1657"/>
      <c r="AO66" s="1657"/>
      <c r="AP66" s="1657"/>
      <c r="AQ66" s="1657"/>
      <c r="AR66" s="1657"/>
      <c r="AS66" s="1657"/>
      <c r="AT66" s="1657"/>
      <c r="AU66" s="1657"/>
      <c r="AV66" s="1657"/>
      <c r="AW66" s="1657"/>
      <c r="AX66" s="1657"/>
      <c r="AY66" s="1657"/>
      <c r="AZ66" s="1657"/>
      <c r="BA66" s="1657"/>
      <c r="BB66" s="1657"/>
      <c r="BC66" s="1657"/>
      <c r="BD66" s="1657"/>
      <c r="BE66" s="1658"/>
      <c r="BI66" s="2"/>
      <c r="BJ66" s="2"/>
      <c r="BK66" s="2"/>
      <c r="BL66" s="233"/>
      <c r="BM66" s="176"/>
      <c r="BN66" s="234"/>
      <c r="BP66" s="234"/>
      <c r="BQ66" s="233"/>
    </row>
    <row r="67" spans="2:69" ht="14.65" customHeight="1">
      <c r="B67" s="1659"/>
      <c r="C67" s="1660"/>
      <c r="D67" s="1660"/>
      <c r="E67" s="1660"/>
      <c r="F67" s="1660"/>
      <c r="G67" s="1660"/>
      <c r="H67" s="1660"/>
      <c r="I67" s="1660"/>
      <c r="J67" s="1660"/>
      <c r="K67" s="1660"/>
      <c r="L67" s="1660"/>
      <c r="M67" s="1660"/>
      <c r="N67" s="1660"/>
      <c r="O67" s="1660"/>
      <c r="P67" s="1660"/>
      <c r="Q67" s="1660"/>
      <c r="R67" s="1660"/>
      <c r="S67" s="1660"/>
      <c r="T67" s="1660"/>
      <c r="U67" s="1660"/>
      <c r="V67" s="1660"/>
      <c r="W67" s="1660"/>
      <c r="X67" s="1660"/>
      <c r="Y67" s="1660"/>
      <c r="Z67" s="1660"/>
      <c r="AA67" s="1660"/>
      <c r="AB67" s="1661"/>
      <c r="AE67" s="1659"/>
      <c r="AF67" s="1660"/>
      <c r="AG67" s="1660"/>
      <c r="AH67" s="1660"/>
      <c r="AI67" s="1660"/>
      <c r="AJ67" s="1660"/>
      <c r="AK67" s="1660"/>
      <c r="AL67" s="1660"/>
      <c r="AM67" s="1660"/>
      <c r="AN67" s="1660"/>
      <c r="AO67" s="1660"/>
      <c r="AP67" s="1660"/>
      <c r="AQ67" s="1660"/>
      <c r="AR67" s="1660"/>
      <c r="AS67" s="1660"/>
      <c r="AT67" s="1660"/>
      <c r="AU67" s="1660"/>
      <c r="AV67" s="1660"/>
      <c r="AW67" s="1660"/>
      <c r="AX67" s="1660"/>
      <c r="AY67" s="1660"/>
      <c r="AZ67" s="1660"/>
      <c r="BA67" s="1660"/>
      <c r="BB67" s="1660"/>
      <c r="BC67" s="1660"/>
      <c r="BD67" s="1660"/>
      <c r="BE67" s="1661"/>
      <c r="BI67" s="6"/>
      <c r="BJ67" s="6"/>
      <c r="BK67" s="6"/>
      <c r="BL67" s="6"/>
      <c r="BM67" s="6"/>
      <c r="BN67" s="6"/>
      <c r="BO67" s="6"/>
      <c r="BP67" s="6"/>
      <c r="BQ67" s="6"/>
    </row>
    <row r="68" spans="2:69" ht="14.65" customHeight="1">
      <c r="B68" s="1659"/>
      <c r="C68" s="1660"/>
      <c r="D68" s="1660"/>
      <c r="E68" s="1660"/>
      <c r="F68" s="1660"/>
      <c r="G68" s="1660"/>
      <c r="H68" s="1660"/>
      <c r="I68" s="1660"/>
      <c r="J68" s="1660"/>
      <c r="K68" s="1660"/>
      <c r="L68" s="1660"/>
      <c r="M68" s="1660"/>
      <c r="N68" s="1660"/>
      <c r="O68" s="1660"/>
      <c r="P68" s="1660"/>
      <c r="Q68" s="1660"/>
      <c r="R68" s="1660"/>
      <c r="S68" s="1660"/>
      <c r="T68" s="1660"/>
      <c r="U68" s="1660"/>
      <c r="V68" s="1660"/>
      <c r="W68" s="1660"/>
      <c r="X68" s="1660"/>
      <c r="Y68" s="1660"/>
      <c r="Z68" s="1660"/>
      <c r="AA68" s="1660"/>
      <c r="AB68" s="1661"/>
      <c r="AE68" s="1659"/>
      <c r="AF68" s="1660"/>
      <c r="AG68" s="1660"/>
      <c r="AH68" s="1660"/>
      <c r="AI68" s="1660"/>
      <c r="AJ68" s="1660"/>
      <c r="AK68" s="1660"/>
      <c r="AL68" s="1660"/>
      <c r="AM68" s="1660"/>
      <c r="AN68" s="1660"/>
      <c r="AO68" s="1660"/>
      <c r="AP68" s="1660"/>
      <c r="AQ68" s="1660"/>
      <c r="AR68" s="1660"/>
      <c r="AS68" s="1660"/>
      <c r="AT68" s="1660"/>
      <c r="AU68" s="1660"/>
      <c r="AV68" s="1660"/>
      <c r="AW68" s="1660"/>
      <c r="AX68" s="1660"/>
      <c r="AY68" s="1660"/>
      <c r="AZ68" s="1660"/>
      <c r="BA68" s="1660"/>
      <c r="BB68" s="1660"/>
      <c r="BC68" s="1660"/>
      <c r="BD68" s="1660"/>
      <c r="BE68" s="1661"/>
    </row>
    <row r="69" spans="2:69" ht="14.65" customHeight="1">
      <c r="B69" s="1662"/>
      <c r="C69" s="1663"/>
      <c r="D69" s="1663"/>
      <c r="E69" s="1663"/>
      <c r="F69" s="1663"/>
      <c r="G69" s="1663"/>
      <c r="H69" s="1663"/>
      <c r="I69" s="1663"/>
      <c r="J69" s="1663"/>
      <c r="K69" s="1663"/>
      <c r="L69" s="1663"/>
      <c r="M69" s="1663"/>
      <c r="N69" s="1663"/>
      <c r="O69" s="1663"/>
      <c r="P69" s="1663"/>
      <c r="Q69" s="1663"/>
      <c r="R69" s="1663"/>
      <c r="S69" s="1663"/>
      <c r="T69" s="1663"/>
      <c r="U69" s="1663"/>
      <c r="V69" s="1663"/>
      <c r="W69" s="1663"/>
      <c r="X69" s="1663"/>
      <c r="Y69" s="1663"/>
      <c r="Z69" s="1663"/>
      <c r="AA69" s="1663"/>
      <c r="AB69" s="1664"/>
      <c r="AE69" s="1662"/>
      <c r="AF69" s="1663"/>
      <c r="AG69" s="1663"/>
      <c r="AH69" s="1663"/>
      <c r="AI69" s="1663"/>
      <c r="AJ69" s="1663"/>
      <c r="AK69" s="1663"/>
      <c r="AL69" s="1663"/>
      <c r="AM69" s="1663"/>
      <c r="AN69" s="1663"/>
      <c r="AO69" s="1663"/>
      <c r="AP69" s="1663"/>
      <c r="AQ69" s="1663"/>
      <c r="AR69" s="1663"/>
      <c r="AS69" s="1663"/>
      <c r="AT69" s="1663"/>
      <c r="AU69" s="1663"/>
      <c r="AV69" s="1663"/>
      <c r="AW69" s="1663"/>
      <c r="AX69" s="1663"/>
      <c r="AY69" s="1663"/>
      <c r="AZ69" s="1663"/>
      <c r="BA69" s="1663"/>
      <c r="BB69" s="1663"/>
      <c r="BC69" s="1663"/>
      <c r="BD69" s="1663"/>
      <c r="BE69" s="1664"/>
    </row>
    <row r="70" spans="2:69" ht="14.65" customHeight="1">
      <c r="B70" s="189"/>
      <c r="C70" s="189"/>
      <c r="D70" s="189"/>
      <c r="E70" s="189"/>
      <c r="F70" s="189"/>
      <c r="G70" s="189"/>
      <c r="H70" s="189"/>
      <c r="I70" s="189"/>
      <c r="J70" s="189"/>
      <c r="K70" s="189"/>
      <c r="L70" s="189"/>
      <c r="M70" s="189"/>
      <c r="N70" s="189"/>
      <c r="O70" s="189"/>
      <c r="P70" s="189"/>
      <c r="Q70" s="189"/>
      <c r="R70" s="189"/>
      <c r="S70" s="189"/>
      <c r="T70" s="189"/>
      <c r="U70" s="189"/>
      <c r="V70" s="189"/>
      <c r="W70" s="189"/>
      <c r="X70" s="189"/>
      <c r="Y70" s="189"/>
      <c r="Z70" s="189"/>
      <c r="AA70" s="189"/>
      <c r="AB70" s="189"/>
      <c r="AC70" s="182"/>
      <c r="AD70" s="182"/>
      <c r="AE70" s="189"/>
      <c r="AF70" s="189"/>
      <c r="AG70" s="189"/>
      <c r="AH70" s="189"/>
      <c r="AI70" s="189"/>
      <c r="AJ70" s="189"/>
      <c r="AK70" s="189"/>
      <c r="AL70" s="189"/>
      <c r="AM70" s="189"/>
      <c r="AN70" s="189"/>
      <c r="AO70" s="189"/>
      <c r="AP70" s="189"/>
      <c r="AQ70" s="189"/>
      <c r="AR70" s="189"/>
      <c r="AS70" s="189"/>
      <c r="AT70" s="189"/>
      <c r="AU70" s="189"/>
      <c r="AV70" s="189"/>
      <c r="AW70" s="189"/>
      <c r="AX70" s="189"/>
      <c r="AY70" s="189"/>
      <c r="AZ70" s="189"/>
      <c r="BA70" s="189"/>
      <c r="BB70" s="189"/>
      <c r="BC70" s="189"/>
      <c r="BD70" s="189"/>
      <c r="BE70" s="189"/>
    </row>
    <row r="71" spans="2:69" ht="14.65" customHeight="1">
      <c r="B71" s="189"/>
      <c r="C71" s="189"/>
      <c r="D71" s="189"/>
      <c r="E71" s="189"/>
      <c r="F71" s="189"/>
      <c r="G71" s="189"/>
      <c r="H71" s="189"/>
      <c r="I71" s="189"/>
      <c r="J71" s="189"/>
      <c r="K71" s="189"/>
      <c r="L71" s="189"/>
      <c r="M71" s="189"/>
      <c r="N71" s="189"/>
      <c r="O71" s="189"/>
      <c r="P71" s="189"/>
      <c r="Q71" s="189"/>
      <c r="R71" s="189"/>
      <c r="S71" s="189"/>
      <c r="T71" s="189"/>
      <c r="U71" s="189"/>
      <c r="V71" s="189"/>
      <c r="W71" s="189"/>
      <c r="X71" s="189"/>
      <c r="Y71" s="189"/>
      <c r="Z71" s="189"/>
      <c r="AA71" s="189"/>
      <c r="AB71" s="189"/>
    </row>
    <row r="72" spans="2:69" ht="38.25" customHeight="1">
      <c r="B72" s="1534" t="s">
        <v>431</v>
      </c>
      <c r="C72" s="1535"/>
      <c r="D72" s="1535"/>
      <c r="E72" s="1535"/>
      <c r="F72" s="1535"/>
      <c r="G72" s="1535"/>
      <c r="H72" s="1535"/>
      <c r="I72" s="1535"/>
      <c r="J72" s="1535"/>
      <c r="K72" s="1535"/>
      <c r="L72" s="1536"/>
      <c r="M72" s="1537" t="s">
        <v>432</v>
      </c>
      <c r="N72" s="1538"/>
      <c r="O72" s="1538"/>
      <c r="P72" s="1538"/>
      <c r="Q72" s="1538"/>
      <c r="R72" s="1538"/>
      <c r="S72" s="1538"/>
      <c r="T72" s="1538"/>
      <c r="U72" s="1538"/>
      <c r="V72" s="1539"/>
      <c r="W72" s="1537" t="s">
        <v>433</v>
      </c>
      <c r="X72" s="1538"/>
      <c r="Y72" s="1538"/>
      <c r="Z72" s="1538"/>
      <c r="AA72" s="1538"/>
      <c r="AB72" s="1538"/>
      <c r="AC72" s="1538"/>
      <c r="AD72" s="1538"/>
      <c r="AE72" s="1538"/>
      <c r="AF72" s="1539"/>
      <c r="AG72" s="1553" t="s">
        <v>434</v>
      </c>
      <c r="AH72" s="1554"/>
      <c r="AI72" s="1554"/>
      <c r="AJ72" s="1554"/>
      <c r="AK72" s="1554"/>
      <c r="AL72" s="1554"/>
      <c r="AM72" s="1554"/>
      <c r="AN72" s="1554"/>
      <c r="AO72" s="1554"/>
      <c r="AP72" s="1555"/>
      <c r="AQ72" s="1534" t="s">
        <v>435</v>
      </c>
      <c r="AR72" s="1535"/>
      <c r="AS72" s="1535"/>
      <c r="AT72" s="1535"/>
      <c r="AU72" s="1536"/>
      <c r="AV72" s="1549" t="s">
        <v>436</v>
      </c>
      <c r="AW72" s="1550"/>
      <c r="AX72" s="1550"/>
      <c r="AY72" s="1550"/>
      <c r="AZ72" s="1551"/>
      <c r="BA72" s="1549" t="s">
        <v>437</v>
      </c>
      <c r="BB72" s="1550"/>
      <c r="BC72" s="1550"/>
      <c r="BD72" s="1550"/>
      <c r="BE72" s="1551"/>
    </row>
    <row r="73" spans="2:69" ht="14.65" customHeight="1">
      <c r="B73" s="1557" t="s">
        <v>602</v>
      </c>
      <c r="C73" s="1558"/>
      <c r="D73" s="1558"/>
      <c r="E73" s="1558"/>
      <c r="F73" s="1558"/>
      <c r="G73" s="1558"/>
      <c r="H73" s="1558"/>
      <c r="I73" s="1558"/>
      <c r="J73" s="1558"/>
      <c r="K73" s="1558"/>
      <c r="L73" s="1559"/>
      <c r="M73" s="1543"/>
      <c r="N73" s="1544"/>
      <c r="O73" s="1544"/>
      <c r="P73" s="1544"/>
      <c r="Q73" s="1544"/>
      <c r="R73" s="1544"/>
      <c r="S73" s="1544"/>
      <c r="T73" s="1544"/>
      <c r="U73" s="1544"/>
      <c r="V73" s="1545"/>
      <c r="W73" s="1543"/>
      <c r="X73" s="1544"/>
      <c r="Y73" s="1544"/>
      <c r="Z73" s="1544"/>
      <c r="AA73" s="1544"/>
      <c r="AB73" s="1544"/>
      <c r="AC73" s="1544"/>
      <c r="AD73" s="1544"/>
      <c r="AE73" s="1544"/>
      <c r="AF73" s="1545"/>
      <c r="AG73" s="1543"/>
      <c r="AH73" s="1544"/>
      <c r="AI73" s="1544"/>
      <c r="AJ73" s="1544"/>
      <c r="AK73" s="1544"/>
      <c r="AL73" s="1544"/>
      <c r="AM73" s="1544"/>
      <c r="AN73" s="1544"/>
      <c r="AO73" s="1544"/>
      <c r="AP73" s="1545"/>
      <c r="AQ73" s="1590"/>
      <c r="AR73" s="1591"/>
      <c r="AS73" s="1591"/>
      <c r="AT73" s="1591"/>
      <c r="AU73" s="1592"/>
      <c r="AV73" s="1560"/>
      <c r="AW73" s="1561"/>
      <c r="AX73" s="1561"/>
      <c r="AY73" s="1561"/>
      <c r="AZ73" s="1562"/>
      <c r="BA73" s="1547"/>
      <c r="BB73" s="1548"/>
      <c r="BC73" s="1548"/>
      <c r="BD73" s="1548"/>
      <c r="BE73" s="1548"/>
    </row>
    <row r="74" spans="2:69" ht="14.65" customHeight="1">
      <c r="B74" s="1552"/>
      <c r="C74" s="1552"/>
      <c r="D74" s="1552"/>
      <c r="E74" s="1552"/>
      <c r="F74" s="1552"/>
      <c r="G74" s="1552"/>
      <c r="H74" s="1552"/>
      <c r="I74" s="1552"/>
      <c r="J74" s="1546"/>
      <c r="K74" s="1546"/>
      <c r="L74" s="1546"/>
      <c r="M74" s="1546"/>
      <c r="N74" s="1546"/>
      <c r="O74" s="1546"/>
      <c r="P74" s="1546"/>
      <c r="Q74" s="1546"/>
      <c r="R74" s="1546"/>
      <c r="S74" s="1546"/>
      <c r="T74" s="1546"/>
      <c r="U74" s="1546"/>
      <c r="V74" s="1546"/>
      <c r="W74" s="1546"/>
      <c r="X74" s="1556"/>
      <c r="Y74" s="1556"/>
      <c r="Z74" s="1556"/>
      <c r="AA74" s="1556"/>
      <c r="AB74" s="1556"/>
      <c r="AC74" s="1556"/>
      <c r="AD74" s="1556"/>
      <c r="AE74" s="1556"/>
      <c r="AF74" s="1556"/>
      <c r="AG74" s="1556"/>
      <c r="AH74" s="1556"/>
      <c r="AI74" s="1556"/>
      <c r="AJ74" s="1546"/>
      <c r="AK74" s="1546"/>
      <c r="AL74" s="1546"/>
      <c r="AM74" s="1546"/>
      <c r="AN74" s="1546"/>
      <c r="AO74" s="1546"/>
      <c r="AP74" s="1546"/>
      <c r="AQ74" s="1546"/>
      <c r="AR74" s="1546"/>
      <c r="AS74" s="1546"/>
      <c r="AT74" s="1546"/>
      <c r="AU74" s="1546"/>
      <c r="AV74" s="1546"/>
      <c r="AW74" s="1546"/>
      <c r="AX74" s="1546"/>
      <c r="AY74" s="1546"/>
      <c r="AZ74" s="1546"/>
      <c r="BA74" s="1546"/>
      <c r="BB74" s="1546"/>
      <c r="BC74" s="1546"/>
      <c r="BD74" s="1546"/>
      <c r="BE74" s="1546"/>
    </row>
    <row r="75" spans="2:69" ht="38.25" customHeight="1">
      <c r="B75" s="1534" t="s">
        <v>534</v>
      </c>
      <c r="C75" s="1535"/>
      <c r="D75" s="1535"/>
      <c r="E75" s="1535"/>
      <c r="F75" s="1535"/>
      <c r="G75" s="1535"/>
      <c r="H75" s="1535"/>
      <c r="I75" s="1535"/>
      <c r="J75" s="1535"/>
      <c r="K75" s="1535"/>
      <c r="L75" s="1536"/>
      <c r="M75" s="1537" t="s">
        <v>432</v>
      </c>
      <c r="N75" s="1538"/>
      <c r="O75" s="1538"/>
      <c r="P75" s="1538"/>
      <c r="Q75" s="1538"/>
      <c r="R75" s="1538"/>
      <c r="S75" s="1538"/>
      <c r="T75" s="1538"/>
      <c r="U75" s="1538"/>
      <c r="V75" s="1539"/>
      <c r="W75" s="1537" t="s">
        <v>433</v>
      </c>
      <c r="X75" s="1538"/>
      <c r="Y75" s="1538"/>
      <c r="Z75" s="1538"/>
      <c r="AA75" s="1538"/>
      <c r="AB75" s="1538"/>
      <c r="AC75" s="1538"/>
      <c r="AD75" s="1538"/>
      <c r="AE75" s="1538"/>
      <c r="AF75" s="1539"/>
      <c r="AG75" s="1553" t="s">
        <v>434</v>
      </c>
      <c r="AH75" s="1554"/>
      <c r="AI75" s="1554"/>
      <c r="AJ75" s="1554"/>
      <c r="AK75" s="1554"/>
      <c r="AL75" s="1554"/>
      <c r="AM75" s="1554"/>
      <c r="AN75" s="1554"/>
      <c r="AO75" s="1554"/>
      <c r="AP75" s="1555"/>
      <c r="AQ75" s="1534" t="s">
        <v>435</v>
      </c>
      <c r="AR75" s="1535"/>
      <c r="AS75" s="1535"/>
      <c r="AT75" s="1535"/>
      <c r="AU75" s="1536"/>
      <c r="AV75" s="1549" t="s">
        <v>436</v>
      </c>
      <c r="AW75" s="1550"/>
      <c r="AX75" s="1550"/>
      <c r="AY75" s="1550"/>
      <c r="AZ75" s="1551"/>
      <c r="BA75" s="1549" t="s">
        <v>437</v>
      </c>
      <c r="BB75" s="1550"/>
      <c r="BC75" s="1550"/>
      <c r="BD75" s="1550"/>
      <c r="BE75" s="1551"/>
    </row>
    <row r="76" spans="2:69" ht="14.65" customHeight="1">
      <c r="B76" s="1682" t="s">
        <v>603</v>
      </c>
      <c r="C76" s="1683"/>
      <c r="D76" s="1683"/>
      <c r="E76" s="1683"/>
      <c r="F76" s="1683"/>
      <c r="G76" s="1683"/>
      <c r="H76" s="1683"/>
      <c r="I76" s="1683"/>
      <c r="J76" s="1683"/>
      <c r="K76" s="1683"/>
      <c r="L76" s="1684"/>
      <c r="M76" s="1653"/>
      <c r="N76" s="1654"/>
      <c r="O76" s="1654"/>
      <c r="P76" s="1654"/>
      <c r="Q76" s="1654"/>
      <c r="R76" s="1654"/>
      <c r="S76" s="1654"/>
      <c r="T76" s="1654"/>
      <c r="U76" s="1654"/>
      <c r="V76" s="1655"/>
      <c r="W76" s="1653"/>
      <c r="X76" s="1654"/>
      <c r="Y76" s="1654"/>
      <c r="Z76" s="1654"/>
      <c r="AA76" s="1654"/>
      <c r="AB76" s="1654"/>
      <c r="AC76" s="1654"/>
      <c r="AD76" s="1654"/>
      <c r="AE76" s="1654"/>
      <c r="AF76" s="1655"/>
      <c r="AG76" s="1647"/>
      <c r="AH76" s="1648"/>
      <c r="AI76" s="1648"/>
      <c r="AJ76" s="1648"/>
      <c r="AK76" s="1648"/>
      <c r="AL76" s="1648"/>
      <c r="AM76" s="1648"/>
      <c r="AN76" s="1648"/>
      <c r="AO76" s="1648"/>
      <c r="AP76" s="1649"/>
      <c r="AQ76" s="1650"/>
      <c r="AR76" s="1651"/>
      <c r="AS76" s="1651"/>
      <c r="AT76" s="1651"/>
      <c r="AU76" s="1652"/>
      <c r="AV76" s="1560"/>
      <c r="AW76" s="1561"/>
      <c r="AX76" s="1561"/>
      <c r="AY76" s="1561"/>
      <c r="AZ76" s="1562"/>
      <c r="BA76" s="1547"/>
      <c r="BB76" s="1548"/>
      <c r="BC76" s="1548"/>
      <c r="BD76" s="1548"/>
      <c r="BE76" s="1548"/>
    </row>
    <row r="77" spans="2:69" ht="14.65" customHeight="1">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row>
    <row r="78" spans="2:69" ht="36.75" hidden="1" customHeight="1">
      <c r="B78" s="45" t="s">
        <v>438</v>
      </c>
      <c r="C78" s="46"/>
      <c r="D78" s="11"/>
      <c r="E78" s="11"/>
      <c r="F78" s="11"/>
      <c r="G78" s="11"/>
      <c r="H78" s="11"/>
      <c r="I78" s="11"/>
      <c r="J78" s="11"/>
      <c r="K78" s="11"/>
      <c r="L78" s="11"/>
      <c r="M78" s="11"/>
      <c r="N78" s="11"/>
      <c r="O78" s="11"/>
      <c r="P78" s="11"/>
      <c r="Q78" s="11"/>
      <c r="R78" s="11"/>
      <c r="S78" s="11"/>
      <c r="T78" s="11"/>
      <c r="U78" s="11"/>
      <c r="V78" s="46"/>
      <c r="W78" s="46"/>
      <c r="X78" s="46"/>
      <c r="Y78" s="11"/>
      <c r="Z78" s="11"/>
      <c r="AA78" s="11"/>
      <c r="AB78" s="11"/>
      <c r="AC78" s="11"/>
      <c r="AD78" s="66"/>
      <c r="AE78" s="46"/>
      <c r="AF78" s="46"/>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c r="BE78" s="11"/>
    </row>
    <row r="79" spans="2:69" ht="36.75" hidden="1" customHeight="1">
      <c r="B79" s="1569" t="s">
        <v>439</v>
      </c>
      <c r="C79" s="1570"/>
      <c r="D79" s="1570"/>
      <c r="E79" s="1570"/>
      <c r="F79" s="1570"/>
      <c r="G79" s="1570"/>
      <c r="H79" s="1570"/>
      <c r="I79" s="1570"/>
      <c r="J79" s="1570"/>
      <c r="K79" s="1570"/>
      <c r="L79" s="1571"/>
      <c r="M79" s="1569" t="s">
        <v>440</v>
      </c>
      <c r="N79" s="1570"/>
      <c r="O79" s="1570"/>
      <c r="P79" s="1570"/>
      <c r="Q79" s="1570"/>
      <c r="R79" s="1570"/>
      <c r="S79" s="1570"/>
      <c r="T79" s="1570"/>
      <c r="U79" s="1570"/>
      <c r="V79" s="1570"/>
      <c r="W79" s="1569" t="s">
        <v>441</v>
      </c>
      <c r="X79" s="1570"/>
      <c r="Y79" s="1570"/>
      <c r="Z79" s="1570"/>
      <c r="AA79" s="1571"/>
      <c r="AB79" s="1569" t="s">
        <v>442</v>
      </c>
      <c r="AC79" s="1570"/>
      <c r="AD79" s="1570"/>
      <c r="AE79" s="1570"/>
      <c r="AF79" s="1571"/>
      <c r="AG79" s="1569" t="s">
        <v>201</v>
      </c>
      <c r="AH79" s="1570"/>
      <c r="AI79" s="1570"/>
      <c r="AJ79" s="1570"/>
      <c r="AK79" s="1570"/>
      <c r="AL79" s="1570"/>
      <c r="AM79" s="1570"/>
      <c r="AN79" s="1570"/>
      <c r="AO79" s="1570"/>
      <c r="AP79" s="1570"/>
      <c r="AQ79" s="1570"/>
      <c r="AR79" s="1570"/>
      <c r="AS79" s="1570"/>
      <c r="AT79" s="1570"/>
      <c r="AU79" s="1570"/>
      <c r="AV79" s="1570"/>
      <c r="AW79" s="1570"/>
      <c r="AX79" s="1570"/>
      <c r="AY79" s="1570"/>
      <c r="AZ79" s="1570"/>
      <c r="BA79" s="1570"/>
      <c r="BB79" s="1570"/>
      <c r="BC79" s="1570"/>
      <c r="BD79" s="1570"/>
      <c r="BE79" s="1571"/>
    </row>
    <row r="80" spans="2:69" ht="90" hidden="1" customHeight="1">
      <c r="B80" s="1581" t="s">
        <v>538</v>
      </c>
      <c r="C80" s="1582"/>
      <c r="D80" s="1582"/>
      <c r="E80" s="1582"/>
      <c r="F80" s="1582"/>
      <c r="G80" s="1582"/>
      <c r="H80" s="1582"/>
      <c r="I80" s="1582"/>
      <c r="J80" s="1582"/>
      <c r="K80" s="1582"/>
      <c r="L80" s="1583"/>
      <c r="M80" s="1543" t="s">
        <v>619</v>
      </c>
      <c r="N80" s="1673"/>
      <c r="O80" s="1673"/>
      <c r="P80" s="1673"/>
      <c r="Q80" s="1673"/>
      <c r="R80" s="1673"/>
      <c r="S80" s="1673"/>
      <c r="T80" s="1673"/>
      <c r="U80" s="1673"/>
      <c r="V80" s="1674"/>
      <c r="W80" s="1587" t="s">
        <v>620</v>
      </c>
      <c r="X80" s="1588"/>
      <c r="Y80" s="1588"/>
      <c r="Z80" s="1588"/>
      <c r="AA80" s="1589"/>
      <c r="AB80" s="1590" t="s">
        <v>621</v>
      </c>
      <c r="AC80" s="1591"/>
      <c r="AD80" s="1591"/>
      <c r="AE80" s="1591"/>
      <c r="AF80" s="1592"/>
      <c r="AG80" s="1543" t="s">
        <v>622</v>
      </c>
      <c r="AH80" s="1675"/>
      <c r="AI80" s="1675"/>
      <c r="AJ80" s="1675"/>
      <c r="AK80" s="1675"/>
      <c r="AL80" s="1675"/>
      <c r="AM80" s="1675"/>
      <c r="AN80" s="1675"/>
      <c r="AO80" s="1675"/>
      <c r="AP80" s="1675"/>
      <c r="AQ80" s="1675"/>
      <c r="AR80" s="1675"/>
      <c r="AS80" s="1675"/>
      <c r="AT80" s="1675"/>
      <c r="AU80" s="1675"/>
      <c r="AV80" s="1675"/>
      <c r="AW80" s="1675"/>
      <c r="AX80" s="1675"/>
      <c r="AY80" s="1675"/>
      <c r="AZ80" s="1675"/>
      <c r="BA80" s="1675"/>
      <c r="BB80" s="1675"/>
      <c r="BC80" s="1675"/>
      <c r="BD80" s="1675"/>
      <c r="BE80" s="1676"/>
    </row>
    <row r="81" spans="2:57" ht="81" hidden="1" customHeight="1">
      <c r="B81" s="1578" t="s">
        <v>623</v>
      </c>
      <c r="C81" s="1579"/>
      <c r="D81" s="1579"/>
      <c r="E81" s="1579"/>
      <c r="F81" s="1579"/>
      <c r="G81" s="1579"/>
      <c r="H81" s="1579"/>
      <c r="I81" s="1579"/>
      <c r="J81" s="1579"/>
      <c r="K81" s="1579"/>
      <c r="L81" s="1580"/>
      <c r="M81" s="1584" t="s">
        <v>624</v>
      </c>
      <c r="N81" s="1677"/>
      <c r="O81" s="1677"/>
      <c r="P81" s="1677"/>
      <c r="Q81" s="1677"/>
      <c r="R81" s="1677"/>
      <c r="S81" s="1677"/>
      <c r="T81" s="1677"/>
      <c r="U81" s="1677"/>
      <c r="V81" s="1678"/>
      <c r="W81" s="1593" t="s">
        <v>620</v>
      </c>
      <c r="X81" s="1594"/>
      <c r="Y81" s="1594"/>
      <c r="Z81" s="1594"/>
      <c r="AA81" s="1595"/>
      <c r="AB81" s="1596" t="s">
        <v>621</v>
      </c>
      <c r="AC81" s="1597"/>
      <c r="AD81" s="1597"/>
      <c r="AE81" s="1597"/>
      <c r="AF81" s="1598"/>
      <c r="AG81" s="1679" t="s">
        <v>625</v>
      </c>
      <c r="AH81" s="1680"/>
      <c r="AI81" s="1680"/>
      <c r="AJ81" s="1680"/>
      <c r="AK81" s="1680"/>
      <c r="AL81" s="1680"/>
      <c r="AM81" s="1680"/>
      <c r="AN81" s="1680"/>
      <c r="AO81" s="1680"/>
      <c r="AP81" s="1680"/>
      <c r="AQ81" s="1680"/>
      <c r="AR81" s="1680"/>
      <c r="AS81" s="1680"/>
      <c r="AT81" s="1680"/>
      <c r="AU81" s="1680"/>
      <c r="AV81" s="1680"/>
      <c r="AW81" s="1680"/>
      <c r="AX81" s="1680"/>
      <c r="AY81" s="1680"/>
      <c r="AZ81" s="1680"/>
      <c r="BA81" s="1680"/>
      <c r="BB81" s="1680"/>
      <c r="BC81" s="1680"/>
      <c r="BD81" s="1680"/>
      <c r="BE81" s="1681"/>
    </row>
    <row r="82" spans="2:57" ht="78.75" hidden="1" customHeight="1">
      <c r="B82" s="1581" t="s">
        <v>626</v>
      </c>
      <c r="C82" s="1582"/>
      <c r="D82" s="1582"/>
      <c r="E82" s="1582"/>
      <c r="F82" s="1582"/>
      <c r="G82" s="1582"/>
      <c r="H82" s="1582"/>
      <c r="I82" s="1582"/>
      <c r="J82" s="1582"/>
      <c r="K82" s="1582"/>
      <c r="L82" s="1583"/>
      <c r="M82" s="1543" t="s">
        <v>627</v>
      </c>
      <c r="N82" s="1673"/>
      <c r="O82" s="1673"/>
      <c r="P82" s="1673"/>
      <c r="Q82" s="1673"/>
      <c r="R82" s="1673"/>
      <c r="S82" s="1673"/>
      <c r="T82" s="1673"/>
      <c r="U82" s="1673"/>
      <c r="V82" s="1674"/>
      <c r="W82" s="1587" t="s">
        <v>620</v>
      </c>
      <c r="X82" s="1588"/>
      <c r="Y82" s="1588"/>
      <c r="Z82" s="1588"/>
      <c r="AA82" s="1589"/>
      <c r="AB82" s="1590" t="s">
        <v>621</v>
      </c>
      <c r="AC82" s="1591"/>
      <c r="AD82" s="1591"/>
      <c r="AE82" s="1591"/>
      <c r="AF82" s="1592"/>
      <c r="AG82" s="1543" t="s">
        <v>628</v>
      </c>
      <c r="AH82" s="1675"/>
      <c r="AI82" s="1675"/>
      <c r="AJ82" s="1675"/>
      <c r="AK82" s="1675"/>
      <c r="AL82" s="1675"/>
      <c r="AM82" s="1675"/>
      <c r="AN82" s="1675"/>
      <c r="AO82" s="1675"/>
      <c r="AP82" s="1675"/>
      <c r="AQ82" s="1675"/>
      <c r="AR82" s="1675"/>
      <c r="AS82" s="1675"/>
      <c r="AT82" s="1675"/>
      <c r="AU82" s="1675"/>
      <c r="AV82" s="1675"/>
      <c r="AW82" s="1675"/>
      <c r="AX82" s="1675"/>
      <c r="AY82" s="1675"/>
      <c r="AZ82" s="1675"/>
      <c r="BA82" s="1675"/>
      <c r="BB82" s="1675"/>
      <c r="BC82" s="1675"/>
      <c r="BD82" s="1675"/>
      <c r="BE82" s="1676"/>
    </row>
    <row r="94" spans="2:57" ht="46.9" customHeight="1"/>
    <row r="95" spans="2:57" ht="47.1" customHeight="1"/>
    <row r="97" ht="36.75" customHeight="1"/>
    <row r="98" ht="47.1" customHeight="1"/>
    <row r="102" ht="98.25" customHeight="1"/>
    <row r="103" ht="86.25" customHeight="1"/>
    <row r="104" ht="84.75" customHeight="1"/>
  </sheetData>
  <mergeCells count="134">
    <mergeCell ref="B8:AB11"/>
    <mergeCell ref="B29:AB32"/>
    <mergeCell ref="M82:V82"/>
    <mergeCell ref="W82:AA82"/>
    <mergeCell ref="AB82:AF82"/>
    <mergeCell ref="AG82:BE82"/>
    <mergeCell ref="M81:V81"/>
    <mergeCell ref="W81:AA81"/>
    <mergeCell ref="AB81:AF81"/>
    <mergeCell ref="AG81:BE81"/>
    <mergeCell ref="M80:V80"/>
    <mergeCell ref="W80:AA80"/>
    <mergeCell ref="AB80:AF80"/>
    <mergeCell ref="AG80:BE80"/>
    <mergeCell ref="B82:L82"/>
    <mergeCell ref="B81:L81"/>
    <mergeCell ref="B80:L80"/>
    <mergeCell ref="AE8:BE11"/>
    <mergeCell ref="BA75:BE75"/>
    <mergeCell ref="B38:J38"/>
    <mergeCell ref="B76:L76"/>
    <mergeCell ref="M76:V76"/>
    <mergeCell ref="B73:L73"/>
    <mergeCell ref="M73:V73"/>
    <mergeCell ref="B75:L75"/>
    <mergeCell ref="N39:P39"/>
    <mergeCell ref="Q39:S39"/>
    <mergeCell ref="T39:V39"/>
    <mergeCell ref="W39:Y39"/>
    <mergeCell ref="Z39:AB39"/>
    <mergeCell ref="B74:I74"/>
    <mergeCell ref="J74:W74"/>
    <mergeCell ref="AV73:AZ73"/>
    <mergeCell ref="B72:L72"/>
    <mergeCell ref="B66:AB69"/>
    <mergeCell ref="AE66:BE69"/>
    <mergeCell ref="B40:J40"/>
    <mergeCell ref="S16:V16"/>
    <mergeCell ref="AE15:AJ15"/>
    <mergeCell ref="AL15:AO15"/>
    <mergeCell ref="AP15:AQ15"/>
    <mergeCell ref="AG73:AP73"/>
    <mergeCell ref="AQ73:AU73"/>
    <mergeCell ref="B39:J39"/>
    <mergeCell ref="K39:M39"/>
    <mergeCell ref="K38:M38"/>
    <mergeCell ref="N38:P38"/>
    <mergeCell ref="Q38:S38"/>
    <mergeCell ref="T38:V38"/>
    <mergeCell ref="W38:Y38"/>
    <mergeCell ref="Z38:AB38"/>
    <mergeCell ref="AC38:BE38"/>
    <mergeCell ref="AV72:AZ72"/>
    <mergeCell ref="BI1:BU1"/>
    <mergeCell ref="BJ21:BU21"/>
    <mergeCell ref="BJ22:BU22"/>
    <mergeCell ref="B2:BE2"/>
    <mergeCell ref="B3:BE3"/>
    <mergeCell ref="H4:J4"/>
    <mergeCell ref="B5:AR5"/>
    <mergeCell ref="V14:W14"/>
    <mergeCell ref="B15:G15"/>
    <mergeCell ref="AU17:AX17"/>
    <mergeCell ref="BB22:BE22"/>
    <mergeCell ref="BB17:BE17"/>
    <mergeCell ref="AZ15:BE15"/>
    <mergeCell ref="BB18:BE18"/>
    <mergeCell ref="AS15:AX15"/>
    <mergeCell ref="AN17:AQ17"/>
    <mergeCell ref="I15:V15"/>
    <mergeCell ref="AU19:AX19"/>
    <mergeCell ref="BB19:BE19"/>
    <mergeCell ref="AN22:AQ22"/>
    <mergeCell ref="AU22:AX22"/>
    <mergeCell ref="X15:AB15"/>
    <mergeCell ref="I16:L16"/>
    <mergeCell ref="N16:Q16"/>
    <mergeCell ref="BJ23:BU23"/>
    <mergeCell ref="BJ40:BU40"/>
    <mergeCell ref="BQ24:BU24"/>
    <mergeCell ref="BL24:BP24"/>
    <mergeCell ref="AN23:AQ23"/>
    <mergeCell ref="AN19:AQ19"/>
    <mergeCell ref="AU23:AX23"/>
    <mergeCell ref="BB23:BE23"/>
    <mergeCell ref="AN24:AQ24"/>
    <mergeCell ref="AC35:BE37"/>
    <mergeCell ref="AE29:BE32"/>
    <mergeCell ref="AC39:BE39"/>
    <mergeCell ref="AC40:BE40"/>
    <mergeCell ref="AQ76:AU76"/>
    <mergeCell ref="BA76:BE76"/>
    <mergeCell ref="M75:V75"/>
    <mergeCell ref="W75:AF75"/>
    <mergeCell ref="W76:AF76"/>
    <mergeCell ref="BB74:BE74"/>
    <mergeCell ref="BA73:BE73"/>
    <mergeCell ref="BW24:CC24"/>
    <mergeCell ref="BW43:CC43"/>
    <mergeCell ref="AU24:AX24"/>
    <mergeCell ref="BB24:BE24"/>
    <mergeCell ref="BL43:BP43"/>
    <mergeCell ref="BA72:BE72"/>
    <mergeCell ref="AV75:AZ75"/>
    <mergeCell ref="BQ43:BU43"/>
    <mergeCell ref="AG75:AP75"/>
    <mergeCell ref="AQ75:AU75"/>
    <mergeCell ref="X74:AI74"/>
    <mergeCell ref="AJ74:AS74"/>
    <mergeCell ref="AT74:AW74"/>
    <mergeCell ref="B79:L79"/>
    <mergeCell ref="Z36:AB37"/>
    <mergeCell ref="AV76:AZ76"/>
    <mergeCell ref="AN18:AQ18"/>
    <mergeCell ref="AU18:AX18"/>
    <mergeCell ref="B35:J37"/>
    <mergeCell ref="K35:P35"/>
    <mergeCell ref="Q35:S37"/>
    <mergeCell ref="T35:AB35"/>
    <mergeCell ref="K36:M37"/>
    <mergeCell ref="N36:P37"/>
    <mergeCell ref="T36:V37"/>
    <mergeCell ref="W36:Y37"/>
    <mergeCell ref="M79:V79"/>
    <mergeCell ref="W79:AA79"/>
    <mergeCell ref="AB79:AF79"/>
    <mergeCell ref="AG79:BE79"/>
    <mergeCell ref="AG72:AP72"/>
    <mergeCell ref="AQ72:AU72"/>
    <mergeCell ref="M72:V72"/>
    <mergeCell ref="W72:AF72"/>
    <mergeCell ref="W73:AF73"/>
    <mergeCell ref="AX74:BA74"/>
    <mergeCell ref="AG76:AP76"/>
  </mergeCells>
  <conditionalFormatting sqref="K39">
    <cfRule type="cellIs" dxfId="846" priority="924" stopIfTrue="1" operator="greaterThan">
      <formula>$Q39*1.1</formula>
    </cfRule>
    <cfRule type="cellIs" dxfId="845" priority="925" operator="greaterThan">
      <formula>$Q39</formula>
    </cfRule>
    <cfRule type="cellIs" dxfId="844" priority="926" operator="lessThanOrEqual">
      <formula>$Q39</formula>
    </cfRule>
  </conditionalFormatting>
  <conditionalFormatting sqref="K38">
    <cfRule type="cellIs" dxfId="843" priority="903" operator="lessThanOrEqual">
      <formula>$Q38</formula>
    </cfRule>
    <cfRule type="cellIs" dxfId="842" priority="904" operator="greaterThan">
      <formula>$Q38</formula>
    </cfRule>
    <cfRule type="cellIs" dxfId="841" priority="905" stopIfTrue="1" operator="greaterThan">
      <formula>$Q38*1.1</formula>
    </cfRule>
  </conditionalFormatting>
  <conditionalFormatting sqref="T38 W38 Z38">
    <cfRule type="cellIs" dxfId="840" priority="900" stopIfTrue="1" operator="greaterThan">
      <formula>$Q38*1.1</formula>
    </cfRule>
    <cfRule type="cellIs" dxfId="839" priority="901" operator="greaterThan">
      <formula>$Q38</formula>
    </cfRule>
    <cfRule type="cellIs" dxfId="838" priority="902" operator="lessThan">
      <formula>$Q38</formula>
    </cfRule>
  </conditionalFormatting>
  <conditionalFormatting sqref="T39 W39 Z39">
    <cfRule type="cellIs" dxfId="837" priority="891" stopIfTrue="1" operator="greaterThan">
      <formula>$Q39*1.1</formula>
    </cfRule>
    <cfRule type="cellIs" dxfId="836" priority="892" operator="greaterThan">
      <formula>$Q39</formula>
    </cfRule>
    <cfRule type="cellIs" dxfId="835" priority="893" operator="lessThanOrEqual">
      <formula>$Q39</formula>
    </cfRule>
  </conditionalFormatting>
  <conditionalFormatting sqref="A1:BH6 BV1:BV3 BV18:BV25 BH30:BH34 BG42:BH67 B84:BE1048576 BF38:BG38 BG39:BG41 BV27:BV56 BI57:BV58 BU15:BV15 BW58:CC58 B77:BE79 B33:BE34 B35:J37 BF30:BF37 AC35:BE37 A30:A36 B38:AB39 B72:AU72 BF39:BF67 A20:D24 A25 A38:A61 B41:BE64 B25:D28 U25:AB27 AY25:BA27 AR25:AT27 AK25:AM27 F25:F27 H25:H26 B74:BE74 J25:L26 AD70 BI67:BQ67 BF68:BH1048576 BV59:CC1048576 A67:A1048576 K27:L27 AC71:BE71 B75:AU75">
    <cfRule type="cellIs" dxfId="834" priority="881" operator="equal">
      <formula>"XXX"</formula>
    </cfRule>
  </conditionalFormatting>
  <conditionalFormatting sqref="A7:BH7 A15:A19 AC15:AD15 A26:A29 F28:AD28 BF17:BH26 AC17:AD19 BF15:BH15 U24:AB24 A8:A11 BF8:BH11 A12:BH14 AC16:AG16 AI16:BH16 AJ17 AI22 F24 BF27:BF29 BH27:BH29 BG27:BG37 H20:H24 J24:L24 AC20:AH20">
    <cfRule type="cellIs" dxfId="833" priority="879" operator="equal">
      <formula>"XXX"</formula>
    </cfRule>
  </conditionalFormatting>
  <conditionalFormatting sqref="AE28:AG28 AI28:BE28 AY22:BA24 AR22:AT24 AK22:AM24">
    <cfRule type="cellIs" dxfId="832" priority="878" operator="equal">
      <formula>"XXX"</formula>
    </cfRule>
  </conditionalFormatting>
  <conditionalFormatting sqref="AJ22">
    <cfRule type="cellIs" dxfId="831" priority="870" operator="equal">
      <formula>"XXX"</formula>
    </cfRule>
  </conditionalFormatting>
  <conditionalFormatting sqref="BB17:BE18 BB22:BE22 BB23">
    <cfRule type="cellIs" dxfId="830" priority="869" operator="lessThan">
      <formula>0</formula>
    </cfRule>
  </conditionalFormatting>
  <conditionalFormatting sqref="A62:A66 AD65">
    <cfRule type="cellIs" dxfId="829" priority="868" operator="equal">
      <formula>"XXX"</formula>
    </cfRule>
  </conditionalFormatting>
  <conditionalFormatting sqref="F65:AB65 B65:D65">
    <cfRule type="cellIs" dxfId="828" priority="867" operator="equal">
      <formula>"XXX"</formula>
    </cfRule>
  </conditionalFormatting>
  <conditionalFormatting sqref="AI65:BE65 AE65:AG65">
    <cfRule type="cellIs" dxfId="827" priority="865" operator="equal">
      <formula>"XXX"</formula>
    </cfRule>
  </conditionalFormatting>
  <conditionalFormatting sqref="N39">
    <cfRule type="cellIs" dxfId="826" priority="856" stopIfTrue="1" operator="greaterThan">
      <formula>$Q39*1.1</formula>
    </cfRule>
    <cfRule type="cellIs" dxfId="825" priority="857" operator="greaterThan">
      <formula>$Q39</formula>
    </cfRule>
    <cfRule type="cellIs" dxfId="824" priority="858" operator="lessThanOrEqual">
      <formula>$Q39</formula>
    </cfRule>
  </conditionalFormatting>
  <conditionalFormatting sqref="N38">
    <cfRule type="cellIs" dxfId="823" priority="853" stopIfTrue="1" operator="greaterThan">
      <formula>$Q38*1.1</formula>
    </cfRule>
    <cfRule type="cellIs" dxfId="822" priority="854" operator="greaterThan">
      <formula>$Q38</formula>
    </cfRule>
    <cfRule type="cellIs" dxfId="821" priority="855" operator="lessThanOrEqual">
      <formula>$Q38</formula>
    </cfRule>
  </conditionalFormatting>
  <conditionalFormatting sqref="N38">
    <cfRule type="cellIs" dxfId="820" priority="827" stopIfTrue="1" operator="greaterThan">
      <formula>$Q38*1.1</formula>
    </cfRule>
    <cfRule type="cellIs" dxfId="819" priority="828" operator="greaterThan">
      <formula>$Q38</formula>
    </cfRule>
    <cfRule type="cellIs" dxfId="818" priority="829" operator="lessThan">
      <formula>$Q38</formula>
    </cfRule>
  </conditionalFormatting>
  <conditionalFormatting sqref="N39">
    <cfRule type="cellIs" dxfId="817" priority="824" stopIfTrue="1" operator="greaterThan">
      <formula>$Q39*1.1</formula>
    </cfRule>
    <cfRule type="cellIs" dxfId="816" priority="825" operator="greaterThan">
      <formula>$Q39</formula>
    </cfRule>
    <cfRule type="cellIs" dxfId="815" priority="826" operator="lessThanOrEqual">
      <formula>$Q39</formula>
    </cfRule>
  </conditionalFormatting>
  <conditionalFormatting sqref="K38">
    <cfRule type="cellIs" dxfId="814" priority="802" stopIfTrue="1" operator="greaterThan">
      <formula>$Q38*1.1</formula>
    </cfRule>
    <cfRule type="cellIs" dxfId="813" priority="803" operator="greaterThan">
      <formula>$Q38</formula>
    </cfRule>
    <cfRule type="cellIs" dxfId="812" priority="804" operator="lessThanOrEqual">
      <formula>$Q38</formula>
    </cfRule>
  </conditionalFormatting>
  <conditionalFormatting sqref="AU17:AX18 AU22:AX23">
    <cfRule type="cellIs" dxfId="811" priority="799" operator="lessThan">
      <formula>0</formula>
    </cfRule>
  </conditionalFormatting>
  <conditionalFormatting sqref="BH41">
    <cfRule type="cellIs" dxfId="810" priority="582" operator="equal">
      <formula>"XXX"</formula>
    </cfRule>
  </conditionalFormatting>
  <conditionalFormatting sqref="A37">
    <cfRule type="cellIs" dxfId="809" priority="581" operator="equal">
      <formula>"XXX"</formula>
    </cfRule>
  </conditionalFormatting>
  <conditionalFormatting sqref="BH35">
    <cfRule type="cellIs" dxfId="808" priority="577" operator="equal">
      <formula>"XXX"</formula>
    </cfRule>
  </conditionalFormatting>
  <conditionalFormatting sqref="BH36:BH37">
    <cfRule type="cellIs" dxfId="807" priority="576" operator="equal">
      <formula>"XXX"</formula>
    </cfRule>
  </conditionalFormatting>
  <conditionalFormatting sqref="BW1:BX3 BY1:CC23 BW17:BX23 BX15:BX16">
    <cfRule type="cellIs" dxfId="806" priority="541" operator="equal">
      <formula>"XXX"</formula>
    </cfRule>
  </conditionalFormatting>
  <conditionalFormatting sqref="BW40:BX42 BY39:CC42">
    <cfRule type="cellIs" dxfId="805" priority="540" operator="equal">
      <formula>"XXX"</formula>
    </cfRule>
  </conditionalFormatting>
  <conditionalFormatting sqref="BW26:BX38">
    <cfRule type="cellIs" dxfId="804" priority="539" operator="equal">
      <formula>"XXX"</formula>
    </cfRule>
  </conditionalFormatting>
  <conditionalFormatting sqref="BW45:BX57">
    <cfRule type="cellIs" dxfId="803" priority="536" operator="equal">
      <formula>"XXX"</formula>
    </cfRule>
  </conditionalFormatting>
  <conditionalFormatting sqref="M73:AU73">
    <cfRule type="cellIs" dxfId="802" priority="516" operator="equal">
      <formula>"XXX"</formula>
    </cfRule>
  </conditionalFormatting>
  <conditionalFormatting sqref="I24">
    <cfRule type="cellIs" dxfId="801" priority="501" operator="equal">
      <formula>"XXX"</formula>
    </cfRule>
  </conditionalFormatting>
  <conditionalFormatting sqref="I24">
    <cfRule type="cellIs" dxfId="800" priority="500" operator="equal">
      <formula>$A$1</formula>
    </cfRule>
  </conditionalFormatting>
  <conditionalFormatting sqref="W76:AU76">
    <cfRule type="cellIs" dxfId="799" priority="397" operator="equal">
      <formula>"XXX"</formula>
    </cfRule>
  </conditionalFormatting>
  <conditionalFormatting sqref="B76:L76">
    <cfRule type="cellIs" dxfId="798" priority="396" operator="equal">
      <formula>"XXX"</formula>
    </cfRule>
  </conditionalFormatting>
  <conditionalFormatting sqref="M76:V76">
    <cfRule type="cellIs" dxfId="797" priority="395" operator="equal">
      <formula>"XXX"</formula>
    </cfRule>
  </conditionalFormatting>
  <conditionalFormatting sqref="B73:L73">
    <cfRule type="cellIs" dxfId="796" priority="388" operator="equal">
      <formula>"XXX"</formula>
    </cfRule>
  </conditionalFormatting>
  <conditionalFormatting sqref="B73:L73">
    <cfRule type="cellIs" dxfId="795" priority="387" operator="equal">
      <formula>"XXX"</formula>
    </cfRule>
  </conditionalFormatting>
  <conditionalFormatting sqref="AC8:AD11">
    <cfRule type="cellIs" dxfId="794" priority="382" operator="equal">
      <formula>"XXX"</formula>
    </cfRule>
  </conditionalFormatting>
  <conditionalFormatting sqref="AE8">
    <cfRule type="cellIs" dxfId="793" priority="294" operator="equal">
      <formula>"XXX"</formula>
    </cfRule>
  </conditionalFormatting>
  <conditionalFormatting sqref="BR31 BR33 BR35 BR37">
    <cfRule type="expression" dxfId="792" priority="191">
      <formula>(AND($BJ31=$BX$5,LEN($BQ31)=0))</formula>
    </cfRule>
  </conditionalFormatting>
  <conditionalFormatting sqref="BR31:BS31 BR33:BS33 BR35:BS35 BR37:BS37">
    <cfRule type="expression" dxfId="791" priority="190">
      <formula>(AND($BJ31=$BX$5,LEN($BR31)=0))</formula>
    </cfRule>
  </conditionalFormatting>
  <conditionalFormatting sqref="BR50 BR52 BR54 BR56">
    <cfRule type="expression" dxfId="790" priority="189">
      <formula>(AND($BJ50=$BX$5,LEN($BQ50)=0))</formula>
    </cfRule>
  </conditionalFormatting>
  <conditionalFormatting sqref="BR50:BS50 BR52:BS52 BR54:BS54 BR56:BS56">
    <cfRule type="expression" dxfId="789" priority="188">
      <formula>(AND($BJ50=$BX$5,LEN($BR50)=0))</formula>
    </cfRule>
  </conditionalFormatting>
  <conditionalFormatting sqref="BJ16">
    <cfRule type="expression" dxfId="788" priority="185">
      <formula>(AND(BJ$5=$BX$5,LEN(BJ$16)=0))</formula>
    </cfRule>
  </conditionalFormatting>
  <conditionalFormatting sqref="BJ16:BV16">
    <cfRule type="expression" dxfId="787" priority="184">
      <formula>(AND(BJ$5=$BX$5,LEN(BJ$16)=0))</formula>
    </cfRule>
  </conditionalFormatting>
  <conditionalFormatting sqref="Z16:Z21">
    <cfRule type="cellIs" dxfId="786" priority="183" operator="equal">
      <formula>"XXX"</formula>
    </cfRule>
  </conditionalFormatting>
  <conditionalFormatting sqref="Y16:Y18 Y21">
    <cfRule type="cellIs" dxfId="785" priority="182" operator="equal">
      <formula>"XXX"</formula>
    </cfRule>
  </conditionalFormatting>
  <conditionalFormatting sqref="Y19:Y20">
    <cfRule type="cellIs" dxfId="784" priority="181" operator="equal">
      <formula>"XXX"</formula>
    </cfRule>
  </conditionalFormatting>
  <conditionalFormatting sqref="Y22:Y23">
    <cfRule type="cellIs" dxfId="783" priority="180" operator="equal">
      <formula>"XXX"</formula>
    </cfRule>
  </conditionalFormatting>
  <conditionalFormatting sqref="B40:J40">
    <cfRule type="cellIs" dxfId="782" priority="137" operator="equal">
      <formula>"XXX"</formula>
    </cfRule>
  </conditionalFormatting>
  <conditionalFormatting sqref="BR30">
    <cfRule type="expression" dxfId="781" priority="174">
      <formula>(AND($BJ30=$BX$5,LEN($BQ30)=0))</formula>
    </cfRule>
  </conditionalFormatting>
  <conditionalFormatting sqref="BR30:BS30">
    <cfRule type="expression" dxfId="780" priority="173">
      <formula>(AND($BJ30=$BX$5,LEN($BR30)=0))</formula>
    </cfRule>
  </conditionalFormatting>
  <conditionalFormatting sqref="BR49">
    <cfRule type="expression" dxfId="779" priority="172">
      <formula>(AND($BJ49=$BX$5,LEN($BQ49)=0))</formula>
    </cfRule>
  </conditionalFormatting>
  <conditionalFormatting sqref="BR49:BS49">
    <cfRule type="expression" dxfId="778" priority="171">
      <formula>(AND($BJ49=$BX$5,LEN($BR49)=0))</formula>
    </cfRule>
  </conditionalFormatting>
  <conditionalFormatting sqref="B83:BE83">
    <cfRule type="cellIs" dxfId="777" priority="168" operator="equal">
      <formula>"XXX"</formula>
    </cfRule>
  </conditionalFormatting>
  <conditionalFormatting sqref="F22">
    <cfRule type="cellIs" dxfId="776" priority="164" operator="equal">
      <formula>"XXX"</formula>
    </cfRule>
  </conditionalFormatting>
  <conditionalFormatting sqref="G22:G23">
    <cfRule type="cellIs" dxfId="775" priority="163" operator="equal">
      <formula>"XXX"</formula>
    </cfRule>
  </conditionalFormatting>
  <conditionalFormatting sqref="G22:G23">
    <cfRule type="cellIs" dxfId="774" priority="162" operator="notEqual">
      <formula>0</formula>
    </cfRule>
  </conditionalFormatting>
  <conditionalFormatting sqref="G25">
    <cfRule type="cellIs" dxfId="773" priority="161" operator="equal">
      <formula>"XXX"</formula>
    </cfRule>
  </conditionalFormatting>
  <conditionalFormatting sqref="G25">
    <cfRule type="cellIs" dxfId="772" priority="160" operator="notEqual">
      <formula>0</formula>
    </cfRule>
  </conditionalFormatting>
  <conditionalFormatting sqref="G26">
    <cfRule type="cellIs" dxfId="771" priority="159" operator="equal">
      <formula>"XXX"</formula>
    </cfRule>
  </conditionalFormatting>
  <conditionalFormatting sqref="G26">
    <cfRule type="expression" dxfId="770" priority="157">
      <formula>$G$25=0</formula>
    </cfRule>
    <cfRule type="cellIs" dxfId="769" priority="158" operator="notEqual">
      <formula>0</formula>
    </cfRule>
  </conditionalFormatting>
  <conditionalFormatting sqref="I26">
    <cfRule type="cellIs" dxfId="768" priority="156" operator="equal">
      <formula>"XXX"</formula>
    </cfRule>
  </conditionalFormatting>
  <conditionalFormatting sqref="I26">
    <cfRule type="cellIs" dxfId="767" priority="155" operator="equal">
      <formula>$A$1</formula>
    </cfRule>
  </conditionalFormatting>
  <conditionalFormatting sqref="I25">
    <cfRule type="cellIs" dxfId="766" priority="154" operator="equal">
      <formula>$A$1</formula>
    </cfRule>
  </conditionalFormatting>
  <conditionalFormatting sqref="BH38:BH40">
    <cfRule type="cellIs" dxfId="765" priority="153" operator="equal">
      <formula>"XXX"</formula>
    </cfRule>
  </conditionalFormatting>
  <conditionalFormatting sqref="BR32">
    <cfRule type="expression" dxfId="764" priority="145">
      <formula>(AND($BJ32=$BX$5,LEN($BQ32)=0))</formula>
    </cfRule>
  </conditionalFormatting>
  <conditionalFormatting sqref="BR32:BS32">
    <cfRule type="expression" dxfId="763" priority="144">
      <formula>(AND($BJ32=$BX$5,LEN($BR32)=0))</formula>
    </cfRule>
  </conditionalFormatting>
  <conditionalFormatting sqref="BR51">
    <cfRule type="expression" dxfId="762" priority="143">
      <formula>(AND($BJ51=$BX$5,LEN($BQ51)=0))</formula>
    </cfRule>
  </conditionalFormatting>
  <conditionalFormatting sqref="BR51:BS51">
    <cfRule type="expression" dxfId="761" priority="142">
      <formula>(AND($BJ51=$BX$5,LEN($BR51)=0))</formula>
    </cfRule>
  </conditionalFormatting>
  <conditionalFormatting sqref="BR34">
    <cfRule type="expression" dxfId="760" priority="127">
      <formula>(AND($BJ34=$BX$5,LEN($BQ34)=0))</formula>
    </cfRule>
  </conditionalFormatting>
  <conditionalFormatting sqref="BR34:BS34">
    <cfRule type="expression" dxfId="759" priority="126">
      <formula>(AND($BJ34=$BX$5,LEN($BR34)=0))</formula>
    </cfRule>
  </conditionalFormatting>
  <conditionalFormatting sqref="BR53">
    <cfRule type="expression" dxfId="758" priority="125">
      <formula>(AND($BJ53=$BX$5,LEN($BQ53)=0))</formula>
    </cfRule>
  </conditionalFormatting>
  <conditionalFormatting sqref="BR53:BS53">
    <cfRule type="expression" dxfId="757" priority="124">
      <formula>(AND($BJ53=$BX$5,LEN($BR53)=0))</formula>
    </cfRule>
  </conditionalFormatting>
  <conditionalFormatting sqref="AC40:BE40">
    <cfRule type="cellIs" dxfId="756" priority="116" operator="equal">
      <formula>"XXX"</formula>
    </cfRule>
  </conditionalFormatting>
  <conditionalFormatting sqref="K40:AB40">
    <cfRule type="cellIs" dxfId="755" priority="71" operator="equal">
      <formula>"XXX"</formula>
    </cfRule>
  </conditionalFormatting>
  <conditionalFormatting sqref="BR36">
    <cfRule type="expression" dxfId="754" priority="62">
      <formula>(AND($BJ36=$BX$5,LEN($BQ36)=0))</formula>
    </cfRule>
  </conditionalFormatting>
  <conditionalFormatting sqref="BR36:BS36">
    <cfRule type="expression" dxfId="753" priority="61">
      <formula>(AND($BJ36=$BX$5,LEN($BR36)=0))</formula>
    </cfRule>
  </conditionalFormatting>
  <conditionalFormatting sqref="BR55">
    <cfRule type="expression" dxfId="752" priority="60">
      <formula>(AND($BJ55=$BX$5,LEN($BQ55)=0))</formula>
    </cfRule>
  </conditionalFormatting>
  <conditionalFormatting sqref="BR55:BS55">
    <cfRule type="expression" dxfId="751" priority="59">
      <formula>(AND($BJ55=$BX$5,LEN($BR55)=0))</formula>
    </cfRule>
  </conditionalFormatting>
  <conditionalFormatting sqref="BA72:BE72">
    <cfRule type="cellIs" dxfId="750" priority="50" operator="equal">
      <formula>"XXX"</formula>
    </cfRule>
  </conditionalFormatting>
  <conditionalFormatting sqref="AV73">
    <cfRule type="cellIs" dxfId="749" priority="49" operator="equal">
      <formula>"XXX"</formula>
    </cfRule>
  </conditionalFormatting>
  <conditionalFormatting sqref="AV73">
    <cfRule type="cellIs" dxfId="748" priority="48" operator="equal">
      <formula>"XXX"</formula>
    </cfRule>
  </conditionalFormatting>
  <conditionalFormatting sqref="BA73">
    <cfRule type="cellIs" dxfId="747" priority="45" operator="equal">
      <formula>"Paused"</formula>
    </cfRule>
    <cfRule type="cellIs" dxfId="746" priority="46" operator="equal">
      <formula>"Caution"</formula>
    </cfRule>
    <cfRule type="cellIs" dxfId="745" priority="47" operator="equal">
      <formula>"On Track"</formula>
    </cfRule>
  </conditionalFormatting>
  <conditionalFormatting sqref="BA73:BE73">
    <cfRule type="cellIs" dxfId="744" priority="44" operator="equal">
      <formula>"""Cancelled"""</formula>
    </cfRule>
  </conditionalFormatting>
  <conditionalFormatting sqref="AV72">
    <cfRule type="cellIs" dxfId="743" priority="42" operator="equal">
      <formula>"XXX"</formula>
    </cfRule>
  </conditionalFormatting>
  <conditionalFormatting sqref="AV72">
    <cfRule type="cellIs" dxfId="742" priority="43" operator="equal">
      <formula>"XXX"</formula>
    </cfRule>
  </conditionalFormatting>
  <conditionalFormatting sqref="BA75:BE75">
    <cfRule type="cellIs" dxfId="741" priority="41" operator="equal">
      <formula>"XXX"</formula>
    </cfRule>
  </conditionalFormatting>
  <conditionalFormatting sqref="AV76">
    <cfRule type="cellIs" dxfId="740" priority="40" operator="equal">
      <formula>"XXX"</formula>
    </cfRule>
  </conditionalFormatting>
  <conditionalFormatting sqref="AV76">
    <cfRule type="cellIs" dxfId="739" priority="39" operator="equal">
      <formula>"XXX"</formula>
    </cfRule>
  </conditionalFormatting>
  <conditionalFormatting sqref="BA76">
    <cfRule type="cellIs" dxfId="738" priority="36" operator="equal">
      <formula>"Paused"</formula>
    </cfRule>
    <cfRule type="cellIs" dxfId="737" priority="37" operator="equal">
      <formula>"Caution"</formula>
    </cfRule>
    <cfRule type="cellIs" dxfId="736" priority="38" operator="equal">
      <formula>"On Track"</formula>
    </cfRule>
  </conditionalFormatting>
  <conditionalFormatting sqref="BA76:BE76">
    <cfRule type="cellIs" dxfId="735" priority="35" operator="equal">
      <formula>"""Cancelled"""</formula>
    </cfRule>
  </conditionalFormatting>
  <conditionalFormatting sqref="AV75">
    <cfRule type="cellIs" dxfId="734" priority="33" operator="equal">
      <formula>"XXX"</formula>
    </cfRule>
  </conditionalFormatting>
  <conditionalFormatting sqref="AV75">
    <cfRule type="cellIs" dxfId="733" priority="34" operator="equal">
      <formula>"XXX"</formula>
    </cfRule>
  </conditionalFormatting>
  <conditionalFormatting sqref="AC29:AD32">
    <cfRule type="cellIs" dxfId="732" priority="21" operator="equal">
      <formula>"XXX"</formula>
    </cfRule>
  </conditionalFormatting>
  <conditionalFormatting sqref="AE29">
    <cfRule type="cellIs" dxfId="731" priority="20" operator="equal">
      <formula>"XXX"</formula>
    </cfRule>
  </conditionalFormatting>
  <conditionalFormatting sqref="B80:L82">
    <cfRule type="cellIs" dxfId="730" priority="13" operator="equal">
      <formula>"XXX"</formula>
    </cfRule>
  </conditionalFormatting>
  <conditionalFormatting sqref="M80:AF82">
    <cfRule type="cellIs" dxfId="729" priority="12" operator="equal">
      <formula>"XXX"</formula>
    </cfRule>
  </conditionalFormatting>
  <conditionalFormatting sqref="AG80:BE80 AG81 AG82:BE82">
    <cfRule type="cellIs" dxfId="728" priority="11" operator="equal">
      <formula>"XXX"</formula>
    </cfRule>
  </conditionalFormatting>
  <conditionalFormatting sqref="K35:AB35 Q36:AB37">
    <cfRule type="cellIs" dxfId="727" priority="10" operator="equal">
      <formula>"XXX"</formula>
    </cfRule>
  </conditionalFormatting>
  <conditionalFormatting sqref="K36:P37">
    <cfRule type="cellIs" dxfId="726" priority="9" operator="equal">
      <formula>"XXX"</formula>
    </cfRule>
  </conditionalFormatting>
  <conditionalFormatting sqref="BV17">
    <cfRule type="cellIs" dxfId="725" priority="8" operator="equal">
      <formula>"XXX"</formula>
    </cfRule>
  </conditionalFormatting>
  <conditionalFormatting sqref="B8">
    <cfRule type="cellIs" dxfId="724" priority="7" operator="equal">
      <formula>"XXX"</formula>
    </cfRule>
  </conditionalFormatting>
  <conditionalFormatting sqref="B29">
    <cfRule type="cellIs" dxfId="723" priority="6" operator="equal">
      <formula>"XXX"</formula>
    </cfRule>
  </conditionalFormatting>
  <conditionalFormatting sqref="AC39:BE39">
    <cfRule type="cellIs" dxfId="722" priority="5" operator="equal">
      <formula>"XXX"</formula>
    </cfRule>
  </conditionalFormatting>
  <conditionalFormatting sqref="AC38:BE38">
    <cfRule type="cellIs" dxfId="721" priority="4" operator="equal">
      <formula>"XXX"</formula>
    </cfRule>
  </conditionalFormatting>
  <conditionalFormatting sqref="AD66:AD69">
    <cfRule type="cellIs" dxfId="720" priority="3" operator="equal">
      <formula>"XXX"</formula>
    </cfRule>
  </conditionalFormatting>
  <conditionalFormatting sqref="B66">
    <cfRule type="cellIs" dxfId="719" priority="2" operator="equal">
      <formula>"XXX"</formula>
    </cfRule>
  </conditionalFormatting>
  <conditionalFormatting sqref="AE66">
    <cfRule type="cellIs" dxfId="718" priority="1" operator="equal">
      <formula>"XXX"</formula>
    </cfRule>
  </conditionalFormatting>
  <dataValidations count="4">
    <dataValidation type="whole" operator="greaterThanOrEqual" allowBlank="1" showInputMessage="1" showErrorMessage="1" errorTitle="Positive Value" error="This value must be entered as a positive number." sqref="BJ6:BV6 BJ8:BV8 BJ10:BV10 BJ12:BV14" xr:uid="{00000000-0002-0000-1E00-000003000000}">
      <formula1>0</formula1>
    </dataValidation>
    <dataValidation type="whole" operator="lessThan" allowBlank="1" showInputMessage="1" showErrorMessage="1" errorTitle="Negative Value" error="This value must be entered as a negative number." sqref="BJ7:BV7 BJ11:BV11 BJ9:BV9" xr:uid="{00000000-0002-0000-1E00-000004000000}">
      <formula1>0</formula1>
    </dataValidation>
    <dataValidation type="list" allowBlank="1" showInputMessage="1" showErrorMessage="1" sqref="AV73:AZ73 AV76:AZ76" xr:uid="{EE317A22-885C-4761-A78D-E1994B45F1B5}">
      <formula1>"Project, Process Improvement, RPA, Dashboarding"</formula1>
    </dataValidation>
    <dataValidation type="list" allowBlank="1" showInputMessage="1" showErrorMessage="1" sqref="BA73:BE73 BA76:BE76" xr:uid="{1EC4251A-01C2-4E9C-B6EF-1D62E1B99488}">
      <formula1>"Not Started, On Track, Caution, Paused, Cancelled"</formula1>
    </dataValidation>
  </dataValidations>
  <printOptions horizontalCentered="1"/>
  <pageMargins left="0.25" right="0.25" top="0.25" bottom="0.5" header="0.3" footer="0.3"/>
  <pageSetup scale="66" orientation="landscape" r:id="rId1"/>
  <headerFooter>
    <oddFooter>&amp;R&amp;F | &amp;A
Printed &amp;D @ &amp;T
&amp;P</oddFooter>
  </headerFooter>
  <rowBreaks count="3" manualBreakCount="3">
    <brk id="44" max="57" man="1"/>
    <brk id="70" max="57" man="1"/>
    <brk id="92"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871" operator="equal" id="{8DD8EEF7-77D8-4376-A60F-C1578AA1E118}">
            <xm:f>AR!$A$1</xm:f>
            <x14:dxf>
              <font>
                <color theme="0"/>
              </font>
            </x14:dxf>
          </x14:cfRule>
          <xm:sqref>J24:J26</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8">
    <tabColor theme="4"/>
  </sheetPr>
  <dimension ref="A1:CC105"/>
  <sheetViews>
    <sheetView showGridLines="0" topLeftCell="A4" zoomScale="70" zoomScaleNormal="70" workbookViewId="0">
      <selection activeCell="AC18" sqref="AC18:BE20"/>
    </sheetView>
  </sheetViews>
  <sheetFormatPr defaultColWidth="3.28515625" defaultRowHeight="15" customHeight="1"/>
  <cols>
    <col min="1" max="1" width="3.28515625" style="6"/>
    <col min="2" max="28" width="3.28515625" style="37"/>
    <col min="29" max="57" width="3.28515625" style="37" customWidth="1"/>
    <col min="58" max="58" width="3.140625" style="6" customWidth="1"/>
    <col min="59" max="59" width="5.140625" style="6" customWidth="1"/>
    <col min="60" max="60" width="4.28515625" style="6" bestFit="1" customWidth="1"/>
    <col min="61" max="61" width="17.85546875" style="270" customWidth="1"/>
    <col min="62" max="63" width="12.7109375" style="270" customWidth="1"/>
    <col min="64" max="64" width="13.28515625" style="270" bestFit="1" customWidth="1"/>
    <col min="65" max="68" width="12.7109375" style="270" customWidth="1"/>
    <col min="69" max="69" width="12.5703125" style="270" customWidth="1"/>
    <col min="70" max="71" width="12.7109375" style="270" customWidth="1"/>
    <col min="72" max="72" width="16" style="270" customWidth="1"/>
    <col min="73" max="73" width="14.7109375" style="270" customWidth="1"/>
    <col min="74" max="74" width="13.7109375" style="270" bestFit="1" customWidth="1"/>
    <col min="75" max="75" width="15.7109375" style="37" bestFit="1" customWidth="1"/>
    <col min="76" max="76" width="11.7109375" style="37" bestFit="1" customWidth="1"/>
    <col min="77" max="77" width="11.28515625" style="37" bestFit="1" customWidth="1"/>
    <col min="78" max="78" width="8.5703125" style="37" bestFit="1" customWidth="1"/>
    <col min="79" max="79" width="10.28515625" style="37" bestFit="1" customWidth="1"/>
    <col min="80" max="80" width="5.85546875" style="37" bestFit="1" customWidth="1"/>
    <col min="81" max="81" width="6.85546875" style="37" bestFit="1" customWidth="1"/>
    <col min="82" max="16384" width="3.28515625" style="6"/>
  </cols>
  <sheetData>
    <row r="1" spans="2:76" ht="15" customHeight="1">
      <c r="BI1" s="588"/>
      <c r="BJ1" s="588"/>
      <c r="BK1" s="588"/>
      <c r="BL1" s="588"/>
      <c r="BM1" s="588"/>
      <c r="BN1" s="588"/>
      <c r="BO1" s="588"/>
      <c r="BP1" s="588"/>
      <c r="BQ1" s="588"/>
      <c r="BR1" s="588"/>
      <c r="BS1" s="588"/>
      <c r="BT1" s="588"/>
      <c r="BU1" s="588"/>
    </row>
    <row r="2" spans="2:76" ht="15" customHeight="1">
      <c r="B2" s="1146" t="s">
        <v>180</v>
      </c>
      <c r="C2" s="1146"/>
      <c r="D2" s="1146"/>
      <c r="E2" s="1146"/>
      <c r="F2" s="1146"/>
      <c r="G2" s="1146"/>
      <c r="H2" s="1146"/>
      <c r="I2" s="1146"/>
      <c r="J2" s="1146"/>
      <c r="K2" s="1146"/>
      <c r="L2" s="1146"/>
      <c r="M2" s="1146"/>
      <c r="N2" s="1146"/>
      <c r="O2" s="1146"/>
      <c r="P2" s="1146"/>
      <c r="Q2" s="1146"/>
      <c r="R2" s="1146"/>
      <c r="S2" s="1146"/>
      <c r="T2" s="1146"/>
      <c r="U2" s="1146"/>
      <c r="V2" s="1146"/>
      <c r="W2" s="1146"/>
      <c r="X2" s="1146"/>
      <c r="Y2" s="1146"/>
      <c r="Z2" s="1146"/>
      <c r="AA2" s="1146"/>
      <c r="AB2" s="1146"/>
      <c r="AC2" s="1146"/>
      <c r="AD2" s="1146"/>
      <c r="AE2" s="1146"/>
      <c r="AF2" s="1146"/>
      <c r="AG2" s="1146"/>
      <c r="AH2" s="1146"/>
      <c r="AI2" s="1146"/>
      <c r="AJ2" s="1146"/>
      <c r="AK2" s="1146"/>
      <c r="AL2" s="1146"/>
      <c r="AM2" s="1146"/>
      <c r="AN2" s="1146"/>
      <c r="AO2" s="1146"/>
      <c r="AP2" s="1146"/>
      <c r="AQ2" s="1146"/>
      <c r="AR2" s="1146"/>
      <c r="AS2" s="1146"/>
      <c r="AT2" s="1146"/>
      <c r="AU2" s="1146"/>
      <c r="AV2" s="1146"/>
      <c r="AW2" s="1146"/>
      <c r="AX2" s="1146"/>
      <c r="AY2" s="1146"/>
      <c r="AZ2" s="1146"/>
      <c r="BA2" s="1146"/>
      <c r="BB2" s="1146"/>
      <c r="BC2" s="1146"/>
      <c r="BD2" s="1146"/>
      <c r="BE2" s="1146"/>
      <c r="BI2" s="271"/>
    </row>
    <row r="3" spans="2:76" ht="15" customHeight="1">
      <c r="B3" s="1146"/>
      <c r="C3" s="1146"/>
      <c r="D3" s="1146"/>
      <c r="E3" s="1146"/>
      <c r="F3" s="1146"/>
      <c r="G3" s="1146"/>
      <c r="H3" s="1146"/>
      <c r="I3" s="1146"/>
      <c r="J3" s="1146"/>
      <c r="K3" s="1146"/>
      <c r="L3" s="1146"/>
      <c r="M3" s="1146"/>
      <c r="N3" s="1146"/>
      <c r="O3" s="1146"/>
      <c r="P3" s="1146"/>
      <c r="Q3" s="1146"/>
      <c r="R3" s="1146"/>
      <c r="S3" s="1146"/>
      <c r="T3" s="1146"/>
      <c r="U3" s="1146"/>
      <c r="V3" s="1146"/>
      <c r="W3" s="1146"/>
      <c r="X3" s="1146"/>
      <c r="Y3" s="1146"/>
      <c r="Z3" s="1146"/>
      <c r="AA3" s="1146"/>
      <c r="AB3" s="1146"/>
      <c r="AC3" s="1146"/>
      <c r="AD3" s="1146"/>
      <c r="AE3" s="1146"/>
      <c r="AF3" s="1146"/>
      <c r="AG3" s="1146"/>
      <c r="AH3" s="1146"/>
      <c r="AI3" s="1146"/>
      <c r="AJ3" s="1146"/>
      <c r="AK3" s="1146"/>
      <c r="AL3" s="1146"/>
      <c r="AM3" s="1146"/>
      <c r="AN3" s="1146"/>
      <c r="AO3" s="1146"/>
      <c r="AP3" s="1146"/>
      <c r="AQ3" s="1146"/>
      <c r="AR3" s="1146"/>
      <c r="AS3" s="1146"/>
      <c r="AT3" s="1146"/>
      <c r="AU3" s="1146"/>
      <c r="AV3" s="1146"/>
      <c r="AW3" s="1146"/>
      <c r="AX3" s="1146"/>
      <c r="AY3" s="1146"/>
      <c r="AZ3" s="1146"/>
      <c r="BA3" s="1146"/>
      <c r="BB3" s="1146"/>
      <c r="BC3" s="1146"/>
      <c r="BD3" s="1146"/>
      <c r="BE3" s="1146"/>
      <c r="BI3" s="272"/>
    </row>
    <row r="4" spans="2:76" ht="15" customHeight="1">
      <c r="B4" s="1147"/>
      <c r="C4" s="1147"/>
      <c r="D4" s="1147"/>
      <c r="E4" s="1147"/>
      <c r="F4" s="1147"/>
      <c r="G4" s="1147"/>
      <c r="H4" s="1147"/>
      <c r="I4" s="1147"/>
      <c r="J4" s="1147"/>
      <c r="K4" s="1147"/>
      <c r="L4" s="1147"/>
      <c r="M4" s="1147"/>
      <c r="N4" s="1147"/>
      <c r="O4" s="1147"/>
      <c r="P4" s="1147"/>
      <c r="Q4" s="1147"/>
      <c r="R4" s="1147"/>
      <c r="S4" s="1147"/>
      <c r="T4" s="1147"/>
      <c r="U4" s="1147"/>
      <c r="V4" s="1147"/>
      <c r="W4" s="1147"/>
      <c r="X4" s="1147"/>
      <c r="Y4" s="1147"/>
      <c r="Z4" s="1147"/>
      <c r="AA4" s="1147"/>
      <c r="AB4" s="1147"/>
      <c r="AC4" s="1147"/>
      <c r="AD4" s="1147"/>
      <c r="AE4" s="1147"/>
      <c r="AF4" s="1147"/>
      <c r="AG4" s="1147"/>
      <c r="AH4" s="1147"/>
      <c r="AI4" s="1147"/>
      <c r="AJ4" s="1147"/>
      <c r="AK4" s="1147"/>
      <c r="AL4" s="1147"/>
      <c r="AM4" s="1147"/>
      <c r="AN4" s="1147"/>
      <c r="AO4" s="1147"/>
      <c r="AP4" s="1147"/>
      <c r="AQ4" s="1147"/>
      <c r="AR4" s="1147"/>
      <c r="AS4" s="1147"/>
      <c r="AT4" s="1147"/>
      <c r="AU4" s="1147"/>
      <c r="AV4" s="1147"/>
      <c r="AW4" s="1147"/>
      <c r="AX4" s="1147"/>
      <c r="AY4" s="1147"/>
      <c r="AZ4" s="1147"/>
      <c r="BA4" s="1147"/>
      <c r="BB4" s="1147"/>
      <c r="BC4" s="1147"/>
      <c r="BD4" s="1147"/>
      <c r="BE4" s="1147"/>
      <c r="BI4" s="273"/>
      <c r="BJ4" s="273"/>
      <c r="BK4" s="273"/>
      <c r="BL4" s="273"/>
      <c r="BM4" s="273"/>
      <c r="BN4" s="273"/>
      <c r="BO4" s="273"/>
      <c r="BP4" s="273"/>
      <c r="BQ4" s="273"/>
      <c r="BR4" s="273"/>
      <c r="BS4" s="273"/>
      <c r="BT4" s="273"/>
      <c r="BU4" s="273"/>
      <c r="BV4" s="273"/>
      <c r="BX4" s="274" t="s">
        <v>262</v>
      </c>
    </row>
    <row r="5" spans="2:76" ht="15" customHeight="1">
      <c r="B5" s="1234" t="s">
        <v>78</v>
      </c>
      <c r="C5" s="1235"/>
      <c r="D5" s="1235"/>
      <c r="E5" s="1235"/>
      <c r="F5" s="1235"/>
      <c r="G5" s="1235"/>
      <c r="H5" s="1235"/>
      <c r="I5" s="1235"/>
      <c r="J5" s="1235"/>
      <c r="K5" s="1235"/>
      <c r="L5" s="1235"/>
      <c r="M5" s="1235"/>
      <c r="N5" s="1235"/>
      <c r="O5" s="1235"/>
      <c r="P5" s="1235"/>
      <c r="Q5" s="1235"/>
      <c r="R5" s="1235"/>
      <c r="S5" s="1235"/>
      <c r="T5" s="1235"/>
      <c r="U5" s="1235"/>
      <c r="V5" s="1235"/>
      <c r="W5" s="1235"/>
      <c r="X5" s="1235"/>
      <c r="Y5" s="1235"/>
      <c r="Z5" s="1235"/>
      <c r="AA5" s="1235"/>
      <c r="AB5" s="1235"/>
      <c r="AC5" s="1235"/>
      <c r="AD5" s="1235"/>
      <c r="AE5" s="1235"/>
      <c r="AF5" s="1235"/>
      <c r="AG5" s="1235"/>
      <c r="AH5" s="1235"/>
      <c r="AI5" s="1235"/>
      <c r="AJ5" s="1235"/>
      <c r="AK5" s="1235"/>
      <c r="AL5" s="1235"/>
      <c r="AM5" s="1235"/>
      <c r="AN5" s="1235"/>
      <c r="AO5" s="1235"/>
      <c r="AP5" s="1235"/>
      <c r="AQ5" s="1235"/>
      <c r="AR5" s="1235"/>
      <c r="AS5" s="630"/>
      <c r="AT5" s="630"/>
      <c r="AU5" s="630"/>
      <c r="AV5" s="630"/>
      <c r="AW5" s="630"/>
      <c r="AX5" s="630"/>
      <c r="AY5" s="630"/>
      <c r="AZ5" s="630"/>
      <c r="BA5" s="630"/>
      <c r="BB5" s="630"/>
      <c r="BC5" s="630"/>
      <c r="BD5" s="630"/>
      <c r="BE5" s="631" t="str">
        <f>Cover!M34</f>
        <v>OCT FY-24</v>
      </c>
      <c r="BI5" s="273"/>
      <c r="BJ5" s="273"/>
      <c r="BK5" s="273"/>
      <c r="BL5" s="273"/>
      <c r="BM5" s="273"/>
      <c r="BN5" s="273"/>
      <c r="BO5" s="273"/>
      <c r="BP5" s="273"/>
      <c r="BQ5" s="273"/>
      <c r="BR5" s="273"/>
      <c r="BS5" s="273"/>
      <c r="BT5" s="273"/>
      <c r="BU5" s="273"/>
      <c r="BV5" s="273"/>
      <c r="BX5" s="271">
        <f>Cover!M36</f>
        <v>1</v>
      </c>
    </row>
    <row r="6" spans="2:76" ht="15" customHeight="1">
      <c r="BI6" s="271"/>
      <c r="BJ6" s="589"/>
      <c r="BK6" s="589"/>
      <c r="BL6" s="589"/>
      <c r="BM6" s="589"/>
      <c r="BN6" s="589"/>
      <c r="BO6" s="589"/>
      <c r="BP6" s="589"/>
      <c r="BQ6" s="589"/>
      <c r="BR6" s="589"/>
      <c r="BS6" s="589"/>
      <c r="BT6" s="589"/>
      <c r="BU6" s="589"/>
      <c r="BV6" s="589"/>
      <c r="BX6" s="271"/>
    </row>
    <row r="7" spans="2:76" ht="15" customHeight="1">
      <c r="B7" s="531" t="s">
        <v>629</v>
      </c>
      <c r="C7" s="532"/>
      <c r="D7" s="532"/>
      <c r="E7" s="532"/>
      <c r="F7" s="532"/>
      <c r="G7" s="532"/>
      <c r="H7" s="532"/>
      <c r="I7" s="532"/>
      <c r="J7" s="532"/>
      <c r="K7" s="532"/>
      <c r="L7" s="532"/>
      <c r="M7" s="532"/>
      <c r="N7" s="532"/>
      <c r="O7" s="532"/>
      <c r="P7" s="532"/>
      <c r="Q7" s="532"/>
      <c r="R7" s="532"/>
      <c r="S7" s="532"/>
      <c r="T7" s="532"/>
      <c r="U7" s="532"/>
      <c r="V7" s="532"/>
      <c r="W7" s="532"/>
      <c r="X7" s="532"/>
      <c r="Y7" s="532"/>
      <c r="Z7" s="532"/>
      <c r="AA7" s="532"/>
      <c r="AB7" s="532"/>
      <c r="AE7" s="531" t="s">
        <v>265</v>
      </c>
      <c r="AF7" s="532"/>
      <c r="AG7" s="532"/>
      <c r="AH7" s="532"/>
      <c r="AI7" s="532"/>
      <c r="AJ7" s="532"/>
      <c r="AK7" s="532"/>
      <c r="AL7" s="532"/>
      <c r="AM7" s="532"/>
      <c r="AN7" s="532"/>
      <c r="AO7" s="532"/>
      <c r="AP7" s="532"/>
      <c r="AQ7" s="532"/>
      <c r="AR7" s="532"/>
      <c r="AS7" s="532"/>
      <c r="AT7" s="532"/>
      <c r="AU7" s="532"/>
      <c r="AV7" s="532"/>
      <c r="AW7" s="532"/>
      <c r="AX7" s="532"/>
      <c r="AY7" s="532"/>
      <c r="AZ7" s="532"/>
      <c r="BA7" s="532"/>
      <c r="BB7" s="532"/>
      <c r="BC7" s="532"/>
      <c r="BD7" s="532"/>
      <c r="BE7" s="532"/>
      <c r="BI7" s="271"/>
      <c r="BJ7" s="589"/>
      <c r="BK7" s="589"/>
      <c r="BL7" s="589"/>
      <c r="BM7" s="589"/>
      <c r="BN7" s="589"/>
      <c r="BO7" s="589"/>
      <c r="BP7" s="589"/>
      <c r="BQ7" s="589"/>
      <c r="BR7" s="589"/>
      <c r="BS7" s="23"/>
      <c r="BT7" s="589"/>
      <c r="BU7" s="589"/>
      <c r="BV7" s="589"/>
      <c r="BX7" s="271"/>
    </row>
    <row r="8" spans="2:76" ht="15" customHeight="1">
      <c r="B8" s="1685" t="s">
        <v>761</v>
      </c>
      <c r="C8" s="1686"/>
      <c r="D8" s="1686"/>
      <c r="E8" s="1686"/>
      <c r="F8" s="1686"/>
      <c r="G8" s="1686"/>
      <c r="H8" s="1686"/>
      <c r="I8" s="1686"/>
      <c r="J8" s="1686"/>
      <c r="K8" s="1686"/>
      <c r="L8" s="1686"/>
      <c r="M8" s="1686"/>
      <c r="N8" s="1686"/>
      <c r="O8" s="1686"/>
      <c r="P8" s="1686"/>
      <c r="Q8" s="1686"/>
      <c r="R8" s="1686"/>
      <c r="S8" s="1686"/>
      <c r="T8" s="1686"/>
      <c r="U8" s="1686"/>
      <c r="V8" s="1686"/>
      <c r="W8" s="1686"/>
      <c r="X8" s="1686"/>
      <c r="Y8" s="1686"/>
      <c r="Z8" s="1686"/>
      <c r="AA8" s="1686"/>
      <c r="AB8" s="1687"/>
      <c r="AE8" s="1137" t="s">
        <v>762</v>
      </c>
      <c r="AF8" s="1138"/>
      <c r="AG8" s="1138"/>
      <c r="AH8" s="1138"/>
      <c r="AI8" s="1138"/>
      <c r="AJ8" s="1138"/>
      <c r="AK8" s="1138"/>
      <c r="AL8" s="1138"/>
      <c r="AM8" s="1138"/>
      <c r="AN8" s="1138"/>
      <c r="AO8" s="1138"/>
      <c r="AP8" s="1138"/>
      <c r="AQ8" s="1138"/>
      <c r="AR8" s="1138"/>
      <c r="AS8" s="1138"/>
      <c r="AT8" s="1138"/>
      <c r="AU8" s="1138"/>
      <c r="AV8" s="1138"/>
      <c r="AW8" s="1138"/>
      <c r="AX8" s="1138"/>
      <c r="AY8" s="1138"/>
      <c r="AZ8" s="1138"/>
      <c r="BA8" s="1138"/>
      <c r="BB8" s="1138"/>
      <c r="BC8" s="1138"/>
      <c r="BD8" s="1138"/>
      <c r="BE8" s="1139"/>
      <c r="BI8" s="271"/>
      <c r="BJ8" s="589"/>
      <c r="BK8" s="589"/>
      <c r="BL8" s="589"/>
      <c r="BM8" s="589"/>
      <c r="BN8" s="589"/>
      <c r="BO8" s="589"/>
      <c r="BP8" s="589"/>
      <c r="BQ8" s="589"/>
      <c r="BR8" s="589"/>
      <c r="BS8" s="589"/>
      <c r="BT8" s="589"/>
      <c r="BU8" s="589"/>
      <c r="BV8" s="589"/>
      <c r="BX8" s="271"/>
    </row>
    <row r="9" spans="2:76" ht="15" customHeight="1">
      <c r="B9" s="1688"/>
      <c r="C9" s="1689"/>
      <c r="D9" s="1689"/>
      <c r="E9" s="1689"/>
      <c r="F9" s="1689"/>
      <c r="G9" s="1689"/>
      <c r="H9" s="1689"/>
      <c r="I9" s="1689"/>
      <c r="J9" s="1689"/>
      <c r="K9" s="1689"/>
      <c r="L9" s="1689"/>
      <c r="M9" s="1689"/>
      <c r="N9" s="1689"/>
      <c r="O9" s="1689"/>
      <c r="P9" s="1689"/>
      <c r="Q9" s="1689"/>
      <c r="R9" s="1689"/>
      <c r="S9" s="1689"/>
      <c r="T9" s="1689"/>
      <c r="U9" s="1689"/>
      <c r="V9" s="1689"/>
      <c r="W9" s="1689"/>
      <c r="X9" s="1689"/>
      <c r="Y9" s="1689"/>
      <c r="Z9" s="1689"/>
      <c r="AA9" s="1689"/>
      <c r="AB9" s="1690"/>
      <c r="AE9" s="1140"/>
      <c r="AF9" s="1141"/>
      <c r="AG9" s="1141"/>
      <c r="AH9" s="1141"/>
      <c r="AI9" s="1141"/>
      <c r="AJ9" s="1141"/>
      <c r="AK9" s="1141"/>
      <c r="AL9" s="1141"/>
      <c r="AM9" s="1141"/>
      <c r="AN9" s="1141"/>
      <c r="AO9" s="1141"/>
      <c r="AP9" s="1141"/>
      <c r="AQ9" s="1141"/>
      <c r="AR9" s="1141"/>
      <c r="AS9" s="1141"/>
      <c r="AT9" s="1141"/>
      <c r="AU9" s="1141"/>
      <c r="AV9" s="1141"/>
      <c r="AW9" s="1141"/>
      <c r="AX9" s="1141"/>
      <c r="AY9" s="1141"/>
      <c r="AZ9" s="1141"/>
      <c r="BA9" s="1141"/>
      <c r="BB9" s="1141"/>
      <c r="BC9" s="1141"/>
      <c r="BD9" s="1141"/>
      <c r="BE9" s="1142"/>
      <c r="BI9" s="271"/>
      <c r="BJ9" s="589"/>
      <c r="BK9" s="589"/>
      <c r="BL9" s="589"/>
      <c r="BM9" s="589"/>
      <c r="BN9" s="589"/>
      <c r="BO9" s="589"/>
      <c r="BP9" s="589"/>
      <c r="BQ9" s="589"/>
      <c r="BR9" s="589"/>
      <c r="BS9" s="589"/>
      <c r="BT9" s="589"/>
      <c r="BU9" s="589"/>
      <c r="BV9" s="589"/>
      <c r="BX9" s="271"/>
    </row>
    <row r="10" spans="2:76" ht="15" customHeight="1">
      <c r="B10" s="1688"/>
      <c r="C10" s="1689"/>
      <c r="D10" s="1689"/>
      <c r="E10" s="1689"/>
      <c r="F10" s="1689"/>
      <c r="G10" s="1689"/>
      <c r="H10" s="1689"/>
      <c r="I10" s="1689"/>
      <c r="J10" s="1689"/>
      <c r="K10" s="1689"/>
      <c r="L10" s="1689"/>
      <c r="M10" s="1689"/>
      <c r="N10" s="1689"/>
      <c r="O10" s="1689"/>
      <c r="P10" s="1689"/>
      <c r="Q10" s="1689"/>
      <c r="R10" s="1689"/>
      <c r="S10" s="1689"/>
      <c r="T10" s="1689"/>
      <c r="U10" s="1689"/>
      <c r="V10" s="1689"/>
      <c r="W10" s="1689"/>
      <c r="X10" s="1689"/>
      <c r="Y10" s="1689"/>
      <c r="Z10" s="1689"/>
      <c r="AA10" s="1689"/>
      <c r="AB10" s="1690"/>
      <c r="AE10" s="1140"/>
      <c r="AF10" s="1141"/>
      <c r="AG10" s="1141"/>
      <c r="AH10" s="1141"/>
      <c r="AI10" s="1141"/>
      <c r="AJ10" s="1141"/>
      <c r="AK10" s="1141"/>
      <c r="AL10" s="1141"/>
      <c r="AM10" s="1141"/>
      <c r="AN10" s="1141"/>
      <c r="AO10" s="1141"/>
      <c r="AP10" s="1141"/>
      <c r="AQ10" s="1141"/>
      <c r="AR10" s="1141"/>
      <c r="AS10" s="1141"/>
      <c r="AT10" s="1141"/>
      <c r="AU10" s="1141"/>
      <c r="AV10" s="1141"/>
      <c r="AW10" s="1141"/>
      <c r="AX10" s="1141"/>
      <c r="AY10" s="1141"/>
      <c r="AZ10" s="1141"/>
      <c r="BA10" s="1141"/>
      <c r="BB10" s="1141"/>
      <c r="BC10" s="1141"/>
      <c r="BD10" s="1141"/>
      <c r="BE10" s="1142"/>
      <c r="BI10" s="271"/>
      <c r="BJ10" s="589"/>
      <c r="BK10" s="589"/>
      <c r="BL10" s="589"/>
      <c r="BM10" s="589"/>
      <c r="BN10" s="589"/>
      <c r="BO10" s="589"/>
      <c r="BP10" s="589"/>
      <c r="BQ10" s="589"/>
      <c r="BR10" s="589"/>
      <c r="BS10" s="589"/>
      <c r="BT10" s="589"/>
      <c r="BU10" s="589"/>
      <c r="BV10" s="589"/>
      <c r="BX10" s="271"/>
    </row>
    <row r="11" spans="2:76" ht="15" customHeight="1">
      <c r="B11" s="1691"/>
      <c r="C11" s="1692"/>
      <c r="D11" s="1692"/>
      <c r="E11" s="1692"/>
      <c r="F11" s="1692"/>
      <c r="G11" s="1692"/>
      <c r="H11" s="1692"/>
      <c r="I11" s="1692"/>
      <c r="J11" s="1692"/>
      <c r="K11" s="1692"/>
      <c r="L11" s="1692"/>
      <c r="M11" s="1692"/>
      <c r="N11" s="1692"/>
      <c r="O11" s="1692"/>
      <c r="P11" s="1692"/>
      <c r="Q11" s="1692"/>
      <c r="R11" s="1692"/>
      <c r="S11" s="1692"/>
      <c r="T11" s="1692"/>
      <c r="U11" s="1692"/>
      <c r="V11" s="1692"/>
      <c r="W11" s="1692"/>
      <c r="X11" s="1692"/>
      <c r="Y11" s="1692"/>
      <c r="Z11" s="1692"/>
      <c r="AA11" s="1692"/>
      <c r="AB11" s="1693"/>
      <c r="AE11" s="1143"/>
      <c r="AF11" s="1144"/>
      <c r="AG11" s="1144"/>
      <c r="AH11" s="1144"/>
      <c r="AI11" s="1144"/>
      <c r="AJ11" s="1144"/>
      <c r="AK11" s="1144"/>
      <c r="AL11" s="1144"/>
      <c r="AM11" s="1144"/>
      <c r="AN11" s="1144"/>
      <c r="AO11" s="1144"/>
      <c r="AP11" s="1144"/>
      <c r="AQ11" s="1144"/>
      <c r="AR11" s="1144"/>
      <c r="AS11" s="1144"/>
      <c r="AT11" s="1144"/>
      <c r="AU11" s="1144"/>
      <c r="AV11" s="1144"/>
      <c r="AW11" s="1144"/>
      <c r="AX11" s="1144"/>
      <c r="AY11" s="1144"/>
      <c r="AZ11" s="1144"/>
      <c r="BA11" s="1144"/>
      <c r="BB11" s="1144"/>
      <c r="BC11" s="1144"/>
      <c r="BD11" s="1144"/>
      <c r="BE11" s="1145"/>
      <c r="BI11" s="271"/>
      <c r="BJ11" s="589"/>
      <c r="BK11" s="589"/>
      <c r="BL11" s="589"/>
      <c r="BM11" s="589"/>
      <c r="BN11" s="589"/>
      <c r="BO11" s="589"/>
      <c r="BP11" s="589"/>
      <c r="BQ11" s="589"/>
      <c r="BR11" s="589"/>
      <c r="BS11" s="589"/>
      <c r="BT11" s="589"/>
      <c r="BU11" s="589"/>
      <c r="BV11" s="589"/>
      <c r="BX11" s="271"/>
    </row>
    <row r="12" spans="2:76" ht="15" customHeight="1">
      <c r="BI12" s="271"/>
      <c r="BJ12" s="589"/>
      <c r="BK12" s="589"/>
      <c r="BL12" s="589"/>
      <c r="BM12" s="589"/>
      <c r="BN12" s="589"/>
      <c r="BO12" s="589"/>
      <c r="BP12" s="589"/>
      <c r="BQ12" s="589"/>
      <c r="BR12" s="589"/>
      <c r="BS12" s="589"/>
      <c r="BT12" s="589"/>
      <c r="BU12" s="589"/>
      <c r="BV12" s="589"/>
      <c r="BX12" s="271"/>
    </row>
    <row r="13" spans="2:76" ht="15" customHeight="1">
      <c r="B13" s="541" t="s">
        <v>330</v>
      </c>
      <c r="C13" s="542"/>
      <c r="D13" s="542"/>
      <c r="E13" s="542"/>
      <c r="F13" s="542"/>
      <c r="G13" s="543"/>
      <c r="H13" s="543"/>
      <c r="I13" s="543"/>
      <c r="J13" s="543"/>
      <c r="K13" s="543"/>
      <c r="L13" s="545"/>
      <c r="M13" s="542"/>
      <c r="N13" s="542"/>
      <c r="O13" s="532"/>
      <c r="P13" s="532"/>
      <c r="Q13" s="532"/>
      <c r="R13" s="532"/>
      <c r="S13" s="532"/>
      <c r="T13" s="532"/>
      <c r="U13" s="532"/>
      <c r="V13" s="532"/>
      <c r="W13" s="532"/>
      <c r="X13" s="532"/>
      <c r="Y13" s="532"/>
      <c r="Z13" s="532"/>
      <c r="AA13" s="532"/>
      <c r="AB13" s="532"/>
      <c r="AC13" s="532"/>
      <c r="AD13" s="532"/>
      <c r="AE13" s="532"/>
      <c r="AF13" s="532"/>
      <c r="AG13" s="532"/>
      <c r="AH13" s="532"/>
      <c r="AI13" s="532"/>
      <c r="AJ13" s="532"/>
      <c r="AK13" s="532"/>
      <c r="AL13" s="532"/>
      <c r="AM13" s="532"/>
      <c r="AN13" s="532"/>
      <c r="AO13" s="532"/>
      <c r="AP13" s="532"/>
      <c r="AQ13" s="532"/>
      <c r="AR13" s="532"/>
      <c r="AS13" s="532"/>
      <c r="AT13" s="532"/>
      <c r="AU13" s="532"/>
      <c r="AV13" s="532"/>
      <c r="AW13" s="532"/>
      <c r="AX13" s="532"/>
      <c r="AY13" s="532"/>
      <c r="AZ13" s="532"/>
      <c r="BA13" s="532"/>
      <c r="BB13" s="532"/>
      <c r="BC13" s="532"/>
      <c r="BD13" s="532"/>
      <c r="BE13" s="532"/>
      <c r="BI13" s="271"/>
      <c r="BJ13" s="589"/>
      <c r="BK13" s="589"/>
      <c r="BL13" s="589"/>
      <c r="BM13" s="589"/>
      <c r="BN13" s="589"/>
      <c r="BO13" s="589"/>
      <c r="BP13" s="589"/>
      <c r="BQ13" s="589"/>
      <c r="BR13" s="589"/>
      <c r="BS13" s="589"/>
      <c r="BT13" s="589"/>
      <c r="BU13" s="589"/>
      <c r="BV13" s="589"/>
      <c r="BX13" s="271"/>
    </row>
    <row r="14" spans="2:76" ht="15" customHeight="1">
      <c r="B14" s="1124" t="s">
        <v>332</v>
      </c>
      <c r="C14" s="1124"/>
      <c r="D14" s="1124"/>
      <c r="E14" s="1124"/>
      <c r="F14" s="1124"/>
      <c r="G14" s="1124"/>
      <c r="H14" s="1124"/>
      <c r="I14" s="1124"/>
      <c r="J14" s="1124"/>
      <c r="K14" s="1124" t="s">
        <v>335</v>
      </c>
      <c r="L14" s="1124"/>
      <c r="M14" s="1124"/>
      <c r="N14" s="1124"/>
      <c r="O14" s="1124"/>
      <c r="P14" s="1124"/>
      <c r="Q14" s="1123" t="s">
        <v>713</v>
      </c>
      <c r="R14" s="1123"/>
      <c r="S14" s="1123"/>
      <c r="T14" s="1124" t="s">
        <v>712</v>
      </c>
      <c r="U14" s="1124"/>
      <c r="V14" s="1124"/>
      <c r="W14" s="1124"/>
      <c r="X14" s="1124"/>
      <c r="Y14" s="1124"/>
      <c r="Z14" s="1124"/>
      <c r="AA14" s="1124"/>
      <c r="AB14" s="1124"/>
      <c r="AC14" s="1153" t="s">
        <v>336</v>
      </c>
      <c r="AD14" s="1154"/>
      <c r="AE14" s="1154"/>
      <c r="AF14" s="1154"/>
      <c r="AG14" s="1154"/>
      <c r="AH14" s="1154"/>
      <c r="AI14" s="1154"/>
      <c r="AJ14" s="1154"/>
      <c r="AK14" s="1154"/>
      <c r="AL14" s="1154"/>
      <c r="AM14" s="1154"/>
      <c r="AN14" s="1154"/>
      <c r="AO14" s="1154"/>
      <c r="AP14" s="1154"/>
      <c r="AQ14" s="1154"/>
      <c r="AR14" s="1154"/>
      <c r="AS14" s="1154"/>
      <c r="AT14" s="1154"/>
      <c r="AU14" s="1154"/>
      <c r="AV14" s="1154"/>
      <c r="AW14" s="1154"/>
      <c r="AX14" s="1154"/>
      <c r="AY14" s="1154"/>
      <c r="AZ14" s="1154"/>
      <c r="BA14" s="1154"/>
      <c r="BB14" s="1154"/>
      <c r="BC14" s="1154"/>
      <c r="BD14" s="1154"/>
      <c r="BE14" s="1155"/>
      <c r="BI14" s="271"/>
      <c r="BJ14" s="590"/>
      <c r="BK14" s="590"/>
      <c r="BL14" s="590"/>
      <c r="BM14" s="590"/>
      <c r="BN14" s="590"/>
      <c r="BO14" s="590"/>
      <c r="BP14" s="590"/>
      <c r="BQ14" s="590"/>
      <c r="BR14" s="590"/>
      <c r="BS14" s="590"/>
      <c r="BT14" s="590"/>
      <c r="BU14" s="590"/>
      <c r="BV14" s="590"/>
      <c r="BX14" s="271"/>
    </row>
    <row r="15" spans="2:76" ht="15" customHeight="1">
      <c r="B15" s="1124"/>
      <c r="C15" s="1124"/>
      <c r="D15" s="1124"/>
      <c r="E15" s="1124"/>
      <c r="F15" s="1124"/>
      <c r="G15" s="1124"/>
      <c r="H15" s="1124"/>
      <c r="I15" s="1124"/>
      <c r="J15" s="1124"/>
      <c r="K15" s="1124" t="s">
        <v>23</v>
      </c>
      <c r="L15" s="1124"/>
      <c r="M15" s="1124"/>
      <c r="N15" s="1124" t="s">
        <v>339</v>
      </c>
      <c r="O15" s="1124"/>
      <c r="P15" s="1124"/>
      <c r="Q15" s="1123"/>
      <c r="R15" s="1123"/>
      <c r="S15" s="1123"/>
      <c r="T15" s="1123" t="s">
        <v>340</v>
      </c>
      <c r="U15" s="1123"/>
      <c r="V15" s="1123"/>
      <c r="W15" s="1123" t="s">
        <v>341</v>
      </c>
      <c r="X15" s="1123"/>
      <c r="Y15" s="1123"/>
      <c r="Z15" s="1123" t="s">
        <v>342</v>
      </c>
      <c r="AA15" s="1123"/>
      <c r="AB15" s="1123"/>
      <c r="AC15" s="1156"/>
      <c r="AD15" s="1157"/>
      <c r="AE15" s="1157"/>
      <c r="AF15" s="1157"/>
      <c r="AG15" s="1157"/>
      <c r="AH15" s="1157"/>
      <c r="AI15" s="1157"/>
      <c r="AJ15" s="1157"/>
      <c r="AK15" s="1157"/>
      <c r="AL15" s="1157"/>
      <c r="AM15" s="1157"/>
      <c r="AN15" s="1157"/>
      <c r="AO15" s="1157"/>
      <c r="AP15" s="1157"/>
      <c r="AQ15" s="1157"/>
      <c r="AR15" s="1157"/>
      <c r="AS15" s="1157"/>
      <c r="AT15" s="1157"/>
      <c r="AU15" s="1157"/>
      <c r="AV15" s="1157"/>
      <c r="AW15" s="1157"/>
      <c r="AX15" s="1157"/>
      <c r="AY15" s="1157"/>
      <c r="AZ15" s="1157"/>
      <c r="BA15" s="1157"/>
      <c r="BB15" s="1157"/>
      <c r="BC15" s="1157"/>
      <c r="BD15" s="1157"/>
      <c r="BE15" s="1158"/>
      <c r="BV15" s="37"/>
    </row>
    <row r="16" spans="2:76" ht="15" customHeight="1">
      <c r="B16" s="1124"/>
      <c r="C16" s="1124"/>
      <c r="D16" s="1124"/>
      <c r="E16" s="1124"/>
      <c r="F16" s="1124"/>
      <c r="G16" s="1124"/>
      <c r="H16" s="1124"/>
      <c r="I16" s="1124"/>
      <c r="J16" s="1124"/>
      <c r="K16" s="1124"/>
      <c r="L16" s="1124"/>
      <c r="M16" s="1124"/>
      <c r="N16" s="1124"/>
      <c r="O16" s="1124"/>
      <c r="P16" s="1124"/>
      <c r="Q16" s="1123"/>
      <c r="R16" s="1123"/>
      <c r="S16" s="1123"/>
      <c r="T16" s="1123"/>
      <c r="U16" s="1123"/>
      <c r="V16" s="1123"/>
      <c r="W16" s="1123"/>
      <c r="X16" s="1123"/>
      <c r="Y16" s="1123"/>
      <c r="Z16" s="1123"/>
      <c r="AA16" s="1123"/>
      <c r="AB16" s="1123"/>
      <c r="AC16" s="1159"/>
      <c r="AD16" s="1160"/>
      <c r="AE16" s="1160"/>
      <c r="AF16" s="1160"/>
      <c r="AG16" s="1160"/>
      <c r="AH16" s="1160"/>
      <c r="AI16" s="1160"/>
      <c r="AJ16" s="1160"/>
      <c r="AK16" s="1160"/>
      <c r="AL16" s="1160"/>
      <c r="AM16" s="1160"/>
      <c r="AN16" s="1160"/>
      <c r="AO16" s="1160"/>
      <c r="AP16" s="1160"/>
      <c r="AQ16" s="1160"/>
      <c r="AR16" s="1160"/>
      <c r="AS16" s="1160"/>
      <c r="AT16" s="1160"/>
      <c r="AU16" s="1160"/>
      <c r="AV16" s="1160"/>
      <c r="AW16" s="1160"/>
      <c r="AX16" s="1160"/>
      <c r="AY16" s="1160"/>
      <c r="AZ16" s="1160"/>
      <c r="BA16" s="1160"/>
      <c r="BB16" s="1160"/>
      <c r="BC16" s="1160"/>
      <c r="BD16" s="1160"/>
      <c r="BE16" s="1161"/>
      <c r="BI16" s="271"/>
      <c r="BJ16" s="277"/>
      <c r="BK16" s="277"/>
      <c r="BL16" s="277"/>
      <c r="BM16" s="277"/>
      <c r="BN16" s="277"/>
      <c r="BO16" s="277"/>
      <c r="BP16" s="277"/>
      <c r="BQ16" s="277"/>
      <c r="BR16" s="277"/>
      <c r="BS16" s="277"/>
      <c r="BT16" s="277"/>
      <c r="BU16" s="277"/>
      <c r="BV16" s="277"/>
    </row>
    <row r="17" spans="2:81" ht="45" customHeight="1">
      <c r="B17" s="1126" t="s">
        <v>630</v>
      </c>
      <c r="C17" s="1126"/>
      <c r="D17" s="1126"/>
      <c r="E17" s="1126"/>
      <c r="F17" s="1126"/>
      <c r="G17" s="1126"/>
      <c r="H17" s="1126"/>
      <c r="I17" s="1126"/>
      <c r="J17" s="1126"/>
      <c r="K17" s="1125">
        <f>SUMIF(PS!$BJ$26:$BJ$37,Cover!$M$36,PS!$BN$26:$BN$37)</f>
        <v>0.92155555555555557</v>
      </c>
      <c r="L17" s="1125"/>
      <c r="M17" s="1125"/>
      <c r="N17" s="1125">
        <f>SUMIF(PS!$BK$26:$BK$37,Cover!$M$35,PS!$BO$26:$BO$37)</f>
        <v>0.93131409492010508</v>
      </c>
      <c r="O17" s="1125"/>
      <c r="P17" s="1125"/>
      <c r="Q17" s="1174">
        <f>SUMIF(PS!$BJ$26:$BJ$37,Cover!$M$36,PS!$BU$26:$BU$37)</f>
        <v>0.9</v>
      </c>
      <c r="R17" s="1174"/>
      <c r="S17" s="1174"/>
      <c r="T17" s="1125">
        <f>IF(Cover!$M$36=1,SUMIF($BJ$26:$BJ$37,12,$BN$26:$BN$37),SUMIF(PS!$BJ$26:$BJ$37,Cover!$M$36-1,PS!$BS$26:$BS$37))</f>
        <v>0.94112178493957233</v>
      </c>
      <c r="U17" s="1125"/>
      <c r="V17" s="1125"/>
      <c r="W17" s="1125">
        <f>SUMIF(PS!$BJ$26:$BJ$37,Cover!$M$36,PS!$BS$26:$BS$37)</f>
        <v>0.93988191089640361</v>
      </c>
      <c r="X17" s="1125"/>
      <c r="Y17" s="1125"/>
      <c r="Z17" s="1125">
        <f>SUMIF(PS!$BK$26:$BK$37,Cover!$M$35,PS!$BT$26:$BT$37)</f>
        <v>0.93988191089640361</v>
      </c>
      <c r="AA17" s="1125"/>
      <c r="AB17" s="1125"/>
      <c r="AC17" s="1710" t="s">
        <v>763</v>
      </c>
      <c r="AD17" s="1711"/>
      <c r="AE17" s="1711"/>
      <c r="AF17" s="1711"/>
      <c r="AG17" s="1711"/>
      <c r="AH17" s="1711"/>
      <c r="AI17" s="1711"/>
      <c r="AJ17" s="1711"/>
      <c r="AK17" s="1711"/>
      <c r="AL17" s="1711"/>
      <c r="AM17" s="1711"/>
      <c r="AN17" s="1711"/>
      <c r="AO17" s="1711"/>
      <c r="AP17" s="1711"/>
      <c r="AQ17" s="1711"/>
      <c r="AR17" s="1711"/>
      <c r="AS17" s="1711"/>
      <c r="AT17" s="1711"/>
      <c r="AU17" s="1711"/>
      <c r="AV17" s="1711"/>
      <c r="AW17" s="1711"/>
      <c r="AX17" s="1711"/>
      <c r="AY17" s="1711"/>
      <c r="AZ17" s="1711"/>
      <c r="BA17" s="1711"/>
      <c r="BB17" s="1711"/>
      <c r="BC17" s="1711"/>
      <c r="BD17" s="1711"/>
      <c r="BE17" s="1712"/>
      <c r="BH17" s="160">
        <f>IF(Q17=0,4,IF(W17=0,0,IF(Q17="","",IF(W17&gt;=Q17,1,IF(W17&lt;Q17*0.9,3,2)))))</f>
        <v>1</v>
      </c>
    </row>
    <row r="18" spans="2:81" ht="45" customHeight="1">
      <c r="B18" s="1177" t="s">
        <v>631</v>
      </c>
      <c r="C18" s="1178"/>
      <c r="D18" s="1178"/>
      <c r="E18" s="1178"/>
      <c r="F18" s="1178"/>
      <c r="G18" s="1178"/>
      <c r="H18" s="1178"/>
      <c r="I18" s="1178"/>
      <c r="J18" s="1178"/>
      <c r="K18" s="1707">
        <f>SUMIF(PS!$BJ$45:$BJ$56,Cover!$M$36,PS!$BN$45:$BN$56)</f>
        <v>7.5231481481481471E-4</v>
      </c>
      <c r="L18" s="1708"/>
      <c r="M18" s="1709"/>
      <c r="N18" s="1707">
        <f>SUMIF(PS!$BK$45:$BK$56,Cover!$M$35,PS!$BO$45:$BO$56)</f>
        <v>7.0839813777943657E-4</v>
      </c>
      <c r="O18" s="1708"/>
      <c r="P18" s="1709"/>
      <c r="Q18" s="1713">
        <f>SUMIF(PS!$BJ$45:$BJ$56,Cover!$M$36,PS!$BU$45:$BU$56)</f>
        <v>2.4305555555555556E-3</v>
      </c>
      <c r="R18" s="1714"/>
      <c r="S18" s="1715"/>
      <c r="T18" s="1707">
        <f>IF(Cover!$M$36=1,SUMIF($BJ$45:$BJ$56,12,$BN$45:$BN$56),SUMIF(PS!$BJ$45:$BJ$56,Cover!$M$36-1,PS!$BS$45:$BS$56))</f>
        <v>4.1666666666666669E-4</v>
      </c>
      <c r="U18" s="1708"/>
      <c r="V18" s="1709"/>
      <c r="W18" s="1707">
        <f>SUMIF(PS!$BJ$45:$BJ$56,Cover!$M$36,PS!$BS$45:$BS$56)</f>
        <v>3.9351851851851852E-4</v>
      </c>
      <c r="X18" s="1708"/>
      <c r="Y18" s="1709"/>
      <c r="Z18" s="1707">
        <f>SUMIF(PS!$BK$45:$BK$56,Cover!$M$35,PS!$BT$45:$BT$56)</f>
        <v>3.9351851851851852E-4</v>
      </c>
      <c r="AA18" s="1708"/>
      <c r="AB18" s="1709"/>
      <c r="AC18" s="1698" t="s">
        <v>764</v>
      </c>
      <c r="AD18" s="1699"/>
      <c r="AE18" s="1699"/>
      <c r="AF18" s="1699"/>
      <c r="AG18" s="1699"/>
      <c r="AH18" s="1699"/>
      <c r="AI18" s="1699"/>
      <c r="AJ18" s="1699"/>
      <c r="AK18" s="1699"/>
      <c r="AL18" s="1699"/>
      <c r="AM18" s="1699"/>
      <c r="AN18" s="1699"/>
      <c r="AO18" s="1699"/>
      <c r="AP18" s="1699"/>
      <c r="AQ18" s="1699"/>
      <c r="AR18" s="1699"/>
      <c r="AS18" s="1699"/>
      <c r="AT18" s="1699"/>
      <c r="AU18" s="1699"/>
      <c r="AV18" s="1699"/>
      <c r="AW18" s="1699"/>
      <c r="AX18" s="1699"/>
      <c r="AY18" s="1699"/>
      <c r="AZ18" s="1699"/>
      <c r="BA18" s="1699"/>
      <c r="BB18" s="1699"/>
      <c r="BC18" s="1699"/>
      <c r="BD18" s="1699"/>
      <c r="BE18" s="1700"/>
      <c r="BH18" s="160">
        <f>IF(Q18=0,4,IF(W18=0,0,IF(Q18="","",IF(W18&lt;=Q18,1,IF(W18&gt;Q18*1.1,3,2)))))</f>
        <v>1</v>
      </c>
    </row>
    <row r="19" spans="2:81" ht="45" customHeight="1">
      <c r="B19" s="1126" t="s">
        <v>632</v>
      </c>
      <c r="C19" s="1298"/>
      <c r="D19" s="1298"/>
      <c r="E19" s="1298"/>
      <c r="F19" s="1298"/>
      <c r="G19" s="1298"/>
      <c r="H19" s="1298"/>
      <c r="I19" s="1298"/>
      <c r="J19" s="1298"/>
      <c r="K19" s="1125">
        <f>SUMIF(PS!$BJ$64:$BJ$75,Cover!$M$36,PS!$BN$64:$BN$75)</f>
        <v>5.9454307160729171E-2</v>
      </c>
      <c r="L19" s="1125"/>
      <c r="M19" s="1125"/>
      <c r="N19" s="1125">
        <f>SUMIF(PS!$BK$64:$BK$75,Cover!$M$35,PS!$BO$64:$BO$75)</f>
        <v>5.021686363455493E-2</v>
      </c>
      <c r="O19" s="1125"/>
      <c r="P19" s="1125"/>
      <c r="Q19" s="1335">
        <f>SUMIF(PS!$BJ$64:$BJ$75,Cover!$M$36,PS!$BU$64:$BU$75)</f>
        <v>0.1</v>
      </c>
      <c r="R19" s="1335"/>
      <c r="S19" s="1335"/>
      <c r="T19" s="1125">
        <f>IF(Cover!$M$36=1,SUMIF($BJ$64:$BJ$75,12,$BN$64:$BN$75),SUMIF(PS!$BJ$64:$BJ$75,Cover!$M$36-1,PS!$BS$64:$BS$75))</f>
        <v>3.0195521917376223E-2</v>
      </c>
      <c r="U19" s="1125"/>
      <c r="V19" s="1125"/>
      <c r="W19" s="1125">
        <f>SUMIF(PS!$BJ$64:$BJ$75,Cover!$M$36,PS!$BS$64:$BS$75)</f>
        <v>3.1236897274633125E-2</v>
      </c>
      <c r="X19" s="1125"/>
      <c r="Y19" s="1125"/>
      <c r="Z19" s="1125">
        <f>SUMIF(PS!$BK$64:$BK$75,Cover!$M$35,PS!$BT$64:$BT$75)</f>
        <v>3.1236897274633125E-2</v>
      </c>
      <c r="AA19" s="1125"/>
      <c r="AB19" s="1125"/>
      <c r="AC19" s="1701"/>
      <c r="AD19" s="1702"/>
      <c r="AE19" s="1702"/>
      <c r="AF19" s="1702"/>
      <c r="AG19" s="1702"/>
      <c r="AH19" s="1702"/>
      <c r="AI19" s="1702"/>
      <c r="AJ19" s="1702"/>
      <c r="AK19" s="1702"/>
      <c r="AL19" s="1702"/>
      <c r="AM19" s="1702"/>
      <c r="AN19" s="1702"/>
      <c r="AO19" s="1702"/>
      <c r="AP19" s="1702"/>
      <c r="AQ19" s="1702"/>
      <c r="AR19" s="1702"/>
      <c r="AS19" s="1702"/>
      <c r="AT19" s="1702"/>
      <c r="AU19" s="1702"/>
      <c r="AV19" s="1702"/>
      <c r="AW19" s="1702"/>
      <c r="AX19" s="1702"/>
      <c r="AY19" s="1702"/>
      <c r="AZ19" s="1702"/>
      <c r="BA19" s="1702"/>
      <c r="BB19" s="1702"/>
      <c r="BC19" s="1702"/>
      <c r="BD19" s="1702"/>
      <c r="BE19" s="1703"/>
      <c r="BH19" s="160">
        <f>IF(Q19=0,4,IF(W19=0,0,IF(Q19="","",IF(W19&lt;=Q19,1,IF(W19&gt;Q19*0.9,3,2)))))</f>
        <v>1</v>
      </c>
    </row>
    <row r="20" spans="2:81" ht="45" customHeight="1">
      <c r="B20" s="1177" t="s">
        <v>633</v>
      </c>
      <c r="C20" s="1178"/>
      <c r="D20" s="1178"/>
      <c r="E20" s="1178"/>
      <c r="F20" s="1178"/>
      <c r="G20" s="1178"/>
      <c r="H20" s="1178"/>
      <c r="I20" s="1178"/>
      <c r="J20" s="1178"/>
      <c r="K20" s="1695">
        <f>SUMIF(PS!$BJ$83:$BJ$94,Cover!$M$36,PS!$BN$83:$BN$94)</f>
        <v>0.99965612104539203</v>
      </c>
      <c r="L20" s="1696"/>
      <c r="M20" s="1697"/>
      <c r="N20" s="1695">
        <f>SUMIF(PS!$BK$83:$BK$94,Cover!$M$35,PS!$BO$83:$BO$94)</f>
        <v>0.99956587801172136</v>
      </c>
      <c r="O20" s="1696"/>
      <c r="P20" s="1697"/>
      <c r="Q20" s="1285">
        <f>SUMIF(PS!$BJ$83:$BJ$94,Cover!$M$36,PS!$BU$83:$BU$94)</f>
        <v>0.85</v>
      </c>
      <c r="R20" s="1285"/>
      <c r="S20" s="1285"/>
      <c r="T20" s="1695">
        <f>IF(Cover!$M$36=1,SUMIF($BJ$83:$BJ$94,12,$BN$83:$BN$94),SUMIF(PS!$BJ$83:$BJ$94,Cover!$M$36-1,PS!$BS$83:$BS$94))</f>
        <v>0.99977406235878885</v>
      </c>
      <c r="U20" s="1696"/>
      <c r="V20" s="1697"/>
      <c r="W20" s="1695">
        <f>SUMIF(PS!$BJ$83:$BJ$94,Cover!$M$36,PS!$BS$83:$BS$94)</f>
        <v>0.99973856209150314</v>
      </c>
      <c r="X20" s="1696"/>
      <c r="Y20" s="1697"/>
      <c r="Z20" s="1695">
        <f>SUMIF(PS!$BK$83:$BK$94,Cover!$M$35,PS!$BT$83:$BT$94)</f>
        <v>0.99973856209150314</v>
      </c>
      <c r="AA20" s="1696"/>
      <c r="AB20" s="1697"/>
      <c r="AC20" s="1704"/>
      <c r="AD20" s="1705"/>
      <c r="AE20" s="1705"/>
      <c r="AF20" s="1705"/>
      <c r="AG20" s="1705"/>
      <c r="AH20" s="1705"/>
      <c r="AI20" s="1705"/>
      <c r="AJ20" s="1705"/>
      <c r="AK20" s="1705"/>
      <c r="AL20" s="1705"/>
      <c r="AM20" s="1705"/>
      <c r="AN20" s="1705"/>
      <c r="AO20" s="1705"/>
      <c r="AP20" s="1705"/>
      <c r="AQ20" s="1705"/>
      <c r="AR20" s="1705"/>
      <c r="AS20" s="1705"/>
      <c r="AT20" s="1705"/>
      <c r="AU20" s="1705"/>
      <c r="AV20" s="1705"/>
      <c r="AW20" s="1705"/>
      <c r="AX20" s="1705"/>
      <c r="AY20" s="1705"/>
      <c r="AZ20" s="1705"/>
      <c r="BA20" s="1705"/>
      <c r="BB20" s="1705"/>
      <c r="BC20" s="1705"/>
      <c r="BD20" s="1705"/>
      <c r="BE20" s="1706"/>
      <c r="BH20" s="160">
        <f>IF(Q20=0,4,IF(W20=0,0,IF(Q20="","",IF(W20&gt;=Q20,1,IF(W20&lt;Q20*0.9,3,2)))))</f>
        <v>1</v>
      </c>
      <c r="BI20" s="54" t="s">
        <v>292</v>
      </c>
      <c r="BJ20" s="1694" t="s">
        <v>463</v>
      </c>
      <c r="BK20" s="1694"/>
      <c r="BL20" s="1694"/>
      <c r="BM20" s="1694"/>
      <c r="BN20" s="1694"/>
      <c r="BO20" s="1694"/>
      <c r="BP20" s="1694"/>
      <c r="BQ20" s="1694"/>
      <c r="BR20" s="1694"/>
      <c r="BS20" s="1694"/>
      <c r="BT20" s="1694"/>
      <c r="BU20" s="1694"/>
    </row>
    <row r="21" spans="2:81" ht="15" customHeight="1">
      <c r="B21" s="336"/>
      <c r="C21" s="336"/>
      <c r="D21" s="336"/>
      <c r="E21" s="336"/>
      <c r="F21" s="336"/>
      <c r="G21" s="336"/>
      <c r="H21" s="336"/>
      <c r="I21" s="336"/>
      <c r="J21" s="336"/>
      <c r="K21" s="336"/>
      <c r="L21" s="336"/>
      <c r="M21" s="336"/>
      <c r="N21" s="336"/>
      <c r="O21" s="336"/>
      <c r="P21" s="336"/>
      <c r="Q21" s="336"/>
      <c r="R21" s="336"/>
      <c r="S21" s="336"/>
      <c r="T21" s="336"/>
      <c r="U21" s="336"/>
      <c r="V21" s="336"/>
      <c r="W21" s="336"/>
      <c r="X21" s="336"/>
      <c r="Y21" s="336"/>
      <c r="Z21" s="336"/>
      <c r="AA21" s="336"/>
      <c r="AB21" s="336"/>
      <c r="AC21" s="336"/>
      <c r="AD21" s="336"/>
      <c r="AE21" s="336"/>
      <c r="AF21" s="336"/>
      <c r="AG21" s="336"/>
      <c r="AH21" s="336"/>
      <c r="AI21" s="336"/>
      <c r="AJ21" s="336"/>
      <c r="AK21" s="336"/>
      <c r="AL21" s="336"/>
      <c r="AM21" s="336"/>
      <c r="AN21" s="336"/>
      <c r="AO21" s="336"/>
      <c r="AP21" s="336"/>
      <c r="AQ21" s="336"/>
      <c r="AR21" s="336"/>
      <c r="AS21" s="336"/>
      <c r="AT21" s="336"/>
      <c r="AU21" s="336"/>
      <c r="AV21" s="336"/>
      <c r="AW21" s="336"/>
      <c r="AX21" s="336"/>
      <c r="AY21" s="336"/>
      <c r="AZ21" s="336"/>
      <c r="BA21" s="336"/>
      <c r="BB21" s="336"/>
      <c r="BC21" s="336"/>
      <c r="BD21" s="336"/>
      <c r="BE21" s="336"/>
      <c r="BH21" s="223"/>
      <c r="BI21" s="54" t="s">
        <v>292</v>
      </c>
      <c r="BJ21" s="1116" t="s">
        <v>463</v>
      </c>
      <c r="BK21" s="1116"/>
      <c r="BL21" s="1116"/>
      <c r="BM21" s="1116"/>
      <c r="BN21" s="1116"/>
      <c r="BO21" s="1116"/>
      <c r="BP21" s="1116"/>
      <c r="BQ21" s="1116"/>
      <c r="BR21" s="1116"/>
      <c r="BS21" s="1116"/>
      <c r="BT21" s="1116"/>
      <c r="BU21" s="1116"/>
    </row>
    <row r="22" spans="2:81" ht="15" customHeight="1">
      <c r="B22" s="531" t="s">
        <v>350</v>
      </c>
      <c r="C22" s="533"/>
      <c r="D22" s="533"/>
      <c r="E22" s="533"/>
      <c r="F22" s="533"/>
      <c r="G22" s="532"/>
      <c r="H22" s="532"/>
      <c r="I22" s="532"/>
      <c r="J22" s="532"/>
      <c r="K22" s="532"/>
      <c r="L22" s="539"/>
      <c r="M22" s="533"/>
      <c r="N22" s="533"/>
      <c r="O22" s="532"/>
      <c r="P22" s="532"/>
      <c r="Q22" s="532"/>
      <c r="R22" s="532"/>
      <c r="S22" s="532"/>
      <c r="T22" s="532"/>
      <c r="U22" s="532"/>
      <c r="V22" s="532"/>
      <c r="W22" s="532"/>
      <c r="X22" s="532"/>
      <c r="Y22" s="532"/>
      <c r="Z22" s="532"/>
      <c r="AA22" s="532"/>
      <c r="AB22" s="532"/>
      <c r="AC22" s="532"/>
      <c r="AD22" s="532"/>
      <c r="AE22" s="532"/>
      <c r="AF22" s="532"/>
      <c r="AG22" s="532"/>
      <c r="AH22" s="532"/>
      <c r="AI22" s="532"/>
      <c r="AJ22" s="532"/>
      <c r="AK22" s="532"/>
      <c r="AL22" s="532"/>
      <c r="AM22" s="532"/>
      <c r="AN22" s="532"/>
      <c r="AO22" s="532"/>
      <c r="AP22" s="532"/>
      <c r="AQ22" s="532"/>
      <c r="AR22" s="532"/>
      <c r="AS22" s="532"/>
      <c r="AT22" s="532"/>
      <c r="AU22" s="532"/>
      <c r="AV22" s="532"/>
      <c r="AW22" s="532"/>
      <c r="AX22" s="532"/>
      <c r="AY22" s="532"/>
      <c r="AZ22" s="532"/>
      <c r="BA22" s="532"/>
      <c r="BB22" s="532"/>
      <c r="BC22" s="532"/>
      <c r="BD22" s="532"/>
      <c r="BE22" s="532"/>
      <c r="BI22" s="54" t="s">
        <v>296</v>
      </c>
      <c r="BJ22" s="1233" t="s">
        <v>461</v>
      </c>
      <c r="BK22" s="1233"/>
      <c r="BL22" s="1233"/>
      <c r="BM22" s="1233"/>
      <c r="BN22" s="1233"/>
      <c r="BO22" s="1233"/>
      <c r="BP22" s="1233"/>
      <c r="BQ22" s="1233"/>
      <c r="BR22" s="1233"/>
      <c r="BS22" s="1233"/>
      <c r="BT22" s="1233"/>
      <c r="BU22" s="1233"/>
    </row>
    <row r="23" spans="2:81" ht="15" customHeight="1" thickBot="1">
      <c r="F23" s="337"/>
      <c r="G23" s="338"/>
      <c r="BI23" s="54" t="s">
        <v>300</v>
      </c>
      <c r="BJ23" s="1233" t="s">
        <v>462</v>
      </c>
      <c r="BK23" s="1233"/>
      <c r="BL23" s="1233"/>
      <c r="BM23" s="1233"/>
      <c r="BN23" s="1233"/>
      <c r="BO23" s="1233"/>
      <c r="BP23" s="1233"/>
      <c r="BQ23" s="1233"/>
      <c r="BR23" s="1233"/>
      <c r="BS23" s="1233"/>
      <c r="BT23" s="1233"/>
      <c r="BU23" s="1233"/>
    </row>
    <row r="24" spans="2:81" ht="15" customHeight="1" thickBot="1">
      <c r="B24" s="52"/>
      <c r="F24" s="337"/>
      <c r="G24" s="338"/>
      <c r="AD24" s="336"/>
      <c r="BI24" s="277"/>
      <c r="BJ24" s="277"/>
      <c r="BK24" s="277"/>
      <c r="BL24" s="1148" t="s">
        <v>302</v>
      </c>
      <c r="BM24" s="1149"/>
      <c r="BN24" s="1149"/>
      <c r="BO24" s="1149"/>
      <c r="BP24" s="1151"/>
      <c r="BQ24" s="1148" t="s">
        <v>719</v>
      </c>
      <c r="BR24" s="1149"/>
      <c r="BS24" s="1149"/>
      <c r="BT24" s="1149"/>
      <c r="BU24" s="1150"/>
      <c r="BW24" s="1148" t="s">
        <v>303</v>
      </c>
      <c r="BX24" s="1149"/>
      <c r="BY24" s="1149"/>
      <c r="BZ24" s="1149"/>
      <c r="CA24" s="1149"/>
      <c r="CB24" s="1149"/>
      <c r="CC24" s="1150"/>
    </row>
    <row r="25" spans="2:81" ht="15" customHeight="1">
      <c r="BI25" s="636" t="s">
        <v>23</v>
      </c>
      <c r="BJ25" s="636" t="s">
        <v>37</v>
      </c>
      <c r="BK25" s="636" t="s">
        <v>304</v>
      </c>
      <c r="BL25" s="637" t="s">
        <v>305</v>
      </c>
      <c r="BM25" s="637" t="s">
        <v>310</v>
      </c>
      <c r="BN25" s="637" t="s">
        <v>311</v>
      </c>
      <c r="BO25" s="278" t="s">
        <v>312</v>
      </c>
      <c r="BP25" s="637" t="s">
        <v>313</v>
      </c>
      <c r="BQ25" s="637" t="s">
        <v>305</v>
      </c>
      <c r="BR25" s="637" t="s">
        <v>715</v>
      </c>
      <c r="BS25" s="637" t="s">
        <v>716</v>
      </c>
      <c r="BT25" s="278" t="s">
        <v>717</v>
      </c>
      <c r="BU25" s="637" t="s">
        <v>718</v>
      </c>
      <c r="BW25" s="279" t="s">
        <v>314</v>
      </c>
      <c r="BX25" s="279" t="s">
        <v>23</v>
      </c>
      <c r="BY25" s="280" t="s">
        <v>315</v>
      </c>
      <c r="BZ25" s="279" t="s">
        <v>122</v>
      </c>
      <c r="CA25" s="279" t="s">
        <v>316</v>
      </c>
      <c r="CB25" s="279" t="s">
        <v>317</v>
      </c>
      <c r="CC25" s="279" t="s">
        <v>318</v>
      </c>
    </row>
    <row r="26" spans="2:81" ht="15" customHeight="1">
      <c r="BI26" s="638" t="s">
        <v>319</v>
      </c>
      <c r="BJ26" s="638">
        <v>1</v>
      </c>
      <c r="BK26" s="638" t="s">
        <v>320</v>
      </c>
      <c r="BL26" s="690">
        <v>1.6588000000000001</v>
      </c>
      <c r="BM26" s="689">
        <v>1.8</v>
      </c>
      <c r="BN26" s="653">
        <f>IF(BM26="","",BL26/BM26)</f>
        <v>0.92155555555555557</v>
      </c>
      <c r="BO26" s="289">
        <f>IF(SUM(BM26:BM28=0),0,SUM(BL26:BL28)/SUM(BM26:BM28))</f>
        <v>0.93131409492010508</v>
      </c>
      <c r="BP26" s="821">
        <v>0.9</v>
      </c>
      <c r="BQ26" s="690">
        <v>1.7509999999999999</v>
      </c>
      <c r="BR26" s="689">
        <v>1.863</v>
      </c>
      <c r="BS26" s="653">
        <f>IF(BR26="","",BQ26/BR26)</f>
        <v>0.93988191089640361</v>
      </c>
      <c r="BT26" s="289">
        <f>IF(SUM(BR26:BR28=0),0,SUM(BQ26:BQ28)/SUM(BR26:BR28))</f>
        <v>0.93988191089640361</v>
      </c>
      <c r="BU26" s="821">
        <v>0.9</v>
      </c>
      <c r="BX26" s="642" t="str">
        <f>TEXT(CONCATENATE(CC26,"/01/20",CB26),"MMM")</f>
        <v>Oct</v>
      </c>
      <c r="BY26" s="643">
        <f>IF(CB26=$CB38,SUMIF($BI26:$BI37,$BX26,$BR26:$BR37),SUMIF($BI26:$BI37,$BX26,$BM26:$BM37))</f>
        <v>1.8</v>
      </c>
      <c r="BZ26" s="821">
        <f>IF(IF(CB26=CB38,SUMIF(BI26:BI37,$BX26,BU26:BU37),SUMIF(BI26:BI37,$BX26,BP26:BP37))=0,NA(),IF(CB26=CB38,SUMIF(BI26:BI37,$BX26,BU26:BU37),SUMIF(BI26:BI37,$BX26,BP26:BP37)))</f>
        <v>0.9</v>
      </c>
      <c r="CA26" s="644">
        <f>IF(IF(CB26=CB38,SUMIF(BI26:BI37,$BX26,BS26:BS37),SUMIF(BI26:BI37,$BX26,BN26:BN37))=0,NA(),IF(CB26=CB38,SUMIF(BI26:BI37,$BX26,BS26:BS37),SUMIF(BI26:BI37,$BX26,BN26:BN37)))</f>
        <v>0.92155555555555557</v>
      </c>
      <c r="CB26" s="645">
        <v>23</v>
      </c>
      <c r="CC26" s="645">
        <f>IF(CC27-1&lt;1,CC27+11,CC27-1)</f>
        <v>10</v>
      </c>
    </row>
    <row r="27" spans="2:81" ht="15" customHeight="1">
      <c r="BI27" s="638" t="s">
        <v>321</v>
      </c>
      <c r="BJ27" s="638">
        <v>2</v>
      </c>
      <c r="BK27" s="638" t="s">
        <v>320</v>
      </c>
      <c r="BL27" s="690">
        <v>0.63480000000000003</v>
      </c>
      <c r="BM27" s="689">
        <v>0.67900000000000005</v>
      </c>
      <c r="BN27" s="653">
        <f t="shared" ref="BN27:BN37" si="0">IF(BM27="","",BL27/BM27)</f>
        <v>0.93490427098674522</v>
      </c>
      <c r="BO27" s="854"/>
      <c r="BP27" s="821">
        <v>0.9</v>
      </c>
      <c r="BQ27" s="690"/>
      <c r="BR27" s="689"/>
      <c r="BS27" s="653" t="str">
        <f t="shared" ref="BS27:BS37" si="1">IF(BR27="","",BQ27/BR27)</f>
        <v/>
      </c>
      <c r="BT27" s="854"/>
      <c r="BU27" s="821">
        <v>0.9</v>
      </c>
      <c r="BX27" s="642" t="str">
        <f t="shared" ref="BX27:BX37" si="2">TEXT(CONCATENATE(CC27,"/01/20",CB27),"MMM")</f>
        <v>Nov</v>
      </c>
      <c r="BY27" s="643">
        <f>IF(CB27=$CB38,SUMIF($BI26:$BI37,$BX27,$BR26:$BR37),SUMIF($BI26:$BI37,$BX27,$BM26:$BM37))</f>
        <v>0.67900000000000005</v>
      </c>
      <c r="BZ27" s="821">
        <f>IF(IF(CB27=CB38,SUMIF(BI26:BI37,$BX27,BU26:BU37),SUMIF(BI26:BI37,$BX27,BP26:BP37))=0,NA(),IF(CB27=CB38,SUMIF(BI26:BI37,$BX27,BU26:BU37),SUMIF(BI26:BI37,$BX27,BP26:BP37)))</f>
        <v>0.9</v>
      </c>
      <c r="CA27" s="644">
        <f>IF(IF(CB27=CB38,SUMIF(BI26:BI37,$BX27,BS26:BS37),SUMIF(BI26:BI37,$BX27,BN26:BN37))=0,NA(),IF(CB27=CB38,SUMIF(BI26:BI37,$BX27,BS26:BS37),SUMIF(BI26:BI37,$BX27,BN26:BN37)))</f>
        <v>0.93490427098674522</v>
      </c>
      <c r="CB27" s="645">
        <v>23</v>
      </c>
      <c r="CC27" s="645">
        <f>IF(CC28-1&lt;1,CC28+11,CC28-1)</f>
        <v>11</v>
      </c>
    </row>
    <row r="28" spans="2:81" ht="15" customHeight="1">
      <c r="BI28" s="638" t="s">
        <v>322</v>
      </c>
      <c r="BJ28" s="638">
        <v>3</v>
      </c>
      <c r="BK28" s="638" t="s">
        <v>320</v>
      </c>
      <c r="BL28" s="690">
        <v>1.6113999999999999</v>
      </c>
      <c r="BM28" s="689">
        <v>1.714</v>
      </c>
      <c r="BN28" s="653">
        <f t="shared" si="0"/>
        <v>0.94014002333722291</v>
      </c>
      <c r="BO28" s="854"/>
      <c r="BP28" s="821">
        <v>0.9</v>
      </c>
      <c r="BQ28" s="690"/>
      <c r="BR28" s="689"/>
      <c r="BS28" s="653" t="str">
        <f t="shared" si="1"/>
        <v/>
      </c>
      <c r="BT28" s="854"/>
      <c r="BU28" s="821">
        <v>0.9</v>
      </c>
      <c r="BX28" s="642" t="str">
        <f t="shared" si="2"/>
        <v>Dec</v>
      </c>
      <c r="BY28" s="643">
        <f>IF(CB28=$CB38,SUMIF($BI26:$BI37,$BX28,$BR26:$BR37),SUMIF($BI26:$BI37,$BX28,$BM26:$BM37))</f>
        <v>1.714</v>
      </c>
      <c r="BZ28" s="821">
        <f>IF(IF(CB28=CB38,SUMIF(BI26:BI37,$BX28,BU26:BU37),SUMIF(BI26:BI37,$BX28,BP26:BP37))=0,NA(),IF(CB28=CB38,SUMIF(BI26:BI37,$BX28,BU26:BU37),SUMIF(BI26:BI37,$BX28,BP26:BP37)))</f>
        <v>0.9</v>
      </c>
      <c r="CA28" s="644">
        <f>IF(IF(CB28=CB38,SUMIF(BI26:BI37,$BX28,BS26:BS37),SUMIF(BI26:BI37,$BX28,BN26:BN37))=0,NA(),IF(CB28=CB38,SUMIF(BI26:BI37,$BX28,BS26:BS37),SUMIF(BI26:BI37,$BX28,BN26:BN37)))</f>
        <v>0.94014002333722291</v>
      </c>
      <c r="CB28" s="645">
        <v>23</v>
      </c>
      <c r="CC28" s="645">
        <f t="shared" ref="CC28:CC36" si="3">IF(CC29-1&lt;1,CC29+11,CC29-1)</f>
        <v>12</v>
      </c>
    </row>
    <row r="29" spans="2:81" ht="15" customHeight="1">
      <c r="BI29" s="638" t="s">
        <v>323</v>
      </c>
      <c r="BJ29" s="638">
        <v>4</v>
      </c>
      <c r="BK29" s="638" t="s">
        <v>324</v>
      </c>
      <c r="BL29" s="690">
        <v>1.8086</v>
      </c>
      <c r="BM29" s="689">
        <v>1.8819999999999999</v>
      </c>
      <c r="BN29" s="653">
        <f t="shared" si="0"/>
        <v>0.96099893730074393</v>
      </c>
      <c r="BO29" s="289">
        <f>IF(SUM(BM29:BM31=0),0,SUM(BL29:BL31)/SUM(BM29:BM31))</f>
        <v>0.95068069306930691</v>
      </c>
      <c r="BP29" s="821">
        <v>0.9</v>
      </c>
      <c r="BQ29" s="690"/>
      <c r="BR29" s="689"/>
      <c r="BS29" s="653" t="str">
        <f t="shared" si="1"/>
        <v/>
      </c>
      <c r="BT29" s="289">
        <f>IF(SUM(BR29:BR31=0),0,SUM(BQ29:BQ31)/SUM(BR29:BR31))</f>
        <v>0</v>
      </c>
      <c r="BU29" s="821">
        <v>0.9</v>
      </c>
      <c r="BX29" s="642" t="str">
        <f t="shared" si="2"/>
        <v>Jan</v>
      </c>
      <c r="BY29" s="643">
        <f>IF(CB29=$CB38,SUMIF($BI26:$BI37,$BX29,$BR26:$BR37),SUMIF($BI26:$BI37,$BX29,$BM26:$BM37))</f>
        <v>1.8819999999999999</v>
      </c>
      <c r="BZ29" s="821">
        <f>IF(IF(CB29=CB38,SUMIF(BI26:BI37,$BX29,BU26:BU37),SUMIF(BI26:BI37,$BX29,BP26:BP37))=0,NA(),IF(CB29=CB38,SUMIF(BI26:BI37,$BX29,BU26:BU37),SUMIF(BI26:BI37,$BX29,BP26:BP37)))</f>
        <v>0.9</v>
      </c>
      <c r="CA29" s="644">
        <f>IF(IF(CB29=CB38,SUMIF(BI26:BI37,$BX29,BS26:BS37),SUMIF(BI26:BI37,$BX29,BN26:BN37))=0,NA(),IF(CB29=CB38,SUMIF(BI26:BI37,$BX29,BS26:BS37),SUMIF(BI26:BI37,$BX29,BN26:BN37)))</f>
        <v>0.96099893730074393</v>
      </c>
      <c r="CB29" s="645">
        <v>23</v>
      </c>
      <c r="CC29" s="645">
        <f t="shared" si="3"/>
        <v>1</v>
      </c>
    </row>
    <row r="30" spans="2:81" ht="15" customHeight="1">
      <c r="BI30" s="638" t="s">
        <v>325</v>
      </c>
      <c r="BJ30" s="638">
        <v>5</v>
      </c>
      <c r="BK30" s="638" t="s">
        <v>324</v>
      </c>
      <c r="BL30" s="690">
        <v>1.9528000000000001</v>
      </c>
      <c r="BM30" s="822">
        <v>2.0710000000000002</v>
      </c>
      <c r="BN30" s="653">
        <f t="shared" si="0"/>
        <v>0.94292612264606468</v>
      </c>
      <c r="BO30" s="854"/>
      <c r="BP30" s="821">
        <v>0.9</v>
      </c>
      <c r="BQ30" s="690"/>
      <c r="BR30" s="822"/>
      <c r="BS30" s="653" t="str">
        <f t="shared" si="1"/>
        <v/>
      </c>
      <c r="BT30" s="854"/>
      <c r="BU30" s="821">
        <v>0.9</v>
      </c>
      <c r="BX30" s="642" t="str">
        <f t="shared" si="2"/>
        <v>Feb</v>
      </c>
      <c r="BY30" s="643">
        <f>IF(CB30=$CB38,SUMIF($BI26:$BI37,$BX30,$BR26:$BR37),SUMIF($BI26:$BI37,$BX30,$BM26:$BM37))</f>
        <v>2.0710000000000002</v>
      </c>
      <c r="BZ30" s="821">
        <f>IF(IF(CB30=CB38,SUMIF(BI26:BI37,$BX30,BU26:BU37),SUMIF(BI26:BI37,$BX30,BP26:BP37))=0,NA(),IF(CB30=CB38,SUMIF(BI26:BI37,$BX30,BU26:BU37),SUMIF(BI26:BI37,$BX30,BP26:BP37)))</f>
        <v>0.9</v>
      </c>
      <c r="CA30" s="644">
        <f>IF(IF(CB30=CB38,SUMIF(BI26:BI37,$BX30,BS26:BS37),SUMIF(BI26:BI37,$BX30,BN26:BN37))=0,NA(),IF(CB30=CB38,SUMIF(BI26:BI37,$BX30,BS26:BS37),SUMIF(BI26:BI37,$BX30,BN26:BN37)))</f>
        <v>0.94292612264606468</v>
      </c>
      <c r="CB30" s="645">
        <v>23</v>
      </c>
      <c r="CC30" s="645">
        <f t="shared" si="3"/>
        <v>2</v>
      </c>
    </row>
    <row r="31" spans="2:81" ht="15" customHeight="1">
      <c r="BI31" s="638" t="s">
        <v>326</v>
      </c>
      <c r="BJ31" s="638">
        <v>6</v>
      </c>
      <c r="BK31" s="638" t="s">
        <v>324</v>
      </c>
      <c r="BL31" s="690">
        <v>2.3837999999999999</v>
      </c>
      <c r="BM31" s="822">
        <v>2.5110000000000001</v>
      </c>
      <c r="BN31" s="653">
        <f t="shared" si="0"/>
        <v>0.94934289127837512</v>
      </c>
      <c r="BO31" s="854"/>
      <c r="BP31" s="821">
        <v>0.9</v>
      </c>
      <c r="BQ31" s="690"/>
      <c r="BR31" s="689"/>
      <c r="BS31" s="653" t="str">
        <f t="shared" si="1"/>
        <v/>
      </c>
      <c r="BT31" s="854"/>
      <c r="BU31" s="821">
        <v>0.9</v>
      </c>
      <c r="BX31" s="642" t="str">
        <f t="shared" si="2"/>
        <v>Mar</v>
      </c>
      <c r="BY31" s="643">
        <f>IF(CB31=$CB38,SUMIF($BI26:$BI37,$BX31,$BR26:$BR37),SUMIF($BI26:$BI37,$BX31,$BM26:$BM37))</f>
        <v>2.5110000000000001</v>
      </c>
      <c r="BZ31" s="821">
        <f>IF(IF(CB31=CB38,SUMIF(BI26:BI37,$BX31,BU26:BU37),SUMIF(BI26:BI37,$BX31,BP26:BP37))=0,NA(),IF(CB31=CB38,SUMIF(BI26:BI37,$BX31,BU26:BU37),SUMIF(BI26:BI37,$BX31,BP26:BP37)))</f>
        <v>0.9</v>
      </c>
      <c r="CA31" s="644">
        <f>IF(IF(CB31=CB38,SUMIF(BI26:BI37,$BX31,BS26:BS37),SUMIF(BI26:BI37,$BX31,BN26:BN37))=0,NA(),IF(CB31=CB38,SUMIF(BI26:BI37,$BX31,BS26:BS37),SUMIF(BI26:BI37,$BX31,BN26:BN37)))</f>
        <v>0.94934289127837512</v>
      </c>
      <c r="CB31" s="645">
        <v>23</v>
      </c>
      <c r="CC31" s="645">
        <f t="shared" si="3"/>
        <v>3</v>
      </c>
    </row>
    <row r="32" spans="2:81" ht="15" customHeight="1">
      <c r="BI32" s="638" t="s">
        <v>327</v>
      </c>
      <c r="BJ32" s="638">
        <v>7</v>
      </c>
      <c r="BK32" s="638" t="s">
        <v>328</v>
      </c>
      <c r="BL32" s="690">
        <v>1.8966000000000001</v>
      </c>
      <c r="BM32" s="822">
        <v>2.0110000000000001</v>
      </c>
      <c r="BN32" s="653">
        <f t="shared" si="0"/>
        <v>0.94311287916459474</v>
      </c>
      <c r="BO32" s="289">
        <f>IF(SUM(BM32:BM34=0),0,SUM(BL32:BL34)/SUM(BM32:BM34))</f>
        <v>0.94889693776753381</v>
      </c>
      <c r="BP32" s="821">
        <v>0.9</v>
      </c>
      <c r="BQ32" s="690"/>
      <c r="BR32" s="822"/>
      <c r="BS32" s="653" t="str">
        <f t="shared" si="1"/>
        <v/>
      </c>
      <c r="BT32" s="289">
        <f>IF(SUM(BR32:BR34=0),0,SUM(BQ32:BQ34)/SUM(BR32:BR34))</f>
        <v>0</v>
      </c>
      <c r="BU32" s="821">
        <v>0.9</v>
      </c>
      <c r="BX32" s="642" t="str">
        <f t="shared" si="2"/>
        <v>Apr</v>
      </c>
      <c r="BY32" s="643">
        <f>IF(CB32=$CB38,SUMIF($BI26:$BI37,$BX32,$BR26:$BR37),SUMIF($BI26:$BI37,$BX32,$BM26:$BM37))</f>
        <v>2.0110000000000001</v>
      </c>
      <c r="BZ32" s="821">
        <f>IF(IF(CB32=CB38,SUMIF(BI26:BI37,$BX32,BU26:BU37),SUMIF(BI26:BI37,$BX32,BP26:BP37))=0,NA(),IF(CB32=CB38,SUMIF(BI26:BI37,$BX32,BU26:BU37),SUMIF(BI26:BI37,$BX32,BP26:BP37)))</f>
        <v>0.9</v>
      </c>
      <c r="CA32" s="644">
        <f>IF(IF(CB32=CB38,SUMIF(BI26:BI37,$BX32,BS26:BS37),SUMIF(BI26:BI37,$BX32,BN26:BN37))=0,NA(),IF(CB32=CB38,SUMIF(BI26:BI37,$BX32,BS26:BS37),SUMIF(BI26:BI37,$BX32,BN26:BN37)))</f>
        <v>0.94311287916459474</v>
      </c>
      <c r="CB32" s="645">
        <v>23</v>
      </c>
      <c r="CC32" s="645">
        <f t="shared" si="3"/>
        <v>4</v>
      </c>
    </row>
    <row r="33" spans="1:81" ht="15" customHeight="1">
      <c r="BI33" s="638" t="s">
        <v>329</v>
      </c>
      <c r="BJ33" s="638">
        <v>8</v>
      </c>
      <c r="BK33" s="638" t="s">
        <v>328</v>
      </c>
      <c r="BL33" s="690">
        <v>1.7</v>
      </c>
      <c r="BM33" s="822">
        <v>1.794</v>
      </c>
      <c r="BN33" s="653">
        <f t="shared" si="0"/>
        <v>0.94760312151616499</v>
      </c>
      <c r="BO33" s="854"/>
      <c r="BP33" s="821">
        <v>0.9</v>
      </c>
      <c r="BQ33" s="690"/>
      <c r="BR33" s="822"/>
      <c r="BS33" s="653" t="str">
        <f t="shared" si="1"/>
        <v/>
      </c>
      <c r="BT33" s="854"/>
      <c r="BU33" s="821">
        <v>0.9</v>
      </c>
      <c r="BX33" s="642" t="str">
        <f t="shared" si="2"/>
        <v>May</v>
      </c>
      <c r="BY33" s="643">
        <f>IF(CB33=$CB38,SUMIF($BI26:$BI37,$BX33,$BR26:$BR37),SUMIF($BI26:$BI37,$BX33,$BM26:$BM37))</f>
        <v>1.794</v>
      </c>
      <c r="BZ33" s="821">
        <f>IF(IF(CB33=CB38,SUMIF(BI26:BI37,$BX33,BU26:BU37),SUMIF(BI26:BI37,$BX33,BP26:BP37))=0,NA(),IF(CB33=CB38,SUMIF(BI26:BI37,$BX33,BU26:BU37),SUMIF(BI26:BI37,$BX33,BP26:BP37)))</f>
        <v>0.9</v>
      </c>
      <c r="CA33" s="644">
        <f>IF(IF(CB33=CB38,SUMIF(BI26:BI37,$BX33,BS26:BS37),SUMIF(BI26:BI37,$BX33,BN26:BN37))=0,NA(),IF(CB33=CB38,SUMIF(BI26:BI37,$BX33,BS26:BS37),SUMIF(BI26:BI37,$BX33,BN26:BN37)))</f>
        <v>0.94760312151616499</v>
      </c>
      <c r="CB33" s="645">
        <v>23</v>
      </c>
      <c r="CC33" s="645">
        <f t="shared" si="3"/>
        <v>5</v>
      </c>
    </row>
    <row r="34" spans="1:81" ht="15" customHeight="1">
      <c r="BI34" s="638" t="s">
        <v>331</v>
      </c>
      <c r="BJ34" s="638">
        <v>9</v>
      </c>
      <c r="BK34" s="638" t="s">
        <v>328</v>
      </c>
      <c r="BL34" s="690">
        <v>2.1669999999999998</v>
      </c>
      <c r="BM34" s="822">
        <v>2.2690000000000001</v>
      </c>
      <c r="BN34" s="653">
        <f t="shared" si="0"/>
        <v>0.95504627589246349</v>
      </c>
      <c r="BO34" s="854"/>
      <c r="BP34" s="821">
        <v>0.9</v>
      </c>
      <c r="BQ34" s="690"/>
      <c r="BR34" s="822"/>
      <c r="BS34" s="653" t="str">
        <f t="shared" si="1"/>
        <v/>
      </c>
      <c r="BT34" s="854"/>
      <c r="BU34" s="821">
        <v>0.9</v>
      </c>
      <c r="BX34" s="642" t="str">
        <f t="shared" si="2"/>
        <v>Jun</v>
      </c>
      <c r="BY34" s="643">
        <f>IF(CB34=$CB38,SUMIF($BI26:$BI37,$BX34,$BR26:$BR37),SUMIF($BI26:$BI37,$BX34,$BM26:$BM37))</f>
        <v>2.2690000000000001</v>
      </c>
      <c r="BZ34" s="821">
        <f>IF(IF(CB34=CB38,SUMIF(BI26:BI37,$BX34,BU26:BU37),SUMIF(BI26:BI37,$BX34,BP26:BP37))=0,NA(),IF(CB34=CB38,SUMIF(BI26:BI37,$BX34,BU26:BU37),SUMIF(BI26:BI37,$BX34,BP26:BP37)))</f>
        <v>0.9</v>
      </c>
      <c r="CA34" s="644">
        <f>IF(IF(CB34=CB38,SUMIF(BI26:BI37,$BX34,BS26:BS37),SUMIF(BI26:BI37,$BX34,BN26:BN37))=0,NA(),IF(CB34=CB38,SUMIF(BI26:BI37,$BX34,BS26:BS37),SUMIF(BI26:BI37,$BX34,BN26:BN37)))</f>
        <v>0.95504627589246349</v>
      </c>
      <c r="CB34" s="645">
        <v>23</v>
      </c>
      <c r="CC34" s="645">
        <f t="shared" si="3"/>
        <v>6</v>
      </c>
    </row>
    <row r="35" spans="1:81" ht="15" customHeight="1">
      <c r="BH35" s="223"/>
      <c r="BI35" s="638" t="s">
        <v>337</v>
      </c>
      <c r="BJ35" s="638">
        <v>10</v>
      </c>
      <c r="BK35" s="638" t="s">
        <v>338</v>
      </c>
      <c r="BL35" s="690">
        <v>1.839</v>
      </c>
      <c r="BM35" s="822">
        <v>1.9139999999999999</v>
      </c>
      <c r="BN35" s="653">
        <f t="shared" si="0"/>
        <v>0.96081504702194365</v>
      </c>
      <c r="BO35" s="289">
        <f>IF(SUM(BM35:BM37=0),0,SUM(BL35:BL37)/SUM(BM35:BM37))</f>
        <v>0.94963533782854004</v>
      </c>
      <c r="BP35" s="821">
        <v>0.9</v>
      </c>
      <c r="BQ35" s="690"/>
      <c r="BR35" s="822"/>
      <c r="BS35" s="653" t="str">
        <f t="shared" si="1"/>
        <v/>
      </c>
      <c r="BT35" s="289">
        <f>IF(SUM(BR35:BR37=0),0,SUM(BQ35:BQ37)/SUM(BR35:BR37))</f>
        <v>0</v>
      </c>
      <c r="BU35" s="821">
        <v>0.9</v>
      </c>
      <c r="BX35" s="642" t="str">
        <f t="shared" si="2"/>
        <v>Jul</v>
      </c>
      <c r="BY35" s="643">
        <f>IF(CB35=$CB38,SUMIF($BI26:$BI37,$BX35,$BR26:$BR37),SUMIF($BI26:$BI37,$BX35,$BM26:$BM37))</f>
        <v>1.9139999999999999</v>
      </c>
      <c r="BZ35" s="821">
        <f>IF(IF(CB35=CB38,SUMIF(BI26:BI37,$BX35,BU26:BU37),SUMIF(BI26:BI37,$BX35,BP26:BP37))=0,NA(),IF(CB35=CB38,SUMIF(BI26:BI37,$BX35,BU26:BU37),SUMIF(BI26:BI37,$BX35,BP26:BP37)))</f>
        <v>0.9</v>
      </c>
      <c r="CA35" s="644">
        <f>IF(IF(CB35=CB38,SUMIF(BI26:BI37,$BX35,BS26:BS37),SUMIF(BI26:BI37,$BX35,BN26:BN37))=0,NA(),IF(CB35=CB38,SUMIF(BI26:BI37,$BX35,BS26:BS37),SUMIF(BI26:BI37,$BX35,BN26:BN37)))</f>
        <v>0.96081504702194365</v>
      </c>
      <c r="CB35" s="645">
        <v>23</v>
      </c>
      <c r="CC35" s="645">
        <f t="shared" si="3"/>
        <v>7</v>
      </c>
    </row>
    <row r="36" spans="1:81" ht="15" customHeight="1">
      <c r="BH36" s="223"/>
      <c r="BI36" s="638" t="s">
        <v>343</v>
      </c>
      <c r="BJ36" s="638">
        <v>11</v>
      </c>
      <c r="BK36" s="638" t="s">
        <v>338</v>
      </c>
      <c r="BL36" s="690">
        <v>2.0249999999999999</v>
      </c>
      <c r="BM36" s="822">
        <v>2.1259999999999999</v>
      </c>
      <c r="BN36" s="653">
        <f t="shared" si="0"/>
        <v>0.95249294449670741</v>
      </c>
      <c r="BO36" s="854"/>
      <c r="BP36" s="821">
        <v>0.9</v>
      </c>
      <c r="BQ36" s="690"/>
      <c r="BR36" s="822"/>
      <c r="BS36" s="653" t="str">
        <f t="shared" si="1"/>
        <v/>
      </c>
      <c r="BT36" s="854"/>
      <c r="BU36" s="821">
        <v>0.9</v>
      </c>
      <c r="BX36" s="642" t="str">
        <f t="shared" si="2"/>
        <v>Aug</v>
      </c>
      <c r="BY36" s="643">
        <f>IF(CB36=$CB38,SUMIF($BI26:$BI37,$BX36,$BR26:$BR37),SUMIF($BI26:$BI37,$BX36,$BM26:$BM37))</f>
        <v>2.1259999999999999</v>
      </c>
      <c r="BZ36" s="821">
        <f>IF(IF(CB36=CB38,SUMIF(BI26:BI37,$BX36,BU26:BU37),SUMIF(BI26:BI37,$BX36,BP26:BP37))=0,NA(),IF(CB36=CB38,SUMIF(BI26:BI37,$BX36,BU26:BU37),SUMIF(BI26:BI37,$BX36,BP26:BP37)))</f>
        <v>0.9</v>
      </c>
      <c r="CA36" s="644">
        <f>IF(IF(CB36=CB38,SUMIF(BI26:BI37,$BX36,BS26:BS37),SUMIF(BI26:BI37,$BX36,BN26:BN37))=0,NA(),IF(CB36=CB38,SUMIF(BI26:BI37,$BX36,BS26:BS37),SUMIF(BI26:BI37,$BX36,BN26:BN37)))</f>
        <v>0.95249294449670741</v>
      </c>
      <c r="CB36" s="645">
        <v>23</v>
      </c>
      <c r="CC36" s="645">
        <f t="shared" si="3"/>
        <v>8</v>
      </c>
    </row>
    <row r="37" spans="1:81" ht="15" customHeight="1">
      <c r="BH37" s="223"/>
      <c r="BI37" s="638" t="s">
        <v>344</v>
      </c>
      <c r="BJ37" s="638">
        <v>12</v>
      </c>
      <c r="BK37" s="638" t="s">
        <v>338</v>
      </c>
      <c r="BL37" s="690">
        <v>3.0369999999999999</v>
      </c>
      <c r="BM37" s="822">
        <v>3.2269999999999999</v>
      </c>
      <c r="BN37" s="653">
        <f t="shared" si="0"/>
        <v>0.94112178493957233</v>
      </c>
      <c r="BO37" s="854"/>
      <c r="BP37" s="821">
        <v>0.9</v>
      </c>
      <c r="BQ37" s="690"/>
      <c r="BR37" s="822"/>
      <c r="BS37" s="653" t="str">
        <f t="shared" si="1"/>
        <v/>
      </c>
      <c r="BT37" s="854"/>
      <c r="BU37" s="821">
        <v>0.9</v>
      </c>
      <c r="BX37" s="642" t="str">
        <f t="shared" si="2"/>
        <v>Sep</v>
      </c>
      <c r="BY37" s="643">
        <f>IF(CB37=$CB38,SUMIF($BI26:$BI37,$BX37,$BR26:$BR37),SUMIF($BI26:$BI37,$BX37,$BM26:$BM37))</f>
        <v>3.2269999999999999</v>
      </c>
      <c r="BZ37" s="821">
        <f>IF(IF(CB37=CB38,SUMIF(BI26:BI37,$BX37,BU26:BU37),SUMIF(BI26:BI37,$BX37,BP26:BP37))=0,NA(),IF(CB37=CB38,SUMIF(BI26:BI37,$BX37,BU26:BU37),SUMIF(BI26:BI37,$BX37,BP26:BP37)))</f>
        <v>0.9</v>
      </c>
      <c r="CA37" s="644">
        <f>IF(IF(CB37=CB38,SUMIF(BI26:BI37,$BX37,BS26:BS37),SUMIF(BI26:BI37,$BX37,BN26:BN37))=0,NA(),IF(CB37=CB38,SUMIF(BI26:BI37,$BX37,BS26:BS37),SUMIF(BI26:BI37,$BX37,BN26:BN37)))</f>
        <v>0.94112178493957233</v>
      </c>
      <c r="CB37" s="645">
        <v>23</v>
      </c>
      <c r="CC37" s="645">
        <f>IF(CC38-1&lt;1,CC38+11,CC38-1)</f>
        <v>9</v>
      </c>
    </row>
    <row r="38" spans="1:81" ht="15" customHeight="1">
      <c r="BF38" s="227"/>
      <c r="BH38" s="223"/>
      <c r="BJ38" s="277"/>
      <c r="BK38" s="277"/>
      <c r="BL38" s="277"/>
      <c r="BM38" s="277"/>
      <c r="BN38" s="277"/>
      <c r="BO38" s="277"/>
      <c r="BP38" s="277"/>
      <c r="BQ38" s="277"/>
      <c r="BR38" s="277"/>
      <c r="BS38" s="277"/>
      <c r="BT38" s="277"/>
      <c r="BW38" s="647" t="str">
        <f>Cover!$M$34</f>
        <v>OCT FY-24</v>
      </c>
      <c r="BX38" s="642" t="str">
        <f>TEXT(CONCATENATE(CC38,"/01/20",CB38),"MMM")</f>
        <v>Oct</v>
      </c>
      <c r="BY38" s="643">
        <f>SUMIF($BI26:$BI37,$BX38,$BR26:$BR37)</f>
        <v>1.863</v>
      </c>
      <c r="BZ38" s="821">
        <f>IF(IF(CB38=CB38,SUMIF(BI26:BI37,$BX38,BU26:BU37),SUMIF(BI26:BI37,$BX38,BP26:BP37))=0,NA(),IF(CB38=CB38,SUMIF(BI26:BI37,$BX38,BU26:BU37),SUMIF(BI26:BI37,$BX38,BP26:BP37)))</f>
        <v>0.9</v>
      </c>
      <c r="CA38" s="644">
        <f>IF(SUMIF($BI26:$BI37,$BX38,$BS26:$BS37)=0,NA(),SUMIF($BI26:$BI37,$BX38,$BS26:$BS37))</f>
        <v>0.93988191089640361</v>
      </c>
      <c r="CB38" s="645">
        <v>24</v>
      </c>
      <c r="CC38" s="645">
        <f>MONTH(DATEVALUE(LEFT(BW38,3)&amp;" 1"))</f>
        <v>10</v>
      </c>
    </row>
    <row r="39" spans="1:81" ht="15" customHeight="1">
      <c r="BH39" s="223"/>
      <c r="BI39" s="402"/>
      <c r="BJ39" s="37"/>
      <c r="BK39" s="37"/>
      <c r="BL39" s="37"/>
      <c r="BM39" s="37"/>
      <c r="BN39" s="37"/>
      <c r="BO39" s="37"/>
      <c r="BP39" s="37"/>
      <c r="BQ39" s="37"/>
      <c r="BR39" s="37"/>
      <c r="BS39" s="37"/>
      <c r="BT39" s="37"/>
      <c r="BU39" s="37"/>
    </row>
    <row r="40" spans="1:81" ht="15" customHeight="1">
      <c r="BH40" s="223"/>
      <c r="BI40" s="54" t="s">
        <v>292</v>
      </c>
      <c r="BJ40" s="1116" t="s">
        <v>465</v>
      </c>
      <c r="BK40" s="1116"/>
      <c r="BL40" s="1116"/>
      <c r="BM40" s="1116"/>
      <c r="BN40" s="1116"/>
      <c r="BO40" s="1116"/>
      <c r="BP40" s="1116"/>
      <c r="BQ40" s="1116"/>
      <c r="BR40" s="1116"/>
      <c r="BS40" s="1116"/>
      <c r="BT40" s="1116"/>
      <c r="BU40" s="1116"/>
      <c r="BY40" s="270"/>
      <c r="BZ40" s="270"/>
      <c r="CA40" s="270"/>
      <c r="CB40" s="270"/>
      <c r="CC40" s="270"/>
    </row>
    <row r="41" spans="1:81" customFormat="1" ht="15" customHeight="1">
      <c r="A41" s="6"/>
      <c r="B41" s="267" t="s">
        <v>242</v>
      </c>
      <c r="C41" s="267"/>
      <c r="D41" s="267"/>
      <c r="E41" s="334"/>
      <c r="F41" s="326"/>
      <c r="G41" s="326"/>
      <c r="H41" s="326"/>
      <c r="I41" s="326"/>
      <c r="J41" s="326"/>
      <c r="K41" s="326"/>
      <c r="L41" s="326"/>
      <c r="M41" s="326"/>
      <c r="N41" s="326"/>
      <c r="O41" s="326"/>
      <c r="P41" s="326"/>
      <c r="Q41" s="326"/>
      <c r="R41" s="326"/>
      <c r="S41" s="326"/>
      <c r="T41" s="326"/>
      <c r="U41" s="326"/>
      <c r="V41" s="326"/>
      <c r="W41" s="326"/>
      <c r="X41" s="326"/>
      <c r="Y41" s="326"/>
      <c r="Z41" s="326"/>
      <c r="AA41" s="326"/>
      <c r="AB41" s="326"/>
      <c r="AC41" s="37"/>
      <c r="AD41" s="37"/>
      <c r="AE41" s="267" t="s">
        <v>242</v>
      </c>
      <c r="AF41" s="267"/>
      <c r="AG41" s="267"/>
      <c r="AH41" s="334"/>
      <c r="AI41" s="326"/>
      <c r="AJ41" s="326"/>
      <c r="AK41" s="326"/>
      <c r="AL41" s="326"/>
      <c r="AM41" s="326"/>
      <c r="AN41" s="326"/>
      <c r="AO41" s="326"/>
      <c r="AP41" s="326"/>
      <c r="AQ41" s="326"/>
      <c r="AR41" s="326"/>
      <c r="AS41" s="326"/>
      <c r="AT41" s="326"/>
      <c r="AU41" s="326"/>
      <c r="AV41" s="326"/>
      <c r="AW41" s="326"/>
      <c r="AX41" s="326"/>
      <c r="AY41" s="326"/>
      <c r="AZ41" s="326"/>
      <c r="BA41" s="326"/>
      <c r="BB41" s="326"/>
      <c r="BC41" s="326"/>
      <c r="BD41" s="326"/>
      <c r="BE41" s="326"/>
      <c r="BF41" s="6"/>
      <c r="BH41" s="223"/>
      <c r="BI41" s="54" t="s">
        <v>296</v>
      </c>
      <c r="BJ41" s="283" t="s">
        <v>472</v>
      </c>
      <c r="BK41" s="283"/>
      <c r="BL41" s="283"/>
      <c r="BM41" s="283"/>
      <c r="BN41" s="283"/>
      <c r="BO41" s="283"/>
      <c r="BP41" s="283"/>
      <c r="BQ41" s="283"/>
      <c r="BR41" s="283"/>
      <c r="BS41" s="283"/>
      <c r="BT41" s="283"/>
      <c r="BU41" s="283"/>
      <c r="BV41" s="270"/>
      <c r="BW41" s="270"/>
      <c r="BX41" s="270"/>
      <c r="BY41" s="37"/>
      <c r="BZ41" s="37"/>
      <c r="CA41" s="37"/>
      <c r="CB41" s="37"/>
      <c r="CC41" s="37"/>
    </row>
    <row r="42" spans="1:81" ht="15" customHeight="1" thickBot="1">
      <c r="A42"/>
      <c r="B42" s="1137" t="s">
        <v>765</v>
      </c>
      <c r="C42" s="1138"/>
      <c r="D42" s="1138"/>
      <c r="E42" s="1138"/>
      <c r="F42" s="1138"/>
      <c r="G42" s="1138"/>
      <c r="H42" s="1138"/>
      <c r="I42" s="1138"/>
      <c r="J42" s="1138"/>
      <c r="K42" s="1138"/>
      <c r="L42" s="1138"/>
      <c r="M42" s="1138"/>
      <c r="N42" s="1138"/>
      <c r="O42" s="1138"/>
      <c r="P42" s="1138"/>
      <c r="Q42" s="1138"/>
      <c r="R42" s="1138"/>
      <c r="S42" s="1138"/>
      <c r="T42" s="1138"/>
      <c r="U42" s="1138"/>
      <c r="V42" s="1138"/>
      <c r="W42" s="1138"/>
      <c r="X42" s="1138"/>
      <c r="Y42" s="1138"/>
      <c r="Z42" s="1138"/>
      <c r="AA42" s="1138"/>
      <c r="AB42" s="1139"/>
      <c r="AC42" s="566"/>
      <c r="AD42" s="566"/>
      <c r="AE42" s="1137" t="str">
        <f>AC18</f>
        <v>Our KPIs consistently surpass our established goals, reflecting our ongoing success. This accomplishment can be attributed to the continuous optimization of our Payment Services agents, who skillfully handle Business Support calls and other tasks throughout our contact center.</v>
      </c>
      <c r="AF42" s="1138"/>
      <c r="AG42" s="1138"/>
      <c r="AH42" s="1138"/>
      <c r="AI42" s="1138"/>
      <c r="AJ42" s="1138"/>
      <c r="AK42" s="1138"/>
      <c r="AL42" s="1138"/>
      <c r="AM42" s="1138"/>
      <c r="AN42" s="1138"/>
      <c r="AO42" s="1138"/>
      <c r="AP42" s="1138"/>
      <c r="AQ42" s="1138"/>
      <c r="AR42" s="1138"/>
      <c r="AS42" s="1138"/>
      <c r="AT42" s="1138"/>
      <c r="AU42" s="1138"/>
      <c r="AV42" s="1138"/>
      <c r="AW42" s="1138"/>
      <c r="AX42" s="1138"/>
      <c r="AY42" s="1138"/>
      <c r="AZ42" s="1138"/>
      <c r="BA42" s="1138"/>
      <c r="BB42" s="1138"/>
      <c r="BC42" s="1138"/>
      <c r="BD42" s="1138"/>
      <c r="BE42" s="1139"/>
      <c r="BF42"/>
      <c r="BH42" s="223"/>
      <c r="BI42" s="54" t="s">
        <v>300</v>
      </c>
      <c r="BJ42" s="283" t="s">
        <v>473</v>
      </c>
      <c r="BK42" s="283"/>
      <c r="BL42" s="283"/>
      <c r="BM42" s="283"/>
      <c r="BN42" s="283"/>
      <c r="BO42" s="283"/>
      <c r="BP42" s="283"/>
      <c r="BQ42" s="283"/>
      <c r="BR42" s="283"/>
      <c r="BS42" s="283"/>
      <c r="BT42" s="283"/>
      <c r="BU42" s="283"/>
      <c r="BY42" s="270"/>
      <c r="BZ42" s="270"/>
      <c r="CA42" s="270"/>
      <c r="CB42" s="270"/>
      <c r="CC42" s="270"/>
    </row>
    <row r="43" spans="1:81" ht="15" customHeight="1" thickBot="1">
      <c r="B43" s="1140"/>
      <c r="C43" s="1141"/>
      <c r="D43" s="1141"/>
      <c r="E43" s="1141"/>
      <c r="F43" s="1141"/>
      <c r="G43" s="1141"/>
      <c r="H43" s="1141"/>
      <c r="I43" s="1141"/>
      <c r="J43" s="1141"/>
      <c r="K43" s="1141"/>
      <c r="L43" s="1141"/>
      <c r="M43" s="1141"/>
      <c r="N43" s="1141"/>
      <c r="O43" s="1141"/>
      <c r="P43" s="1141"/>
      <c r="Q43" s="1141"/>
      <c r="R43" s="1141"/>
      <c r="S43" s="1141"/>
      <c r="T43" s="1141"/>
      <c r="U43" s="1141"/>
      <c r="V43" s="1141"/>
      <c r="W43" s="1141"/>
      <c r="X43" s="1141"/>
      <c r="Y43" s="1141"/>
      <c r="Z43" s="1141"/>
      <c r="AA43" s="1141"/>
      <c r="AB43" s="1142"/>
      <c r="AC43" s="566"/>
      <c r="AD43" s="566"/>
      <c r="AE43" s="1140"/>
      <c r="AF43" s="1141"/>
      <c r="AG43" s="1141"/>
      <c r="AH43" s="1141"/>
      <c r="AI43" s="1141"/>
      <c r="AJ43" s="1141"/>
      <c r="AK43" s="1141"/>
      <c r="AL43" s="1141"/>
      <c r="AM43" s="1141"/>
      <c r="AN43" s="1141"/>
      <c r="AO43" s="1141"/>
      <c r="AP43" s="1141"/>
      <c r="AQ43" s="1141"/>
      <c r="AR43" s="1141"/>
      <c r="AS43" s="1141"/>
      <c r="AT43" s="1141"/>
      <c r="AU43" s="1141"/>
      <c r="AV43" s="1141"/>
      <c r="AW43" s="1141"/>
      <c r="AX43" s="1141"/>
      <c r="AY43" s="1141"/>
      <c r="AZ43" s="1141"/>
      <c r="BA43" s="1141"/>
      <c r="BB43" s="1141"/>
      <c r="BC43" s="1141"/>
      <c r="BD43" s="1141"/>
      <c r="BE43" s="1142"/>
      <c r="BI43" s="277"/>
      <c r="BJ43" s="277"/>
      <c r="BK43" s="277"/>
      <c r="BL43" s="1148" t="s">
        <v>302</v>
      </c>
      <c r="BM43" s="1149"/>
      <c r="BN43" s="1149"/>
      <c r="BO43" s="1149"/>
      <c r="BP43" s="1151"/>
      <c r="BQ43" s="1148" t="s">
        <v>719</v>
      </c>
      <c r="BR43" s="1149"/>
      <c r="BS43" s="1149"/>
      <c r="BT43" s="1149"/>
      <c r="BU43" s="1150"/>
      <c r="BW43" s="1148" t="s">
        <v>303</v>
      </c>
      <c r="BX43" s="1149"/>
      <c r="BY43" s="1149"/>
      <c r="BZ43" s="1149"/>
      <c r="CA43" s="1149"/>
      <c r="CB43" s="1149"/>
      <c r="CC43" s="1150"/>
    </row>
    <row r="44" spans="1:81" ht="15" customHeight="1">
      <c r="B44" s="1140"/>
      <c r="C44" s="1141"/>
      <c r="D44" s="1141"/>
      <c r="E44" s="1141"/>
      <c r="F44" s="1141"/>
      <c r="G44" s="1141"/>
      <c r="H44" s="1141"/>
      <c r="I44" s="1141"/>
      <c r="J44" s="1141"/>
      <c r="K44" s="1141"/>
      <c r="L44" s="1141"/>
      <c r="M44" s="1141"/>
      <c r="N44" s="1141"/>
      <c r="O44" s="1141"/>
      <c r="P44" s="1141"/>
      <c r="Q44" s="1141"/>
      <c r="R44" s="1141"/>
      <c r="S44" s="1141"/>
      <c r="T44" s="1141"/>
      <c r="U44" s="1141"/>
      <c r="V44" s="1141"/>
      <c r="W44" s="1141"/>
      <c r="X44" s="1141"/>
      <c r="Y44" s="1141"/>
      <c r="Z44" s="1141"/>
      <c r="AA44" s="1141"/>
      <c r="AB44" s="1142"/>
      <c r="AC44" s="566"/>
      <c r="AD44" s="566"/>
      <c r="AE44" s="1140"/>
      <c r="AF44" s="1141"/>
      <c r="AG44" s="1141"/>
      <c r="AH44" s="1141"/>
      <c r="AI44" s="1141"/>
      <c r="AJ44" s="1141"/>
      <c r="AK44" s="1141"/>
      <c r="AL44" s="1141"/>
      <c r="AM44" s="1141"/>
      <c r="AN44" s="1141"/>
      <c r="AO44" s="1141"/>
      <c r="AP44" s="1141"/>
      <c r="AQ44" s="1141"/>
      <c r="AR44" s="1141"/>
      <c r="AS44" s="1141"/>
      <c r="AT44" s="1141"/>
      <c r="AU44" s="1141"/>
      <c r="AV44" s="1141"/>
      <c r="AW44" s="1141"/>
      <c r="AX44" s="1141"/>
      <c r="AY44" s="1141"/>
      <c r="AZ44" s="1141"/>
      <c r="BA44" s="1141"/>
      <c r="BB44" s="1141"/>
      <c r="BC44" s="1141"/>
      <c r="BD44" s="1141"/>
      <c r="BE44" s="1142"/>
      <c r="BI44" s="636" t="s">
        <v>23</v>
      </c>
      <c r="BJ44" s="636" t="s">
        <v>37</v>
      </c>
      <c r="BK44" s="636" t="s">
        <v>304</v>
      </c>
      <c r="BL44" s="637" t="s">
        <v>305</v>
      </c>
      <c r="BM44" s="637" t="s">
        <v>310</v>
      </c>
      <c r="BN44" s="637" t="s">
        <v>311</v>
      </c>
      <c r="BO44" s="278" t="s">
        <v>312</v>
      </c>
      <c r="BP44" s="637" t="s">
        <v>313</v>
      </c>
      <c r="BQ44" s="637" t="s">
        <v>305</v>
      </c>
      <c r="BR44" s="637" t="s">
        <v>715</v>
      </c>
      <c r="BS44" s="637" t="s">
        <v>716</v>
      </c>
      <c r="BT44" s="278" t="s">
        <v>717</v>
      </c>
      <c r="BU44" s="637" t="s">
        <v>718</v>
      </c>
      <c r="BW44" s="279" t="s">
        <v>314</v>
      </c>
      <c r="BX44" s="279" t="s">
        <v>23</v>
      </c>
      <c r="BY44" s="280" t="s">
        <v>315</v>
      </c>
      <c r="BZ44" s="279" t="s">
        <v>122</v>
      </c>
      <c r="CA44" s="279" t="s">
        <v>316</v>
      </c>
      <c r="CB44" s="279" t="s">
        <v>317</v>
      </c>
      <c r="CC44" s="279" t="s">
        <v>318</v>
      </c>
    </row>
    <row r="45" spans="1:81" ht="15" customHeight="1">
      <c r="B45" s="1143"/>
      <c r="C45" s="1144"/>
      <c r="D45" s="1144"/>
      <c r="E45" s="1144"/>
      <c r="F45" s="1144"/>
      <c r="G45" s="1144"/>
      <c r="H45" s="1144"/>
      <c r="I45" s="1144"/>
      <c r="J45" s="1144"/>
      <c r="K45" s="1144"/>
      <c r="L45" s="1144"/>
      <c r="M45" s="1144"/>
      <c r="N45" s="1144"/>
      <c r="O45" s="1144"/>
      <c r="P45" s="1144"/>
      <c r="Q45" s="1144"/>
      <c r="R45" s="1144"/>
      <c r="S45" s="1144"/>
      <c r="T45" s="1144"/>
      <c r="U45" s="1144"/>
      <c r="V45" s="1144"/>
      <c r="W45" s="1144"/>
      <c r="X45" s="1144"/>
      <c r="Y45" s="1144"/>
      <c r="Z45" s="1144"/>
      <c r="AA45" s="1144"/>
      <c r="AB45" s="1145"/>
      <c r="AC45" s="566"/>
      <c r="AD45" s="566"/>
      <c r="AE45" s="1143"/>
      <c r="AF45" s="1144"/>
      <c r="AG45" s="1144"/>
      <c r="AH45" s="1144"/>
      <c r="AI45" s="1144"/>
      <c r="AJ45" s="1144"/>
      <c r="AK45" s="1144"/>
      <c r="AL45" s="1144"/>
      <c r="AM45" s="1144"/>
      <c r="AN45" s="1144"/>
      <c r="AO45" s="1144"/>
      <c r="AP45" s="1144"/>
      <c r="AQ45" s="1144"/>
      <c r="AR45" s="1144"/>
      <c r="AS45" s="1144"/>
      <c r="AT45" s="1144"/>
      <c r="AU45" s="1144"/>
      <c r="AV45" s="1144"/>
      <c r="AW45" s="1144"/>
      <c r="AX45" s="1144"/>
      <c r="AY45" s="1144"/>
      <c r="AZ45" s="1144"/>
      <c r="BA45" s="1144"/>
      <c r="BB45" s="1144"/>
      <c r="BC45" s="1144"/>
      <c r="BD45" s="1144"/>
      <c r="BE45" s="1145"/>
      <c r="BI45" s="638" t="s">
        <v>319</v>
      </c>
      <c r="BJ45" s="638">
        <v>1</v>
      </c>
      <c r="BK45" s="638" t="s">
        <v>320</v>
      </c>
      <c r="BL45" s="857">
        <f>IF(BM45="","",BM45*BN45)</f>
        <v>5.5152199074074071E-3</v>
      </c>
      <c r="BM45" s="689">
        <v>7.3310000000000004</v>
      </c>
      <c r="BN45" s="847">
        <v>7.5231481481481471E-4</v>
      </c>
      <c r="BO45" s="849">
        <f>IF(SUM(BM45:BM47=0),0,SUM(BL45:BL47)/SUM(BM45:BM47))</f>
        <v>7.0839813777943657E-4</v>
      </c>
      <c r="BP45" s="851">
        <v>2.4305555555555556E-3</v>
      </c>
      <c r="BQ45" s="857">
        <f>IF(BR45="","",BR45*BS45)</f>
        <v>3.3401851851851852E-3</v>
      </c>
      <c r="BR45" s="689">
        <v>8.4879999999999995</v>
      </c>
      <c r="BS45" s="847">
        <v>3.9351851851851852E-4</v>
      </c>
      <c r="BT45" s="849">
        <f>IF(SUM(BR45:BR47=0),0,SUM(BQ45:BQ47)/SUM(BR45:BR47))</f>
        <v>3.9351851851851852E-4</v>
      </c>
      <c r="BU45" s="851">
        <v>2.4305555555555556E-3</v>
      </c>
      <c r="BX45" s="642" t="str">
        <f t="shared" ref="BX45:BX56" si="4">TEXT(CONCATENATE(CC45,"/01/20",CB45),"MMM")</f>
        <v>Oct</v>
      </c>
      <c r="BY45" s="643">
        <f>IF(CB45=$CB57,SUMIF($BI45:$BI56,$BX45,$BR45:$BR56),SUMIF($BI45:$BI56,$BX45,$BM45:$BM56))</f>
        <v>7.3310000000000004</v>
      </c>
      <c r="BZ45" s="877">
        <f>IF(IF(CB45=CB57,SUMIF(BI45:BI56,$BX45,BU45:BU56),SUMIF(BI45:BI56,$BX45,BP45:BP56))=0,NA(),IF(CB45=CB57,SUMIF(BI45:BI56,$BX45,BU45:BU56),SUMIF(BI45:BI56,$BX45,BP45:BP56)))</f>
        <v>2.4305555555555556E-3</v>
      </c>
      <c r="CA45" s="876">
        <f>IF(IF(CB45=CB57,SUMIF(BI45:BI56,$BX45,BS45:BS56),SUMIF(BI45:BI56,$BX45,BN45:BN56))=0,NA(),IF(CB45=CB57,SUMIF(BI45:BI56,$BX45,BS45:BS56),SUMIF(BI45:BI56,$BX45,BN45:BN56)))</f>
        <v>7.5231481481481471E-4</v>
      </c>
      <c r="CB45" s="645">
        <f>CB26</f>
        <v>23</v>
      </c>
      <c r="CC45" s="645">
        <f t="shared" ref="CC45:CC55" si="5">IF(CC46-1&lt;1,CC46+11,CC46-1)</f>
        <v>10</v>
      </c>
    </row>
    <row r="46" spans="1:81" ht="15" customHeight="1">
      <c r="BI46" s="638" t="s">
        <v>321</v>
      </c>
      <c r="BJ46" s="638">
        <v>2</v>
      </c>
      <c r="BK46" s="638" t="s">
        <v>320</v>
      </c>
      <c r="BL46" s="857">
        <f t="shared" ref="BL46:BL56" si="6">IF(BM46="","",BM46*BN46)</f>
        <v>4.9073495370370365E-3</v>
      </c>
      <c r="BM46" s="689">
        <v>6.5229999999999997</v>
      </c>
      <c r="BN46" s="847">
        <v>7.5231481481481471E-4</v>
      </c>
      <c r="BO46" s="852"/>
      <c r="BP46" s="851">
        <v>2.4305555555555556E-3</v>
      </c>
      <c r="BQ46" s="857" t="str">
        <f t="shared" ref="BQ46:BQ56" si="7">IF(BR46="","",BR46*BS46)</f>
        <v/>
      </c>
      <c r="BR46" s="689"/>
      <c r="BS46" s="847"/>
      <c r="BT46" s="852"/>
      <c r="BU46" s="851">
        <v>2.4305555555555556E-3</v>
      </c>
      <c r="BX46" s="642" t="str">
        <f t="shared" si="4"/>
        <v>Nov</v>
      </c>
      <c r="BY46" s="643">
        <f>IF(CB46=$CB57,SUMIF($BI45:$BI56,$BX46,$BR45:$BR56),SUMIF($BI45:$BI56,$BX46,$BM45:$BM56))</f>
        <v>6.5229999999999997</v>
      </c>
      <c r="BZ46" s="877">
        <f>IF(IF(CB46=CB57,SUMIF(BI45:BI56,$BX46,BU45:BU56),SUMIF(BI45:BI56,$BX46,BP45:BP56))=0,NA(),IF(CB46=CB57,SUMIF(BI45:BI56,$BX46,BU45:BU56),SUMIF(BI45:BI56,$BX46,BP45:BP56)))</f>
        <v>2.4305555555555556E-3</v>
      </c>
      <c r="CA46" s="876">
        <f>IF(IF(CB46=CB57,SUMIF(BI45:BI56,$BX46,BS45:BS56),SUMIF(BI45:BI56,$BX46,BN45:BN56))=0,NA(),IF(CB46=CB57,SUMIF(BI45:BI56,$BX46,BS45:BS56),SUMIF(BI45:BI56,$BX46,BN45:BN56)))</f>
        <v>7.5231481481481471E-4</v>
      </c>
      <c r="CB46" s="645">
        <f t="shared" ref="CB46:CB56" si="8">CB27</f>
        <v>23</v>
      </c>
      <c r="CC46" s="645">
        <f t="shared" si="5"/>
        <v>11</v>
      </c>
    </row>
    <row r="47" spans="1:81" ht="15" customHeight="1">
      <c r="B47" s="52"/>
      <c r="AD47" s="336"/>
      <c r="BI47" s="638" t="s">
        <v>322</v>
      </c>
      <c r="BJ47" s="638">
        <v>3</v>
      </c>
      <c r="BK47" s="638" t="s">
        <v>320</v>
      </c>
      <c r="BL47" s="857">
        <f t="shared" si="6"/>
        <v>5.3924189814814807E-3</v>
      </c>
      <c r="BM47" s="689">
        <v>8.4710000000000001</v>
      </c>
      <c r="BN47" s="847">
        <v>6.3657407407407402E-4</v>
      </c>
      <c r="BO47" s="852"/>
      <c r="BP47" s="851">
        <v>2.4305555555555556E-3</v>
      </c>
      <c r="BQ47" s="857" t="str">
        <f t="shared" si="7"/>
        <v/>
      </c>
      <c r="BR47" s="689"/>
      <c r="BS47" s="847"/>
      <c r="BT47" s="852"/>
      <c r="BU47" s="851">
        <v>2.4305555555555556E-3</v>
      </c>
      <c r="BX47" s="642" t="str">
        <f t="shared" si="4"/>
        <v>Dec</v>
      </c>
      <c r="BY47" s="643">
        <f>IF(CB47=$CB57,SUMIF($BI45:$BI56,$BX47,$BR45:$BR56),SUMIF($BI45:$BI56,$BX47,$BM45:$BM56))</f>
        <v>8.4710000000000001</v>
      </c>
      <c r="BZ47" s="877">
        <f>IF(IF(CB47=CB57,SUMIF(BI45:BI56,$BX47,BU45:BU56),SUMIF(BI45:BI56,$BX47,BP45:BP56))=0,NA(),IF(CB47=CB57,SUMIF(BI45:BI56,$BX47,BU45:BU56),SUMIF(BI45:BI56,$BX47,BP45:BP56)))</f>
        <v>2.4305555555555556E-3</v>
      </c>
      <c r="CA47" s="876">
        <f>IF(IF(CB47=CB57,SUMIF(BI45:BI56,$BX47,BS45:BS56),SUMIF(BI45:BI56,$BX47,BN45:BN56))=0,NA(),IF(CB47=CB57,SUMIF(BI45:BI56,$BX47,BS45:BS56),SUMIF(BI45:BI56,$BX47,BN45:BN56)))</f>
        <v>6.3657407407407402E-4</v>
      </c>
      <c r="CB47" s="645">
        <f t="shared" si="8"/>
        <v>23</v>
      </c>
      <c r="CC47" s="645">
        <f t="shared" si="5"/>
        <v>12</v>
      </c>
    </row>
    <row r="48" spans="1:81" ht="15" customHeight="1">
      <c r="BI48" s="638" t="s">
        <v>323</v>
      </c>
      <c r="BJ48" s="638">
        <v>4</v>
      </c>
      <c r="BK48" s="638" t="s">
        <v>324</v>
      </c>
      <c r="BL48" s="857">
        <f t="shared" si="6"/>
        <v>1.6714699074074073E-3</v>
      </c>
      <c r="BM48" s="689">
        <v>8.4949999999999992</v>
      </c>
      <c r="BN48" s="847">
        <v>1.9675925925925926E-4</v>
      </c>
      <c r="BO48" s="849">
        <f>IF(SUM(BM48:BM50=0),0,SUM(BL48:BL50)/SUM(BM48:BM50))</f>
        <v>1.6367083226824671E-4</v>
      </c>
      <c r="BP48" s="851">
        <v>2.4305555555555556E-3</v>
      </c>
      <c r="BQ48" s="857" t="str">
        <f t="shared" si="7"/>
        <v/>
      </c>
      <c r="BR48" s="689"/>
      <c r="BS48" s="847"/>
      <c r="BT48" s="849">
        <f>IF(SUM(BR48:BR50=0),0,SUM(BQ48:BQ50)/SUM(BR48:BR50))</f>
        <v>0</v>
      </c>
      <c r="BU48" s="851">
        <v>2.4305555555555556E-3</v>
      </c>
      <c r="BX48" s="642" t="str">
        <f t="shared" si="4"/>
        <v>Jan</v>
      </c>
      <c r="BY48" s="643">
        <f>IF(CB48=$CB57,SUMIF($BI45:$BI56,$BX48,$BR45:$BR56),SUMIF($BI45:$BI56,$BX48,$BM45:$BM56))</f>
        <v>8.4949999999999992</v>
      </c>
      <c r="BZ48" s="877">
        <f>IF(IF(CB48=CB57,SUMIF(BI45:BI56,$BX48,BU45:BU56),SUMIF(BI45:BI56,$BX48,BP45:BP56))=0,NA(),IF(CB48=CB57,SUMIF(BI45:BI56,$BX48,BU45:BU56),SUMIF(BI45:BI56,$BX48,BP45:BP56)))</f>
        <v>2.4305555555555556E-3</v>
      </c>
      <c r="CA48" s="876">
        <f>IF(IF(CB48=CB57,SUMIF(BI45:BI56,$BX48,BS45:BS56),SUMIF(BI45:BI56,$BX48,BN45:BN56))=0,NA(),IF(CB48=CB57,SUMIF(BI45:BI56,$BX48,BS45:BS56),SUMIF(BI45:BI56,$BX48,BN45:BN56)))</f>
        <v>1.9675925925925926E-4</v>
      </c>
      <c r="CB48" s="645">
        <f t="shared" si="8"/>
        <v>23</v>
      </c>
      <c r="CC48" s="645">
        <f t="shared" si="5"/>
        <v>1</v>
      </c>
    </row>
    <row r="49" spans="2:81" ht="15" customHeight="1">
      <c r="BI49" s="638" t="s">
        <v>325</v>
      </c>
      <c r="BJ49" s="638">
        <v>5</v>
      </c>
      <c r="BK49" s="638" t="s">
        <v>324</v>
      </c>
      <c r="BL49" s="857">
        <f t="shared" si="6"/>
        <v>1.6108101851851852E-3</v>
      </c>
      <c r="BM49" s="690">
        <v>9.9410000000000007</v>
      </c>
      <c r="BN49" s="847">
        <v>1.6203703703703703E-4</v>
      </c>
      <c r="BO49" s="852"/>
      <c r="BP49" s="851">
        <v>2.4305555555555556E-3</v>
      </c>
      <c r="BQ49" s="857" t="str">
        <f t="shared" si="7"/>
        <v/>
      </c>
      <c r="BR49" s="690"/>
      <c r="BS49" s="847"/>
      <c r="BT49" s="852"/>
      <c r="BU49" s="851">
        <v>2.4305555555555556E-3</v>
      </c>
      <c r="BX49" s="642" t="str">
        <f t="shared" si="4"/>
        <v>Feb</v>
      </c>
      <c r="BY49" s="643">
        <f>IF(CB49=$CB57,SUMIF($BI45:$BI56,$BX49,$BR45:$BR56),SUMIF($BI45:$BI56,$BX49,$BM45:$BM56))</f>
        <v>9.9410000000000007</v>
      </c>
      <c r="BZ49" s="877">
        <f>IF(IF(CB49=CB57,SUMIF(BI45:BI56,$BX49,BU45:BU56),SUMIF(BI45:BI56,$BX49,BP45:BP56))=0,NA(),IF(CB49=CB57,SUMIF(BI45:BI56,$BX49,BU45:BU56),SUMIF(BI45:BI56,$BX49,BP45:BP56)))</f>
        <v>2.4305555555555556E-3</v>
      </c>
      <c r="CA49" s="876">
        <f>IF(IF(CB49=CB57,SUMIF(BI45:BI56,$BX49,BS45:BS56),SUMIF(BI45:BI56,$BX49,BN45:BN56))=0,NA(),IF(CB49=CB57,SUMIF(BI45:BI56,$BX49,BS45:BS56),SUMIF(BI45:BI56,$BX49,BN45:BN56)))</f>
        <v>1.6203703703703703E-4</v>
      </c>
      <c r="CB49" s="645">
        <f t="shared" si="8"/>
        <v>23</v>
      </c>
      <c r="CC49" s="645">
        <f t="shared" si="5"/>
        <v>2</v>
      </c>
    </row>
    <row r="50" spans="2:81" ht="15" customHeight="1">
      <c r="BI50" s="638" t="s">
        <v>326</v>
      </c>
      <c r="BJ50" s="638">
        <v>6</v>
      </c>
      <c r="BK50" s="638" t="s">
        <v>324</v>
      </c>
      <c r="BL50" s="857">
        <f t="shared" si="6"/>
        <v>1.4843055555555556E-3</v>
      </c>
      <c r="BM50" s="690">
        <v>10.686999999999999</v>
      </c>
      <c r="BN50" s="847">
        <v>1.3888888888888889E-4</v>
      </c>
      <c r="BO50" s="852"/>
      <c r="BP50" s="851">
        <v>2.4305555555555556E-3</v>
      </c>
      <c r="BQ50" s="857" t="str">
        <f t="shared" si="7"/>
        <v/>
      </c>
      <c r="BR50" s="690"/>
      <c r="BS50" s="847"/>
      <c r="BT50" s="852"/>
      <c r="BU50" s="851">
        <v>2.4305555555555556E-3</v>
      </c>
      <c r="BX50" s="642" t="str">
        <f t="shared" si="4"/>
        <v>Mar</v>
      </c>
      <c r="BY50" s="643">
        <f>IF(CB50=$CB57,SUMIF($BI45:$BI56,$BX50,$BR45:$BR56),SUMIF($BI45:$BI56,$BX50,$BM45:$BM56))</f>
        <v>10.686999999999999</v>
      </c>
      <c r="BZ50" s="877">
        <f>IF(IF(CB50=CB57,SUMIF(BI45:BI56,$BX50,BU45:BU56),SUMIF(BI45:BI56,$BX50,BP45:BP56))=0,NA(),IF(CB50=CB57,SUMIF(BI45:BI56,$BX50,BU45:BU56),SUMIF(BI45:BI56,$BX50,BP45:BP56)))</f>
        <v>2.4305555555555556E-3</v>
      </c>
      <c r="CA50" s="876">
        <f>IF(IF(CB50=CB57,SUMIF(BI45:BI56,$BX50,BS45:BS56),SUMIF(BI45:BI56,$BX50,BN45:BN56))=0,NA(),IF(CB50=CB57,SUMIF(BI45:BI56,$BX50,BS45:BS56),SUMIF(BI45:BI56,$BX50,BN45:BN56)))</f>
        <v>1.3888888888888889E-4</v>
      </c>
      <c r="CB50" s="645">
        <f t="shared" si="8"/>
        <v>23</v>
      </c>
      <c r="CC50" s="645">
        <f t="shared" si="5"/>
        <v>3</v>
      </c>
    </row>
    <row r="51" spans="2:81" ht="15" customHeight="1">
      <c r="BI51" s="638" t="s">
        <v>327</v>
      </c>
      <c r="BJ51" s="638">
        <v>7</v>
      </c>
      <c r="BK51" s="638" t="s">
        <v>328</v>
      </c>
      <c r="BL51" s="857">
        <f t="shared" si="6"/>
        <v>2.1759490740740741E-3</v>
      </c>
      <c r="BM51" s="690">
        <v>8.1739999999999995</v>
      </c>
      <c r="BN51" s="868">
        <v>2.6620370370370372E-4</v>
      </c>
      <c r="BO51" s="849">
        <f>IF(SUM(BM51:BM53=0),0,SUM(BL51:BL53)/SUM(BM51:BM53))</f>
        <v>2.3464007131902882E-4</v>
      </c>
      <c r="BP51" s="851">
        <v>2.4305555555555556E-3</v>
      </c>
      <c r="BQ51" s="857" t="str">
        <f t="shared" si="7"/>
        <v/>
      </c>
      <c r="BR51" s="690"/>
      <c r="BS51" s="868"/>
      <c r="BT51" s="849">
        <f>IF(SUM(BR51:BR53=0),0,SUM(BQ51:BQ53)/SUM(BR51:BR53))</f>
        <v>0</v>
      </c>
      <c r="BU51" s="851">
        <v>2.4305555555555556E-3</v>
      </c>
      <c r="BX51" s="642" t="str">
        <f t="shared" si="4"/>
        <v>Apr</v>
      </c>
      <c r="BY51" s="643">
        <f>IF(CB51=$CB57,SUMIF($BI45:$BI56,$BX51,$BR45:$BR56),SUMIF($BI45:$BI56,$BX51,$BM45:$BM56))</f>
        <v>8.1739999999999995</v>
      </c>
      <c r="BZ51" s="877">
        <f>IF(IF(CB51=CB57,SUMIF(BI45:BI56,$BX51,BU45:BU56),SUMIF(BI45:BI56,$BX51,BP45:BP56))=0,NA(),IF(CB51=CB57,SUMIF(BI45:BI56,$BX51,BU45:BU56),SUMIF(BI45:BI56,$BX51,BP45:BP56)))</f>
        <v>2.4305555555555556E-3</v>
      </c>
      <c r="CA51" s="876">
        <f>IF(IF(CB51=CB57,SUMIF(BI45:BI56,$BX51,BS45:BS56),SUMIF(BI45:BI56,$BX51,BN45:BN56))=0,NA(),IF(CB51=CB57,SUMIF(BI45:BI56,$BX51,BS45:BS56),SUMIF(BI45:BI56,$BX51,BN45:BN56)))</f>
        <v>2.6620370370370372E-4</v>
      </c>
      <c r="CB51" s="645">
        <f t="shared" si="8"/>
        <v>23</v>
      </c>
      <c r="CC51" s="645">
        <f t="shared" si="5"/>
        <v>4</v>
      </c>
    </row>
    <row r="52" spans="2:81" ht="15" customHeight="1">
      <c r="BI52" s="638" t="s">
        <v>329</v>
      </c>
      <c r="BJ52" s="638">
        <v>8</v>
      </c>
      <c r="BK52" s="638" t="s">
        <v>328</v>
      </c>
      <c r="BL52" s="857">
        <f t="shared" si="6"/>
        <v>1.2175462962962962E-3</v>
      </c>
      <c r="BM52" s="690">
        <v>6.1879999999999997</v>
      </c>
      <c r="BN52" s="868">
        <v>1.9675925925925926E-4</v>
      </c>
      <c r="BO52" s="852"/>
      <c r="BP52" s="851">
        <v>2.4305555555555556E-3</v>
      </c>
      <c r="BQ52" s="857" t="str">
        <f t="shared" si="7"/>
        <v/>
      </c>
      <c r="BR52" s="690"/>
      <c r="BS52" s="868"/>
      <c r="BT52" s="852"/>
      <c r="BU52" s="851">
        <v>2.4305555555555556E-3</v>
      </c>
      <c r="BX52" s="642" t="str">
        <f t="shared" si="4"/>
        <v>May</v>
      </c>
      <c r="BY52" s="643">
        <f>IF(CB52=$CB57,SUMIF($BI45:$BI56,$BX52,$BR45:$BR56),SUMIF($BI45:$BI56,$BX52,$BM45:$BM56))</f>
        <v>6.1879999999999997</v>
      </c>
      <c r="BZ52" s="877">
        <f>IF(IF(CB52=CB57,SUMIF(BI45:BI56,$BX52,BU45:BU56),SUMIF(BI45:BI56,$BX52,BP45:BP56))=0,NA(),IF(CB52=CB57,SUMIF(BI45:BI56,$BX52,BU45:BU56),SUMIF(BI45:BI56,$BX52,BP45:BP56)))</f>
        <v>2.4305555555555556E-3</v>
      </c>
      <c r="CA52" s="876">
        <f>IF(IF(CB52=CB57,SUMIF(BI45:BI56,$BX52,BS45:BS56),SUMIF(BI45:BI56,$BX52,BN45:BN56))=0,NA(),IF(CB52=CB57,SUMIF(BI45:BI56,$BX52,BS45:BS56),SUMIF(BI45:BI56,$BX52,BN45:BN56)))</f>
        <v>1.9675925925925926E-4</v>
      </c>
      <c r="CB52" s="645">
        <f t="shared" si="8"/>
        <v>23</v>
      </c>
      <c r="CC52" s="645">
        <f t="shared" si="5"/>
        <v>5</v>
      </c>
    </row>
    <row r="53" spans="2:81" ht="15" customHeight="1">
      <c r="BI53" s="638" t="s">
        <v>331</v>
      </c>
      <c r="BJ53" s="638">
        <v>9</v>
      </c>
      <c r="BK53" s="638" t="s">
        <v>328</v>
      </c>
      <c r="BL53" s="857">
        <f t="shared" si="6"/>
        <v>1.7291666666666664E-3</v>
      </c>
      <c r="BM53" s="690">
        <v>7.47</v>
      </c>
      <c r="BN53" s="868">
        <v>2.3148148148148146E-4</v>
      </c>
      <c r="BO53" s="852"/>
      <c r="BP53" s="851">
        <v>2.4305555555555556E-3</v>
      </c>
      <c r="BQ53" s="857" t="str">
        <f t="shared" si="7"/>
        <v/>
      </c>
      <c r="BR53" s="690"/>
      <c r="BS53" s="868"/>
      <c r="BT53" s="852"/>
      <c r="BU53" s="851">
        <v>2.4305555555555556E-3</v>
      </c>
      <c r="BX53" s="642" t="str">
        <f t="shared" si="4"/>
        <v>Jun</v>
      </c>
      <c r="BY53" s="643">
        <f>IF(CB53=$CB57,SUMIF($BI45:$BI56,$BX53,$BR45:$BR56),SUMIF($BI45:$BI56,$BX53,$BM45:$BM56))</f>
        <v>7.47</v>
      </c>
      <c r="BZ53" s="877">
        <f>IF(IF(CB53=CB57,SUMIF(BI45:BI56,$BX53,BU45:BU56),SUMIF(BI45:BI56,$BX53,BP45:BP56))=0,NA(),IF(CB53=CB57,SUMIF(BI45:BI56,$BX53,BU45:BU56),SUMIF(BI45:BI56,$BX53,BP45:BP56)))</f>
        <v>2.4305555555555556E-3</v>
      </c>
      <c r="CA53" s="876">
        <f>IF(IF(CB53=CB57,SUMIF(BI45:BI56,$BX53,BS45:BS56),SUMIF(BI45:BI56,$BX53,BN45:BN56))=0,NA(),IF(CB53=CB57,SUMIF(BI45:BI56,$BX53,BS45:BS56),SUMIF(BI45:BI56,$BX53,BN45:BN56)))</f>
        <v>2.3148148148148146E-4</v>
      </c>
      <c r="CB53" s="645">
        <f t="shared" si="8"/>
        <v>23</v>
      </c>
      <c r="CC53" s="645">
        <f t="shared" si="5"/>
        <v>6</v>
      </c>
    </row>
    <row r="54" spans="2:81" ht="15" customHeight="1">
      <c r="BI54" s="638" t="s">
        <v>337</v>
      </c>
      <c r="BJ54" s="638">
        <v>10</v>
      </c>
      <c r="BK54" s="638" t="s">
        <v>338</v>
      </c>
      <c r="BL54" s="857">
        <f t="shared" si="6"/>
        <v>2.1347222222222223E-3</v>
      </c>
      <c r="BM54" s="690">
        <v>6.36</v>
      </c>
      <c r="BN54" s="868">
        <v>3.3564814814814812E-4</v>
      </c>
      <c r="BO54" s="849">
        <f>IF(SUM(BM54:BM56=0),0,SUM(BL54:BL56)/SUM(BM54:BM56))</f>
        <v>3.4220213107138904E-4</v>
      </c>
      <c r="BP54" s="851">
        <v>2.4305555555555556E-3</v>
      </c>
      <c r="BQ54" s="857" t="str">
        <f t="shared" si="7"/>
        <v/>
      </c>
      <c r="BR54" s="690"/>
      <c r="BS54" s="868"/>
      <c r="BT54" s="849">
        <f>IF(SUM(BR54:BR56=0),0,SUM(BQ54:BQ56)/SUM(BR54:BR56))</f>
        <v>0</v>
      </c>
      <c r="BU54" s="851">
        <v>2.4305555555555556E-3</v>
      </c>
      <c r="BX54" s="642" t="str">
        <f t="shared" si="4"/>
        <v>Jul</v>
      </c>
      <c r="BY54" s="643">
        <f>IF(CB54=$CB57,SUMIF($BI45:$BI56,$BX54,$BR45:$BR56),SUMIF($BI45:$BI56,$BX54,$BM45:$BM56))</f>
        <v>6.36</v>
      </c>
      <c r="BZ54" s="877">
        <f>IF(IF(CB54=CB57,SUMIF(BI45:BI56,$BX54,BU45:BU56),SUMIF(BI45:BI56,$BX54,BP45:BP56))=0,NA(),IF(CB54=CB57,SUMIF(BI45:BI56,$BX54,BU45:BU56),SUMIF(BI45:BI56,$BX54,BP45:BP56)))</f>
        <v>2.4305555555555556E-3</v>
      </c>
      <c r="CA54" s="876">
        <f>IF(IF(CB54=CB57,SUMIF(BI45:BI56,$BX54,BS45:BS56),SUMIF(BI45:BI56,$BX54,BN45:BN56))=0,NA(),IF(CB54=CB57,SUMIF(BI45:BI56,$BX54,BS45:BS56),SUMIF(BI45:BI56,$BX54,BN45:BN56)))</f>
        <v>3.3564814814814812E-4</v>
      </c>
      <c r="CB54" s="645">
        <f t="shared" si="8"/>
        <v>23</v>
      </c>
      <c r="CC54" s="645">
        <f t="shared" si="5"/>
        <v>7</v>
      </c>
    </row>
    <row r="55" spans="2:81" ht="15" customHeight="1">
      <c r="BI55" s="638" t="s">
        <v>343</v>
      </c>
      <c r="BJ55" s="638">
        <v>11</v>
      </c>
      <c r="BK55" s="638" t="s">
        <v>338</v>
      </c>
      <c r="BL55" s="857">
        <f t="shared" si="6"/>
        <v>1.7530092592592593E-3</v>
      </c>
      <c r="BM55" s="690">
        <v>7.5730000000000004</v>
      </c>
      <c r="BN55" s="868">
        <v>2.3148148148148146E-4</v>
      </c>
      <c r="BO55" s="852"/>
      <c r="BP55" s="851">
        <v>2.4305555555555556E-3</v>
      </c>
      <c r="BQ55" s="857" t="str">
        <f t="shared" si="7"/>
        <v/>
      </c>
      <c r="BR55" s="690"/>
      <c r="BS55" s="868"/>
      <c r="BT55" s="852"/>
      <c r="BU55" s="851">
        <v>2.4305555555555556E-3</v>
      </c>
      <c r="BX55" s="642" t="str">
        <f t="shared" si="4"/>
        <v>Aug</v>
      </c>
      <c r="BY55" s="643">
        <f>IF(CB55=$CB57,SUMIF($BI45:$BI56,$BX55,$BR45:$BR56),SUMIF($BI45:$BI56,$BX55,$BM45:$BM56))</f>
        <v>7.5730000000000004</v>
      </c>
      <c r="BZ55" s="877">
        <f>IF(IF(CB55=CB57,SUMIF(BI45:BI56,$BX55,BU45:BU56),SUMIF(BI45:BI56,$BX55,BP45:BP56))=0,NA(),IF(CB55=CB57,SUMIF(BI45:BI56,$BX55,BU45:BU56),SUMIF(BI45:BI56,$BX55,BP45:BP56)))</f>
        <v>2.4305555555555556E-3</v>
      </c>
      <c r="CA55" s="876">
        <f>IF(IF(CB55=CB57,SUMIF(BI45:BI56,$BX55,BS45:BS56),SUMIF(BI45:BI56,$BX55,BN45:BN56))=0,NA(),IF(CB55=CB57,SUMIF(BI45:BI56,$BX55,BS45:BS56),SUMIF(BI45:BI56,$BX55,BN45:BN56)))</f>
        <v>2.3148148148148146E-4</v>
      </c>
      <c r="CB55" s="645">
        <f t="shared" si="8"/>
        <v>23</v>
      </c>
      <c r="CC55" s="645">
        <f t="shared" si="5"/>
        <v>8</v>
      </c>
    </row>
    <row r="56" spans="2:81" ht="15" customHeight="1">
      <c r="BI56" s="638" t="s">
        <v>344</v>
      </c>
      <c r="BJ56" s="638">
        <v>12</v>
      </c>
      <c r="BK56" s="638" t="s">
        <v>338</v>
      </c>
      <c r="BL56" s="857">
        <f t="shared" si="6"/>
        <v>4.9250000000000006E-3</v>
      </c>
      <c r="BM56" s="690">
        <v>11.82</v>
      </c>
      <c r="BN56" s="868">
        <v>4.1666666666666669E-4</v>
      </c>
      <c r="BO56" s="852"/>
      <c r="BP56" s="851">
        <v>2.4305555555555556E-3</v>
      </c>
      <c r="BQ56" s="857" t="str">
        <f t="shared" si="7"/>
        <v/>
      </c>
      <c r="BR56" s="690"/>
      <c r="BS56" s="868"/>
      <c r="BT56" s="852"/>
      <c r="BU56" s="851">
        <v>2.4305555555555556E-3</v>
      </c>
      <c r="BX56" s="642" t="str">
        <f t="shared" si="4"/>
        <v>Sep</v>
      </c>
      <c r="BY56" s="643">
        <f>IF(CB56=$CB57,SUMIF($BI45:$BI56,$BX56,$BR45:$BR56),SUMIF($BI45:$BI56,$BX56,$BM45:$BM56))</f>
        <v>11.82</v>
      </c>
      <c r="BZ56" s="877">
        <f>IF(IF(CB56=CB57,SUMIF(BI45:BI56,$BX56,BU45:BU56),SUMIF(BI45:BI56,$BX56,BP45:BP56))=0,NA(),IF(CB56=CB57,SUMIF(BI45:BI56,$BX56,BU45:BU56),SUMIF(BI45:BI56,$BX56,BP45:BP56)))</f>
        <v>2.4305555555555556E-3</v>
      </c>
      <c r="CA56" s="876">
        <f>IF(IF(CB56=CB57,SUMIF(BI45:BI56,$BX56,BS45:BS56),SUMIF(BI45:BI56,$BX56,BN45:BN56))=0,NA(),IF(CB56=CB57,SUMIF(BI45:BI56,$BX56,BS45:BS56),SUMIF(BI45:BI56,$BX56,BN45:BN56)))</f>
        <v>4.1666666666666669E-4</v>
      </c>
      <c r="CB56" s="645">
        <f t="shared" si="8"/>
        <v>23</v>
      </c>
      <c r="CC56" s="645">
        <f>IF(CC57-1&lt;1,CC57+11,CC57-1)</f>
        <v>9</v>
      </c>
    </row>
    <row r="57" spans="2:81" ht="15" customHeight="1">
      <c r="BJ57" s="277"/>
      <c r="BK57" s="277"/>
      <c r="BL57" s="787"/>
      <c r="BM57" s="788"/>
      <c r="BN57" s="277"/>
      <c r="BO57" s="277"/>
      <c r="BP57" s="277"/>
      <c r="BQ57" s="277"/>
      <c r="BR57" s="277"/>
      <c r="BS57" s="277"/>
      <c r="BT57" s="277"/>
      <c r="BW57" s="647" t="str">
        <f>Cover!$M$34</f>
        <v>OCT FY-24</v>
      </c>
      <c r="BX57" s="642" t="str">
        <f>TEXT(CONCATENATE(CC57,"/01/20",CB57),"MMM")</f>
        <v>Oct</v>
      </c>
      <c r="BY57" s="643">
        <f>SUMIF($BI45:$BI56,$BX57,$BR45:$BR56)</f>
        <v>8.4879999999999995</v>
      </c>
      <c r="BZ57" s="877">
        <f>IF(IF(CB57=CB57,SUMIF(BI45:BI56,$BX57,BU45:BU56),SUMIF(BI45:BI56,$BX57,BP45:BP56))=0,NA(),IF(CB57=CB57,SUMIF(BI45:BI56,$BX57,BU45:BU56),SUMIF(BI45:BI56,$BX57,BP45:BP56)))</f>
        <v>2.4305555555555556E-3</v>
      </c>
      <c r="CA57" s="876">
        <f>IF(SUMIF($BI45:$BI56,$BX57,$BS45:$BS56)=0,NA(),SUMIF($BI45:$BI56,$BX57,$BS45:$BS56))</f>
        <v>3.9351851851851852E-4</v>
      </c>
      <c r="CB57" s="645">
        <f>CB38</f>
        <v>24</v>
      </c>
      <c r="CC57" s="645">
        <f>MONTH(DATEVALUE(LEFT(BW57,3)&amp;" 1"))</f>
        <v>10</v>
      </c>
    </row>
    <row r="58" spans="2:81" ht="15" customHeight="1">
      <c r="BG58" s="73"/>
      <c r="BI58" s="37"/>
      <c r="BJ58" s="37"/>
      <c r="BK58" s="37"/>
      <c r="BL58" s="37"/>
      <c r="BM58" s="37"/>
      <c r="BN58" s="37"/>
      <c r="BO58" s="37"/>
      <c r="BP58" s="37"/>
      <c r="BQ58" s="37"/>
      <c r="BR58" s="403"/>
      <c r="BS58" s="37"/>
      <c r="BT58" s="37"/>
      <c r="BU58" s="37"/>
    </row>
    <row r="59" spans="2:81" ht="15" customHeight="1">
      <c r="BG59" s="73"/>
      <c r="BI59" s="54" t="s">
        <v>292</v>
      </c>
      <c r="BJ59" s="287" t="s">
        <v>478</v>
      </c>
      <c r="BK59" s="287"/>
      <c r="BL59" s="287"/>
      <c r="BM59" s="287"/>
      <c r="BN59" s="287"/>
      <c r="BO59" s="287"/>
      <c r="BP59" s="287"/>
      <c r="BQ59" s="287"/>
      <c r="BR59" s="287"/>
      <c r="BS59" s="287"/>
      <c r="BT59" s="287"/>
      <c r="BU59" s="287"/>
    </row>
    <row r="60" spans="2:81" ht="15" customHeight="1">
      <c r="BG60" s="73"/>
      <c r="BI60" s="54" t="s">
        <v>296</v>
      </c>
      <c r="BJ60" s="283" t="s">
        <v>475</v>
      </c>
      <c r="BK60" s="283"/>
      <c r="BL60" s="283"/>
      <c r="BM60" s="283"/>
      <c r="BN60" s="283"/>
      <c r="BO60" s="283"/>
      <c r="BP60" s="283"/>
      <c r="BQ60" s="283"/>
      <c r="BR60" s="283"/>
      <c r="BS60" s="283"/>
      <c r="BT60" s="283"/>
      <c r="BU60" s="283"/>
    </row>
    <row r="61" spans="2:81" ht="15" customHeight="1" thickBot="1">
      <c r="BI61" s="54" t="s">
        <v>300</v>
      </c>
      <c r="BJ61" s="283" t="s">
        <v>476</v>
      </c>
      <c r="BK61" s="283"/>
      <c r="BL61" s="283"/>
      <c r="BM61" s="283"/>
      <c r="BN61" s="283"/>
      <c r="BO61" s="283"/>
      <c r="BP61" s="283"/>
      <c r="BQ61" s="283"/>
      <c r="BR61" s="283"/>
      <c r="BS61" s="283"/>
      <c r="BT61" s="283"/>
      <c r="BU61" s="283"/>
    </row>
    <row r="62" spans="2:81" ht="15" customHeight="1" thickBot="1">
      <c r="BI62" s="277"/>
      <c r="BJ62" s="277"/>
      <c r="BK62" s="277"/>
      <c r="BL62" s="1148" t="s">
        <v>302</v>
      </c>
      <c r="BM62" s="1149"/>
      <c r="BN62" s="1149"/>
      <c r="BO62" s="1149"/>
      <c r="BP62" s="1151"/>
      <c r="BQ62" s="1148" t="s">
        <v>719</v>
      </c>
      <c r="BR62" s="1149"/>
      <c r="BS62" s="1149"/>
      <c r="BT62" s="1149"/>
      <c r="BU62" s="1150"/>
      <c r="BW62" s="1148" t="s">
        <v>303</v>
      </c>
      <c r="BX62" s="1149"/>
      <c r="BY62" s="1149"/>
      <c r="BZ62" s="1149"/>
      <c r="CA62" s="1149"/>
      <c r="CB62" s="1149"/>
      <c r="CC62" s="1150"/>
    </row>
    <row r="63" spans="2:81" ht="15" customHeight="1">
      <c r="BI63" s="636" t="s">
        <v>23</v>
      </c>
      <c r="BJ63" s="636" t="s">
        <v>37</v>
      </c>
      <c r="BK63" s="636" t="s">
        <v>304</v>
      </c>
      <c r="BL63" s="637" t="s">
        <v>305</v>
      </c>
      <c r="BM63" s="637" t="s">
        <v>310</v>
      </c>
      <c r="BN63" s="637" t="s">
        <v>311</v>
      </c>
      <c r="BO63" s="278" t="s">
        <v>312</v>
      </c>
      <c r="BP63" s="637" t="s">
        <v>313</v>
      </c>
      <c r="BQ63" s="637" t="s">
        <v>305</v>
      </c>
      <c r="BR63" s="637" t="s">
        <v>715</v>
      </c>
      <c r="BS63" s="637" t="s">
        <v>716</v>
      </c>
      <c r="BT63" s="278" t="s">
        <v>717</v>
      </c>
      <c r="BU63" s="637" t="s">
        <v>718</v>
      </c>
      <c r="BW63" s="279" t="s">
        <v>314</v>
      </c>
      <c r="BX63" s="279" t="s">
        <v>23</v>
      </c>
      <c r="BY63" s="280" t="s">
        <v>315</v>
      </c>
      <c r="BZ63" s="279" t="s">
        <v>122</v>
      </c>
      <c r="CA63" s="279" t="s">
        <v>316</v>
      </c>
      <c r="CB63" s="279" t="s">
        <v>317</v>
      </c>
      <c r="CC63" s="279" t="s">
        <v>318</v>
      </c>
    </row>
    <row r="64" spans="2:81" ht="15" customHeight="1">
      <c r="B64" s="267" t="s">
        <v>242</v>
      </c>
      <c r="C64" s="267"/>
      <c r="D64" s="267"/>
      <c r="E64" s="334"/>
      <c r="F64" s="326"/>
      <c r="G64" s="326"/>
      <c r="H64" s="326"/>
      <c r="I64" s="326"/>
      <c r="J64" s="326"/>
      <c r="K64" s="326"/>
      <c r="L64" s="326"/>
      <c r="M64" s="326"/>
      <c r="N64" s="326"/>
      <c r="O64" s="326"/>
      <c r="P64" s="326"/>
      <c r="Q64" s="326"/>
      <c r="R64" s="326"/>
      <c r="S64" s="326"/>
      <c r="T64" s="326"/>
      <c r="U64" s="326"/>
      <c r="V64" s="326"/>
      <c r="W64" s="326"/>
      <c r="X64" s="326"/>
      <c r="Y64" s="326"/>
      <c r="Z64" s="326"/>
      <c r="AA64" s="326"/>
      <c r="AB64" s="326"/>
      <c r="AE64" s="267" t="s">
        <v>242</v>
      </c>
      <c r="AF64" s="267"/>
      <c r="AG64" s="267"/>
      <c r="AH64" s="334"/>
      <c r="AI64" s="326"/>
      <c r="AJ64" s="326"/>
      <c r="AK64" s="326"/>
      <c r="AL64" s="326"/>
      <c r="AM64" s="326"/>
      <c r="AN64" s="326"/>
      <c r="AO64" s="326"/>
      <c r="AP64" s="326"/>
      <c r="AQ64" s="326"/>
      <c r="AR64" s="326"/>
      <c r="AS64" s="326"/>
      <c r="AT64" s="326"/>
      <c r="AU64" s="326"/>
      <c r="AV64" s="326"/>
      <c r="AW64" s="326"/>
      <c r="AX64" s="326"/>
      <c r="AY64" s="326"/>
      <c r="AZ64" s="326"/>
      <c r="BA64" s="326"/>
      <c r="BB64" s="326"/>
      <c r="BC64" s="326"/>
      <c r="BD64" s="326"/>
      <c r="BE64" s="326"/>
      <c r="BI64" s="638" t="s">
        <v>319</v>
      </c>
      <c r="BJ64" s="638">
        <v>1</v>
      </c>
      <c r="BK64" s="638" t="s">
        <v>320</v>
      </c>
      <c r="BL64" s="858">
        <v>0.499</v>
      </c>
      <c r="BM64" s="689">
        <v>8.3930000000000007</v>
      </c>
      <c r="BN64" s="653">
        <f>IF(BM64="","",BL64/BM64)</f>
        <v>5.9454307160729171E-2</v>
      </c>
      <c r="BO64" s="289">
        <f>IF(SUM(BM64:BM66=0),0,SUM(BL64:BL66)/SUM(BM64:BM66))</f>
        <v>5.021686363455493E-2</v>
      </c>
      <c r="BP64" s="821">
        <v>0.1</v>
      </c>
      <c r="BQ64" s="689">
        <v>0.29799999999999999</v>
      </c>
      <c r="BR64" s="689">
        <v>9.5399999999999991</v>
      </c>
      <c r="BS64" s="653">
        <f>IF(BR64="","",BQ64/BR64)</f>
        <v>3.1236897274633125E-2</v>
      </c>
      <c r="BT64" s="289">
        <f>IF(SUM(BR64:BR66=0),0,SUM(BQ64:BQ66)/SUM(BR64:BR66))</f>
        <v>3.1236897274633125E-2</v>
      </c>
      <c r="BU64" s="821">
        <v>0.1</v>
      </c>
      <c r="BX64" s="642" t="str">
        <f t="shared" ref="BX64:BX75" si="9">TEXT(CONCATENATE(CC64,"/01/20",CB64),"MMM")</f>
        <v>Oct</v>
      </c>
      <c r="BY64" s="643">
        <f>IF(CB64=$CB76,SUMIF($BI64:$BI75,$BX64,$BR64:$BR75),SUMIF($BI64:$BI75,$BX64,$BM64:$BM75))</f>
        <v>8.3930000000000007</v>
      </c>
      <c r="BZ64" s="821">
        <f>IF(CB64=$CB$38,SUMIF($BI64:$BI75,$BX64,$BU64:$BU75),SUMIF($BI64:$BI75,$BX64,$BP64:$BP75))</f>
        <v>0.1</v>
      </c>
      <c r="CA64" s="644">
        <f>IF(CB64=$CB$38,SUMIF($BI64:$BI75,$BX64,$BS64:$BS75),SUMIF($BI64:$BI75,$BX64,$BN64:$BN75))</f>
        <v>5.9454307160729171E-2</v>
      </c>
      <c r="CB64" s="645">
        <f>CB45</f>
        <v>23</v>
      </c>
      <c r="CC64" s="645">
        <f t="shared" ref="CC64:CC74" si="10">IF(CC65-1&lt;1,CC65+11,CC65-1)</f>
        <v>10</v>
      </c>
    </row>
    <row r="65" spans="2:81" ht="15" customHeight="1">
      <c r="B65" s="1137" t="str">
        <f>AC18</f>
        <v>Our KPIs consistently surpass our established goals, reflecting our ongoing success. This accomplishment can be attributed to the continuous optimization of our Payment Services agents, who skillfully handle Business Support calls and other tasks throughout our contact center.</v>
      </c>
      <c r="C65" s="1138"/>
      <c r="D65" s="1138"/>
      <c r="E65" s="1138"/>
      <c r="F65" s="1138"/>
      <c r="G65" s="1138"/>
      <c r="H65" s="1138"/>
      <c r="I65" s="1138"/>
      <c r="J65" s="1138"/>
      <c r="K65" s="1138"/>
      <c r="L65" s="1138"/>
      <c r="M65" s="1138"/>
      <c r="N65" s="1138"/>
      <c r="O65" s="1138"/>
      <c r="P65" s="1138"/>
      <c r="Q65" s="1138"/>
      <c r="R65" s="1138"/>
      <c r="S65" s="1138"/>
      <c r="T65" s="1138"/>
      <c r="U65" s="1138"/>
      <c r="V65" s="1138"/>
      <c r="W65" s="1138"/>
      <c r="X65" s="1138"/>
      <c r="Y65" s="1138"/>
      <c r="Z65" s="1138"/>
      <c r="AA65" s="1138"/>
      <c r="AB65" s="1139"/>
      <c r="AC65" s="566"/>
      <c r="AD65" s="566"/>
      <c r="AE65" s="1137" t="str">
        <f>AC18</f>
        <v>Our KPIs consistently surpass our established goals, reflecting our ongoing success. This accomplishment can be attributed to the continuous optimization of our Payment Services agents, who skillfully handle Business Support calls and other tasks throughout our contact center.</v>
      </c>
      <c r="AF65" s="1138"/>
      <c r="AG65" s="1138"/>
      <c r="AH65" s="1138"/>
      <c r="AI65" s="1138"/>
      <c r="AJ65" s="1138"/>
      <c r="AK65" s="1138"/>
      <c r="AL65" s="1138"/>
      <c r="AM65" s="1138"/>
      <c r="AN65" s="1138"/>
      <c r="AO65" s="1138"/>
      <c r="AP65" s="1138"/>
      <c r="AQ65" s="1138"/>
      <c r="AR65" s="1138"/>
      <c r="AS65" s="1138"/>
      <c r="AT65" s="1138"/>
      <c r="AU65" s="1138"/>
      <c r="AV65" s="1138"/>
      <c r="AW65" s="1138"/>
      <c r="AX65" s="1138"/>
      <c r="AY65" s="1138"/>
      <c r="AZ65" s="1138"/>
      <c r="BA65" s="1138"/>
      <c r="BB65" s="1138"/>
      <c r="BC65" s="1138"/>
      <c r="BD65" s="1138"/>
      <c r="BE65" s="1139"/>
      <c r="BI65" s="638" t="s">
        <v>321</v>
      </c>
      <c r="BJ65" s="638">
        <v>2</v>
      </c>
      <c r="BK65" s="638" t="s">
        <v>320</v>
      </c>
      <c r="BL65" s="858">
        <v>0.32500000000000001</v>
      </c>
      <c r="BM65" s="689">
        <v>7.3289999999999997</v>
      </c>
      <c r="BN65" s="653">
        <f t="shared" ref="BN65:BN75" si="11">IF(BM65="","",BL65/BM65)</f>
        <v>4.4344385318597357E-2</v>
      </c>
      <c r="BO65" s="855"/>
      <c r="BP65" s="821">
        <v>0.1</v>
      </c>
      <c r="BQ65" s="689"/>
      <c r="BR65" s="689"/>
      <c r="BS65" s="653" t="str">
        <f t="shared" ref="BS65:BS74" si="12">IF(BR65="","",BQ65/BR65)</f>
        <v/>
      </c>
      <c r="BT65" s="855"/>
      <c r="BU65" s="821">
        <v>0.1</v>
      </c>
      <c r="BX65" s="642" t="str">
        <f t="shared" si="9"/>
        <v>Nov</v>
      </c>
      <c r="BY65" s="643">
        <f>IF(CB65=$CB76,SUMIF($BI64:$BI75,$BX65,$BR64:$BR75),SUMIF($BI64:$BI75,$BX65,$BM64:$BM75))</f>
        <v>7.3289999999999997</v>
      </c>
      <c r="BZ65" s="821">
        <f>IF(CB65=$CB$38,SUMIF($BI64:$BI75,$BX65,$BU64:$BU75),SUMIF($BI64:$BI75,$BX65,$BP64:$BP75))</f>
        <v>0.1</v>
      </c>
      <c r="CA65" s="644">
        <f>IF(CB65=$CB$38,SUMIF($BI64:$BI75,$BX65,$BS64:$BS75),SUMIF($BI64:$BI75,$BX65,$BN64:$BN75))</f>
        <v>4.4344385318597357E-2</v>
      </c>
      <c r="CB65" s="645">
        <f t="shared" ref="CB65:CB75" si="13">CB46</f>
        <v>23</v>
      </c>
      <c r="CC65" s="645">
        <f t="shared" si="10"/>
        <v>11</v>
      </c>
    </row>
    <row r="66" spans="2:81" ht="15" customHeight="1">
      <c r="B66" s="1140"/>
      <c r="C66" s="1141"/>
      <c r="D66" s="1141"/>
      <c r="E66" s="1141"/>
      <c r="F66" s="1141"/>
      <c r="G66" s="1141"/>
      <c r="H66" s="1141"/>
      <c r="I66" s="1141"/>
      <c r="J66" s="1141"/>
      <c r="K66" s="1141"/>
      <c r="L66" s="1141"/>
      <c r="M66" s="1141"/>
      <c r="N66" s="1141"/>
      <c r="O66" s="1141"/>
      <c r="P66" s="1141"/>
      <c r="Q66" s="1141"/>
      <c r="R66" s="1141"/>
      <c r="S66" s="1141"/>
      <c r="T66" s="1141"/>
      <c r="U66" s="1141"/>
      <c r="V66" s="1141"/>
      <c r="W66" s="1141"/>
      <c r="X66" s="1141"/>
      <c r="Y66" s="1141"/>
      <c r="Z66" s="1141"/>
      <c r="AA66" s="1141"/>
      <c r="AB66" s="1142"/>
      <c r="AC66" s="566"/>
      <c r="AD66" s="566"/>
      <c r="AE66" s="1140"/>
      <c r="AF66" s="1141"/>
      <c r="AG66" s="1141"/>
      <c r="AH66" s="1141"/>
      <c r="AI66" s="1141"/>
      <c r="AJ66" s="1141"/>
      <c r="AK66" s="1141"/>
      <c r="AL66" s="1141"/>
      <c r="AM66" s="1141"/>
      <c r="AN66" s="1141"/>
      <c r="AO66" s="1141"/>
      <c r="AP66" s="1141"/>
      <c r="AQ66" s="1141"/>
      <c r="AR66" s="1141"/>
      <c r="AS66" s="1141"/>
      <c r="AT66" s="1141"/>
      <c r="AU66" s="1141"/>
      <c r="AV66" s="1141"/>
      <c r="AW66" s="1141"/>
      <c r="AX66" s="1141"/>
      <c r="AY66" s="1141"/>
      <c r="AZ66" s="1141"/>
      <c r="BA66" s="1141"/>
      <c r="BB66" s="1141"/>
      <c r="BC66" s="1141"/>
      <c r="BD66" s="1141"/>
      <c r="BE66" s="1142"/>
      <c r="BI66" s="638" t="s">
        <v>322</v>
      </c>
      <c r="BJ66" s="638">
        <v>3</v>
      </c>
      <c r="BK66" s="638" t="s">
        <v>320</v>
      </c>
      <c r="BL66" s="858">
        <v>0.438</v>
      </c>
      <c r="BM66" s="689">
        <v>9.4090000000000007</v>
      </c>
      <c r="BN66" s="653">
        <f t="shared" si="11"/>
        <v>4.6551174407482195E-2</v>
      </c>
      <c r="BO66" s="855"/>
      <c r="BP66" s="821">
        <v>0.1</v>
      </c>
      <c r="BQ66" s="689"/>
      <c r="BR66" s="689"/>
      <c r="BS66" s="653" t="str">
        <f t="shared" si="12"/>
        <v/>
      </c>
      <c r="BT66" s="855"/>
      <c r="BU66" s="821">
        <v>0.1</v>
      </c>
      <c r="BX66" s="642" t="str">
        <f t="shared" si="9"/>
        <v>Dec</v>
      </c>
      <c r="BY66" s="643">
        <f>IF(CB66=$CB76,SUMIF($BI64:$BI75,$BX66,$BR64:$BR75),SUMIF($BI64:$BI75,$BX66,$BM64:$BM75))</f>
        <v>9.4090000000000007</v>
      </c>
      <c r="BZ66" s="821">
        <f>IF(CB66=$CB$38,SUMIF($BI64:$BI75,$BX66,$BU64:$BU75),SUMIF($BI64:$BI75,$BX66,$BP64:$BP75))</f>
        <v>0.1</v>
      </c>
      <c r="CA66" s="644">
        <f>IF(CB66=$CB$38,SUMIF($BI64:$BI75,$BX66,$BS64:$BS75),SUMIF($BI64:$BI75,$BX66,$BN64:$BN75))</f>
        <v>4.6551174407482195E-2</v>
      </c>
      <c r="CB66" s="645">
        <f t="shared" si="13"/>
        <v>23</v>
      </c>
      <c r="CC66" s="645">
        <f t="shared" si="10"/>
        <v>12</v>
      </c>
    </row>
    <row r="67" spans="2:81" ht="15" customHeight="1">
      <c r="B67" s="1140"/>
      <c r="C67" s="1141"/>
      <c r="D67" s="1141"/>
      <c r="E67" s="1141"/>
      <c r="F67" s="1141"/>
      <c r="G67" s="1141"/>
      <c r="H67" s="1141"/>
      <c r="I67" s="1141"/>
      <c r="J67" s="1141"/>
      <c r="K67" s="1141"/>
      <c r="L67" s="1141"/>
      <c r="M67" s="1141"/>
      <c r="N67" s="1141"/>
      <c r="O67" s="1141"/>
      <c r="P67" s="1141"/>
      <c r="Q67" s="1141"/>
      <c r="R67" s="1141"/>
      <c r="S67" s="1141"/>
      <c r="T67" s="1141"/>
      <c r="U67" s="1141"/>
      <c r="V67" s="1141"/>
      <c r="W67" s="1141"/>
      <c r="X67" s="1141"/>
      <c r="Y67" s="1141"/>
      <c r="Z67" s="1141"/>
      <c r="AA67" s="1141"/>
      <c r="AB67" s="1142"/>
      <c r="AC67" s="566"/>
      <c r="AD67" s="566"/>
      <c r="AE67" s="1140"/>
      <c r="AF67" s="1141"/>
      <c r="AG67" s="1141"/>
      <c r="AH67" s="1141"/>
      <c r="AI67" s="1141"/>
      <c r="AJ67" s="1141"/>
      <c r="AK67" s="1141"/>
      <c r="AL67" s="1141"/>
      <c r="AM67" s="1141"/>
      <c r="AN67" s="1141"/>
      <c r="AO67" s="1141"/>
      <c r="AP67" s="1141"/>
      <c r="AQ67" s="1141"/>
      <c r="AR67" s="1141"/>
      <c r="AS67" s="1141"/>
      <c r="AT67" s="1141"/>
      <c r="AU67" s="1141"/>
      <c r="AV67" s="1141"/>
      <c r="AW67" s="1141"/>
      <c r="AX67" s="1141"/>
      <c r="AY67" s="1141"/>
      <c r="AZ67" s="1141"/>
      <c r="BA67" s="1141"/>
      <c r="BB67" s="1141"/>
      <c r="BC67" s="1141"/>
      <c r="BD67" s="1141"/>
      <c r="BE67" s="1142"/>
      <c r="BI67" s="638" t="s">
        <v>323</v>
      </c>
      <c r="BJ67" s="638">
        <v>4</v>
      </c>
      <c r="BK67" s="638" t="s">
        <v>324</v>
      </c>
      <c r="BL67" s="858">
        <v>0.128</v>
      </c>
      <c r="BM67" s="689">
        <v>8.7720000000000002</v>
      </c>
      <c r="BN67" s="653">
        <f t="shared" si="11"/>
        <v>1.459188326493388E-2</v>
      </c>
      <c r="BO67" s="289">
        <f>IF(SUM(BM67:BM69=0),0,SUM(BL67:BL69)/SUM(BM67:BM69))</f>
        <v>1.1879266497122206E-2</v>
      </c>
      <c r="BP67" s="821">
        <v>0.1</v>
      </c>
      <c r="BQ67" s="689"/>
      <c r="BR67" s="689"/>
      <c r="BS67" s="653" t="str">
        <f t="shared" si="12"/>
        <v/>
      </c>
      <c r="BT67" s="289">
        <f>IF(SUM(BR67:BR69=0),0,SUM(BQ67:BQ69)/SUM(BR67:BR69))</f>
        <v>0</v>
      </c>
      <c r="BU67" s="821">
        <v>0.1</v>
      </c>
      <c r="BX67" s="642" t="str">
        <f t="shared" si="9"/>
        <v>Jan</v>
      </c>
      <c r="BY67" s="643">
        <f>IF(CB67=$CB76,SUMIF($BI64:$BI75,$BX67,$BR64:$BR75),SUMIF($BI64:$BI75,$BX67,$BM64:$BM75))</f>
        <v>8.7720000000000002</v>
      </c>
      <c r="BZ67" s="821">
        <f>IF(CB67=$CB$38,SUMIF($BI64:$BI75,$BX67,$BU64:$BU75),SUMIF($BI64:$BI75,$BX67,$BP64:$BP75))</f>
        <v>0.1</v>
      </c>
      <c r="CA67" s="644">
        <f>IF(CB67=$CB$38,SUMIF($BI64:$BI75,$BX67,$BS64:$BS75),SUMIF($BI64:$BI75,$BX67,$BN64:$BN75))</f>
        <v>1.459188326493388E-2</v>
      </c>
      <c r="CB67" s="645">
        <f t="shared" si="13"/>
        <v>23</v>
      </c>
      <c r="CC67" s="645">
        <f t="shared" si="10"/>
        <v>1</v>
      </c>
    </row>
    <row r="68" spans="2:81" ht="15" customHeight="1">
      <c r="B68" s="1143"/>
      <c r="C68" s="1144"/>
      <c r="D68" s="1144"/>
      <c r="E68" s="1144"/>
      <c r="F68" s="1144"/>
      <c r="G68" s="1144"/>
      <c r="H68" s="1144"/>
      <c r="I68" s="1144"/>
      <c r="J68" s="1144"/>
      <c r="K68" s="1144"/>
      <c r="L68" s="1144"/>
      <c r="M68" s="1144"/>
      <c r="N68" s="1144"/>
      <c r="O68" s="1144"/>
      <c r="P68" s="1144"/>
      <c r="Q68" s="1144"/>
      <c r="R68" s="1144"/>
      <c r="S68" s="1144"/>
      <c r="T68" s="1144"/>
      <c r="U68" s="1144"/>
      <c r="V68" s="1144"/>
      <c r="W68" s="1144"/>
      <c r="X68" s="1144"/>
      <c r="Y68" s="1144"/>
      <c r="Z68" s="1144"/>
      <c r="AA68" s="1144"/>
      <c r="AB68" s="1145"/>
      <c r="AC68" s="566"/>
      <c r="AD68" s="566"/>
      <c r="AE68" s="1143"/>
      <c r="AF68" s="1144"/>
      <c r="AG68" s="1144"/>
      <c r="AH68" s="1144"/>
      <c r="AI68" s="1144"/>
      <c r="AJ68" s="1144"/>
      <c r="AK68" s="1144"/>
      <c r="AL68" s="1144"/>
      <c r="AM68" s="1144"/>
      <c r="AN68" s="1144"/>
      <c r="AO68" s="1144"/>
      <c r="AP68" s="1144"/>
      <c r="AQ68" s="1144"/>
      <c r="AR68" s="1144"/>
      <c r="AS68" s="1144"/>
      <c r="AT68" s="1144"/>
      <c r="AU68" s="1144"/>
      <c r="AV68" s="1144"/>
      <c r="AW68" s="1144"/>
      <c r="AX68" s="1144"/>
      <c r="AY68" s="1144"/>
      <c r="AZ68" s="1144"/>
      <c r="BA68" s="1144"/>
      <c r="BB68" s="1144"/>
      <c r="BC68" s="1144"/>
      <c r="BD68" s="1144"/>
      <c r="BE68" s="1145"/>
      <c r="BI68" s="638" t="s">
        <v>325</v>
      </c>
      <c r="BJ68" s="638">
        <v>5</v>
      </c>
      <c r="BK68" s="638" t="s">
        <v>324</v>
      </c>
      <c r="BL68" s="859">
        <v>0.11700000000000001</v>
      </c>
      <c r="BM68" s="690">
        <v>10.183</v>
      </c>
      <c r="BN68" s="653">
        <f t="shared" si="11"/>
        <v>1.148973779829127E-2</v>
      </c>
      <c r="BO68" s="855"/>
      <c r="BP68" s="821">
        <v>0.1</v>
      </c>
      <c r="BQ68" s="690"/>
      <c r="BR68" s="690"/>
      <c r="BS68" s="653" t="str">
        <f t="shared" si="12"/>
        <v/>
      </c>
      <c r="BT68" s="855"/>
      <c r="BU68" s="821">
        <v>0.1</v>
      </c>
      <c r="BX68" s="642" t="str">
        <f t="shared" si="9"/>
        <v>Feb</v>
      </c>
      <c r="BY68" s="643">
        <f>IF(CB68=$CB76,SUMIF($BI64:$BI75,$BX68,$BR64:$BR75),SUMIF($BI64:$BI75,$BX68,$BM64:$BM75))</f>
        <v>10.183</v>
      </c>
      <c r="BZ68" s="821">
        <f>IF(CB68=$CB$38,SUMIF($BI64:$BI75,$BX68,$BU64:$BU75),SUMIF($BI64:$BI75,$BX68,$BP64:$BP75))</f>
        <v>0.1</v>
      </c>
      <c r="CA68" s="644">
        <f>IF(CB68=$CB$38,SUMIF($BI64:$BI75,$BX68,$BS64:$BS75),SUMIF($BI64:$BI75,$BX68,$BN64:$BN75))</f>
        <v>1.148973779829127E-2</v>
      </c>
      <c r="CB68" s="645">
        <f t="shared" si="13"/>
        <v>23</v>
      </c>
      <c r="CC68" s="645">
        <f t="shared" si="10"/>
        <v>2</v>
      </c>
    </row>
    <row r="69" spans="2:81" ht="15" customHeight="1">
      <c r="BI69" s="638" t="s">
        <v>326</v>
      </c>
      <c r="BJ69" s="638">
        <v>6</v>
      </c>
      <c r="BK69" s="638" t="s">
        <v>324</v>
      </c>
      <c r="BL69" s="859">
        <v>0.11</v>
      </c>
      <c r="BM69" s="690">
        <v>10.929</v>
      </c>
      <c r="BN69" s="653">
        <f t="shared" si="11"/>
        <v>1.0064964772623296E-2</v>
      </c>
      <c r="BO69" s="855"/>
      <c r="BP69" s="821">
        <v>0.1</v>
      </c>
      <c r="BQ69" s="690"/>
      <c r="BR69" s="690"/>
      <c r="BS69" s="653" t="str">
        <f t="shared" si="12"/>
        <v/>
      </c>
      <c r="BT69" s="855"/>
      <c r="BU69" s="821">
        <v>0.1</v>
      </c>
      <c r="BX69" s="642" t="str">
        <f t="shared" si="9"/>
        <v>Mar</v>
      </c>
      <c r="BY69" s="643">
        <f>IF(CB69=$CB76,SUMIF($BI64:$BI75,$BX69,$BR64:$BR75),SUMIF($BI64:$BI75,$BX69,$BM64:$BM75))</f>
        <v>10.929</v>
      </c>
      <c r="BZ69" s="821">
        <f>IF(CB69=$CB$38,SUMIF($BI64:$BI75,$BX69,$BU64:$BU75),SUMIF($BI64:$BI75,$BX69,$BP64:$BP75))</f>
        <v>0.1</v>
      </c>
      <c r="CA69" s="644">
        <f>IF(CB69=$CB$38,SUMIF($BI64:$BI75,$BX69,$BS64:$BS75),SUMIF($BI64:$BI75,$BX69,$BN64:$BN75))</f>
        <v>1.0064964772623296E-2</v>
      </c>
      <c r="CB69" s="645">
        <f t="shared" si="13"/>
        <v>23</v>
      </c>
      <c r="CC69" s="645">
        <f t="shared" si="10"/>
        <v>3</v>
      </c>
    </row>
    <row r="70" spans="2:81" ht="15" customHeight="1">
      <c r="BI70" s="638" t="s">
        <v>327</v>
      </c>
      <c r="BJ70" s="638">
        <v>7</v>
      </c>
      <c r="BK70" s="638" t="s">
        <v>328</v>
      </c>
      <c r="BL70" s="859">
        <v>0.18099999999999999</v>
      </c>
      <c r="BM70" s="690">
        <v>8.5489999999999995</v>
      </c>
      <c r="BN70" s="653">
        <f t="shared" si="11"/>
        <v>2.117206690841034E-2</v>
      </c>
      <c r="BO70" s="289">
        <f>IF(SUM(BM70:BM72=0),0,SUM(BL70:BL72)/SUM(BM70:BM72))</f>
        <v>1.8907007492287353E-2</v>
      </c>
      <c r="BP70" s="821">
        <v>0.1</v>
      </c>
      <c r="BQ70" s="690"/>
      <c r="BR70" s="690"/>
      <c r="BS70" s="653" t="str">
        <f t="shared" si="12"/>
        <v/>
      </c>
      <c r="BT70" s="289">
        <f>IF(SUM(BR70:BR72=0),0,SUM(BQ70:BQ72)/SUM(BR70:BR72))</f>
        <v>0</v>
      </c>
      <c r="BU70" s="821">
        <v>0.1</v>
      </c>
      <c r="BX70" s="642" t="str">
        <f t="shared" si="9"/>
        <v>Apr</v>
      </c>
      <c r="BY70" s="643">
        <f>IF(CB70=$CB76,SUMIF($BI64:$BI75,$BX70,$BR64:$BR75),SUMIF($BI64:$BI75,$BX70,$BM64:$BM75))</f>
        <v>8.5489999999999995</v>
      </c>
      <c r="BZ70" s="821">
        <f>IF(CB70=$CB$38,SUMIF($BI64:$BI75,$BX70,$BU64:$BU75),SUMIF($BI64:$BI75,$BX70,$BP64:$BP75))</f>
        <v>0.1</v>
      </c>
      <c r="CA70" s="644">
        <f>IF(CB70=$CB$38,SUMIF($BI64:$BI75,$BX70,$BS64:$BS75),SUMIF($BI64:$BI75,$BX70,$BN64:$BN75))</f>
        <v>2.117206690841034E-2</v>
      </c>
      <c r="CB70" s="645">
        <f t="shared" si="13"/>
        <v>23</v>
      </c>
      <c r="CC70" s="645">
        <f t="shared" si="10"/>
        <v>4</v>
      </c>
    </row>
    <row r="71" spans="2:81" ht="15" customHeight="1">
      <c r="BI71" s="638" t="s">
        <v>329</v>
      </c>
      <c r="BJ71" s="638">
        <v>8</v>
      </c>
      <c r="BK71" s="638" t="s">
        <v>328</v>
      </c>
      <c r="BL71" s="859">
        <v>8.8999999999999996E-2</v>
      </c>
      <c r="BM71" s="690">
        <v>6.3730000000000002</v>
      </c>
      <c r="BN71" s="653">
        <f t="shared" si="11"/>
        <v>1.3965165542130863E-2</v>
      </c>
      <c r="BO71" s="855"/>
      <c r="BP71" s="821">
        <v>0.1</v>
      </c>
      <c r="BQ71" s="690"/>
      <c r="BR71" s="690"/>
      <c r="BS71" s="653" t="str">
        <f t="shared" si="12"/>
        <v/>
      </c>
      <c r="BT71" s="855"/>
      <c r="BU71" s="821">
        <v>0.1</v>
      </c>
      <c r="BX71" s="642" t="str">
        <f t="shared" si="9"/>
        <v>May</v>
      </c>
      <c r="BY71" s="643">
        <f>IF(CB71=$CB76,SUMIF($BI64:$BI75,$BX71,$BR64:$BR75),SUMIF($BI64:$BI75,$BX71,$BM64:$BM75))</f>
        <v>6.3730000000000002</v>
      </c>
      <c r="BZ71" s="821">
        <f>IF(CB71=$CB$38,SUMIF($BI64:$BI75,$BX71,$BU64:$BU75),SUMIF($BI64:$BI75,$BX71,$BP64:$BP75))</f>
        <v>0.1</v>
      </c>
      <c r="CA71" s="644">
        <f>IF(CB71=$CB$38,SUMIF($BI64:$BI75,$BX71,$BS64:$BS75),SUMIF($BI64:$BI75,$BX71,$BN64:$BN75))</f>
        <v>1.3965165542130863E-2</v>
      </c>
      <c r="CB71" s="645">
        <f t="shared" si="13"/>
        <v>23</v>
      </c>
      <c r="CC71" s="645">
        <f t="shared" si="10"/>
        <v>5</v>
      </c>
    </row>
    <row r="72" spans="2:81" ht="15" customHeight="1">
      <c r="AD72" s="336"/>
      <c r="BI72" s="638" t="s">
        <v>331</v>
      </c>
      <c r="BJ72" s="638">
        <v>9</v>
      </c>
      <c r="BK72" s="638" t="s">
        <v>328</v>
      </c>
      <c r="BL72" s="859">
        <v>0.159</v>
      </c>
      <c r="BM72" s="690">
        <v>7.7679999999999998</v>
      </c>
      <c r="BN72" s="653">
        <f t="shared" si="11"/>
        <v>2.0468589083419156E-2</v>
      </c>
      <c r="BO72" s="855"/>
      <c r="BP72" s="821">
        <v>0.1</v>
      </c>
      <c r="BQ72" s="690"/>
      <c r="BR72" s="690"/>
      <c r="BS72" s="653" t="str">
        <f t="shared" si="12"/>
        <v/>
      </c>
      <c r="BT72" s="855"/>
      <c r="BU72" s="821">
        <v>0.1</v>
      </c>
      <c r="BX72" s="642" t="str">
        <f t="shared" si="9"/>
        <v>Jun</v>
      </c>
      <c r="BY72" s="643">
        <f>IF(CB72=$CB76,SUMIF($BI64:$BI75,$BX72,$BR64:$BR75),SUMIF($BI64:$BI75,$BX72,$BM64:$BM75))</f>
        <v>7.7679999999999998</v>
      </c>
      <c r="BZ72" s="821">
        <f>IF(CB72=$CB$38,SUMIF($BI64:$BI75,$BX72,$BU64:$BU75),SUMIF($BI64:$BI75,$BX72,$BP64:$BP75))</f>
        <v>0.1</v>
      </c>
      <c r="CA72" s="644">
        <f>IF(CB72=$CB$38,SUMIF($BI64:$BI75,$BX72,$BS64:$BS75),SUMIF($BI64:$BI75,$BX72,$BN64:$BN75))</f>
        <v>2.0468589083419156E-2</v>
      </c>
      <c r="CB72" s="645">
        <f t="shared" si="13"/>
        <v>23</v>
      </c>
      <c r="CC72" s="645">
        <f t="shared" si="10"/>
        <v>6</v>
      </c>
    </row>
    <row r="73" spans="2:81" ht="15" customHeight="1">
      <c r="BI73" s="638" t="s">
        <v>337</v>
      </c>
      <c r="BJ73" s="638">
        <v>10</v>
      </c>
      <c r="BK73" s="638" t="s">
        <v>338</v>
      </c>
      <c r="BL73" s="859">
        <v>0.186</v>
      </c>
      <c r="BM73" s="690">
        <v>6.7519999999999998</v>
      </c>
      <c r="BN73" s="653">
        <f t="shared" si="11"/>
        <v>2.754739336492891E-2</v>
      </c>
      <c r="BO73" s="289">
        <f>IF(SUM(BM73:BM75=0),0,SUM(BL73:BL75)/SUM(BM73:BM75))</f>
        <v>2.6670081217531283E-2</v>
      </c>
      <c r="BP73" s="821">
        <v>0.1</v>
      </c>
      <c r="BQ73" s="690"/>
      <c r="BR73" s="690"/>
      <c r="BS73" s="653" t="str">
        <f t="shared" si="12"/>
        <v/>
      </c>
      <c r="BT73" s="289">
        <f>IF(SUM(BR73:BR75=0),0,SUM(BQ73:BQ75)/SUM(BR73:BR75))</f>
        <v>0</v>
      </c>
      <c r="BU73" s="821">
        <v>0.1</v>
      </c>
      <c r="BX73" s="642" t="str">
        <f t="shared" si="9"/>
        <v>Jul</v>
      </c>
      <c r="BY73" s="643">
        <f>IF(CB73=$CB76,SUMIF($BI64:$BI75,$BX73,$BR64:$BR75),SUMIF($BI64:$BI75,$BX73,$BM64:$BM75))</f>
        <v>6.7519999999999998</v>
      </c>
      <c r="BZ73" s="821">
        <f>IF(CB73=$CB$38,SUMIF($BI64:$BI75,$BX73,$BU64:$BU75),SUMIF($BI64:$BI75,$BX73,$BP64:$BP75))</f>
        <v>0.1</v>
      </c>
      <c r="CA73" s="644">
        <f>IF(CB73=$CB$38,SUMIF($BI64:$BI75,$BX73,$BS64:$BS75),SUMIF($BI64:$BI75,$BX73,$BN64:$BN75))</f>
        <v>2.754739336492891E-2</v>
      </c>
      <c r="CB73" s="645">
        <f t="shared" si="13"/>
        <v>23</v>
      </c>
      <c r="CC73" s="645">
        <f t="shared" si="10"/>
        <v>7</v>
      </c>
    </row>
    <row r="74" spans="2:81" ht="15" customHeight="1">
      <c r="BI74" s="638" t="s">
        <v>343</v>
      </c>
      <c r="BJ74" s="638">
        <v>11</v>
      </c>
      <c r="BK74" s="638" t="s">
        <v>338</v>
      </c>
      <c r="BL74" s="859">
        <v>0.16</v>
      </c>
      <c r="BM74" s="690">
        <v>7.8979999999999997</v>
      </c>
      <c r="BN74" s="653">
        <f t="shared" si="11"/>
        <v>2.0258293238794634E-2</v>
      </c>
      <c r="BO74" s="855"/>
      <c r="BP74" s="821">
        <v>0.1</v>
      </c>
      <c r="BQ74" s="690"/>
      <c r="BR74" s="690"/>
      <c r="BS74" s="653" t="str">
        <f t="shared" si="12"/>
        <v/>
      </c>
      <c r="BT74" s="855"/>
      <c r="BU74" s="821">
        <v>0.1</v>
      </c>
      <c r="BX74" s="642" t="str">
        <f t="shared" si="9"/>
        <v>Aug</v>
      </c>
      <c r="BY74" s="643">
        <f>IF(CB74=$CB76,SUMIF($BI64:$BI75,$BX74,$BR64:$BR75),SUMIF($BI64:$BI75,$BX74,$BM64:$BM75))</f>
        <v>7.8979999999999997</v>
      </c>
      <c r="BZ74" s="821">
        <f>IF(CB74=$CB$38,SUMIF($BI64:$BI75,$BX74,$BU64:$BU75),SUMIF($BI64:$BI75,$BX74,$BP64:$BP75))</f>
        <v>0.1</v>
      </c>
      <c r="CA74" s="644">
        <f>IF(CB74=$CB$38,SUMIF($BI64:$BI75,$BX74,$BS64:$BS75),SUMIF($BI64:$BI75,$BX74,$BN64:$BN75))</f>
        <v>2.0258293238794634E-2</v>
      </c>
      <c r="CB74" s="645">
        <f t="shared" si="13"/>
        <v>23</v>
      </c>
      <c r="CC74" s="645">
        <f t="shared" si="10"/>
        <v>8</v>
      </c>
    </row>
    <row r="75" spans="2:81" ht="15" customHeight="1">
      <c r="BI75" s="638" t="s">
        <v>344</v>
      </c>
      <c r="BJ75" s="638">
        <v>12</v>
      </c>
      <c r="BK75" s="638" t="s">
        <v>338</v>
      </c>
      <c r="BL75" s="859">
        <v>0.38300000000000001</v>
      </c>
      <c r="BM75" s="690">
        <v>12.683999999999999</v>
      </c>
      <c r="BN75" s="653">
        <f t="shared" si="11"/>
        <v>3.0195521917376223E-2</v>
      </c>
      <c r="BO75" s="855"/>
      <c r="BP75" s="821">
        <v>0.1</v>
      </c>
      <c r="BQ75" s="690"/>
      <c r="BR75" s="690"/>
      <c r="BS75" s="653" t="str">
        <f>IF(BR75="","",BQ75/BR75)</f>
        <v/>
      </c>
      <c r="BT75" s="855"/>
      <c r="BU75" s="821">
        <v>0.1</v>
      </c>
      <c r="BX75" s="642" t="str">
        <f t="shared" si="9"/>
        <v>Sep</v>
      </c>
      <c r="BY75" s="643">
        <f>IF(CB75=$CB76,SUMIF($BI64:$BI75,$BX75,$BR64:$BR75),SUMIF($BI64:$BI75,$BX75,$BM64:$BM75))</f>
        <v>12.683999999999999</v>
      </c>
      <c r="BZ75" s="821">
        <f>IF(CB75=$CB$38,SUMIF($BI64:$BI75,$BX75,$BU64:$BU75),SUMIF($BI64:$BI75,$BX75,$BP64:$BP75))</f>
        <v>0.1</v>
      </c>
      <c r="CA75" s="644">
        <f>IF(CB75=$CB$38,SUMIF($BI64:$BI75,$BX75,$BS64:$BS75),SUMIF($BI64:$BI75,$BX75,$BN64:$BN75))</f>
        <v>3.0195521917376223E-2</v>
      </c>
      <c r="CB75" s="645">
        <f t="shared" si="13"/>
        <v>23</v>
      </c>
      <c r="CC75" s="645">
        <f>IF(CC76-1&lt;1,CC76+11,CC76-1)</f>
        <v>9</v>
      </c>
    </row>
    <row r="76" spans="2:81" ht="15" customHeight="1">
      <c r="BJ76" s="277"/>
      <c r="BK76" s="277"/>
      <c r="BL76" s="277"/>
      <c r="BM76" s="277"/>
      <c r="BN76" s="277"/>
      <c r="BO76" s="277"/>
      <c r="BP76" s="277"/>
      <c r="BQ76" s="277"/>
      <c r="BR76" s="277"/>
      <c r="BS76" s="277"/>
      <c r="BT76" s="277"/>
      <c r="BW76" s="647" t="str">
        <f>Cover!$M$34</f>
        <v>OCT FY-24</v>
      </c>
      <c r="BX76" s="642" t="str">
        <f>TEXT(CONCATENATE(CC76,"/01/20",CB76),"MMM")</f>
        <v>Oct</v>
      </c>
      <c r="BY76" s="643">
        <f>SUMIF($BI64:$BI75,$BX76,$BR64:$BR75)</f>
        <v>9.5399999999999991</v>
      </c>
      <c r="BZ76" s="821">
        <f>IF(CB76=$CB$38,SUMIF($BI64:$BI75,$BX76,$BU64:$BU75),SUMIF($BI64:$BI75,$BX76,$BP64:$BP75))</f>
        <v>0.1</v>
      </c>
      <c r="CA76" s="644">
        <f>SUMIF($BI64:$BI75,$BX76,$BS64:$BS75)</f>
        <v>3.1236897274633125E-2</v>
      </c>
      <c r="CB76" s="645">
        <f>CB57</f>
        <v>24</v>
      </c>
      <c r="CC76" s="645">
        <f>MONTH(DATEVALUE(LEFT(BW76,3)&amp;" 1"))</f>
        <v>10</v>
      </c>
    </row>
    <row r="77" spans="2:81" ht="15" customHeight="1">
      <c r="BI77" s="37"/>
      <c r="BJ77" s="37"/>
      <c r="BK77" s="37"/>
      <c r="BL77" s="37"/>
      <c r="BM77" s="37"/>
      <c r="BN77" s="37"/>
      <c r="BO77" s="37"/>
      <c r="BP77" s="37"/>
      <c r="BQ77" s="37"/>
      <c r="BR77" s="37"/>
      <c r="BS77" s="37"/>
      <c r="BT77" s="37"/>
      <c r="BU77" s="37"/>
    </row>
    <row r="78" spans="2:81" ht="15" customHeight="1">
      <c r="BI78" s="54" t="s">
        <v>292</v>
      </c>
      <c r="BJ78" s="287" t="s">
        <v>634</v>
      </c>
      <c r="BK78" s="287"/>
      <c r="BL78" s="287"/>
      <c r="BM78" s="287"/>
      <c r="BN78" s="287"/>
      <c r="BO78" s="287"/>
      <c r="BP78" s="287"/>
      <c r="BQ78" s="287"/>
      <c r="BR78" s="287"/>
      <c r="BS78" s="287"/>
      <c r="BT78" s="287"/>
      <c r="BU78" s="287"/>
    </row>
    <row r="79" spans="2:81" ht="15" customHeight="1">
      <c r="BI79" s="54" t="s">
        <v>296</v>
      </c>
      <c r="BJ79" s="283" t="s">
        <v>635</v>
      </c>
      <c r="BK79" s="283"/>
      <c r="BL79" s="283"/>
      <c r="BM79" s="283"/>
      <c r="BN79" s="283"/>
      <c r="BO79" s="283"/>
      <c r="BP79" s="283"/>
      <c r="BQ79" s="283"/>
      <c r="BR79" s="283"/>
      <c r="BS79" s="283"/>
      <c r="BT79" s="283"/>
      <c r="BU79" s="283"/>
    </row>
    <row r="80" spans="2:81" ht="15" customHeight="1" thickBot="1">
      <c r="BI80" s="54" t="s">
        <v>300</v>
      </c>
      <c r="BJ80" s="283" t="s">
        <v>636</v>
      </c>
      <c r="BK80" s="283"/>
      <c r="BL80" s="283"/>
      <c r="BM80" s="283"/>
      <c r="BN80" s="283"/>
      <c r="BO80" s="283"/>
      <c r="BP80" s="283"/>
      <c r="BQ80" s="283"/>
      <c r="BR80" s="283"/>
      <c r="BS80" s="283"/>
      <c r="BT80" s="283"/>
      <c r="BU80" s="283"/>
    </row>
    <row r="81" spans="61:81" ht="15" customHeight="1" thickBot="1">
      <c r="BI81" s="277"/>
      <c r="BJ81" s="277"/>
      <c r="BK81" s="277"/>
      <c r="BL81" s="1148" t="s">
        <v>302</v>
      </c>
      <c r="BM81" s="1149"/>
      <c r="BN81" s="1149"/>
      <c r="BO81" s="1149"/>
      <c r="BP81" s="1151"/>
      <c r="BQ81" s="1148" t="s">
        <v>719</v>
      </c>
      <c r="BR81" s="1149"/>
      <c r="BS81" s="1149"/>
      <c r="BT81" s="1149"/>
      <c r="BU81" s="1150"/>
      <c r="BW81" s="1148" t="s">
        <v>303</v>
      </c>
      <c r="BX81" s="1149"/>
      <c r="BY81" s="1149"/>
      <c r="BZ81" s="1149"/>
      <c r="CA81" s="1149"/>
      <c r="CB81" s="1149"/>
      <c r="CC81" s="1150"/>
    </row>
    <row r="82" spans="61:81" ht="15" customHeight="1">
      <c r="BI82" s="636" t="s">
        <v>23</v>
      </c>
      <c r="BJ82" s="636" t="s">
        <v>37</v>
      </c>
      <c r="BK82" s="636" t="s">
        <v>304</v>
      </c>
      <c r="BL82" s="637" t="s">
        <v>305</v>
      </c>
      <c r="BM82" s="637" t="s">
        <v>310</v>
      </c>
      <c r="BN82" s="637" t="s">
        <v>311</v>
      </c>
      <c r="BO82" s="278" t="s">
        <v>312</v>
      </c>
      <c r="BP82" s="637" t="s">
        <v>313</v>
      </c>
      <c r="BQ82" s="637" t="s">
        <v>305</v>
      </c>
      <c r="BR82" s="637" t="s">
        <v>715</v>
      </c>
      <c r="BS82" s="637" t="s">
        <v>716</v>
      </c>
      <c r="BT82" s="278" t="s">
        <v>717</v>
      </c>
      <c r="BU82" s="637" t="s">
        <v>718</v>
      </c>
      <c r="BW82" s="279" t="s">
        <v>314</v>
      </c>
      <c r="BX82" s="279" t="s">
        <v>23</v>
      </c>
      <c r="BY82" s="280" t="s">
        <v>315</v>
      </c>
      <c r="BZ82" s="279" t="s">
        <v>122</v>
      </c>
      <c r="CA82" s="279" t="s">
        <v>316</v>
      </c>
      <c r="CB82" s="279" t="s">
        <v>317</v>
      </c>
      <c r="CC82" s="279" t="s">
        <v>318</v>
      </c>
    </row>
    <row r="83" spans="61:81" ht="15" customHeight="1">
      <c r="BI83" s="638" t="s">
        <v>319</v>
      </c>
      <c r="BJ83" s="638">
        <v>1</v>
      </c>
      <c r="BK83" s="638" t="s">
        <v>320</v>
      </c>
      <c r="BL83" s="690">
        <v>2.907</v>
      </c>
      <c r="BM83" s="690">
        <v>2.9079999999999999</v>
      </c>
      <c r="BN83" s="842">
        <f>IF(BM83="","",BL83/BM83)</f>
        <v>0.99965612104539203</v>
      </c>
      <c r="BO83" s="289">
        <f>IF(SUM(BM83:BM85=0),0,SUM(BL83:BL85)/SUM(BM83:BM85))</f>
        <v>0.99956587801172136</v>
      </c>
      <c r="BP83" s="821">
        <v>0.85</v>
      </c>
      <c r="BQ83" s="690">
        <v>3.8239999999999998</v>
      </c>
      <c r="BR83" s="690">
        <v>3.8250000000000002</v>
      </c>
      <c r="BS83" s="842">
        <f>IF(BR83=0,0,BQ83/BR83)</f>
        <v>0.99973856209150314</v>
      </c>
      <c r="BT83" s="289">
        <f>IF(SUM(BR83:BR85=0),0,SUM(BQ83:BQ85)/SUM(BR83:BR85))</f>
        <v>0.99973856209150314</v>
      </c>
      <c r="BU83" s="821">
        <v>0.85</v>
      </c>
      <c r="BV83" s="435"/>
      <c r="BX83" s="642" t="str">
        <f t="shared" ref="BX83:BX94" si="14">TEXT(CONCATENATE(CC83,"/01/20",CB83),"MMM")</f>
        <v>Oct</v>
      </c>
      <c r="BY83" s="643">
        <f>IF(CB83=$CB95,SUMIF($BI83:$BI94,$BX83,$BR83:$BR94),SUMIF($BI83:$BI94,$BX83,$BM83:$BM94))</f>
        <v>2.9079999999999999</v>
      </c>
      <c r="BZ83" s="821">
        <f>IF(IF(CB83=CB95,SUMIF(BI83:BI94,$BX83,BU83:BU94),SUMIF(BI83:BI94,$BX83,BP83:BP94))=0,NA(),IF(CB83=CB95,SUMIF(BI83:BI94,$BX83,BU83:BU94),SUMIF(BI83:BI94,$BX83,BP83:BP94)))</f>
        <v>0.85</v>
      </c>
      <c r="CA83" s="644">
        <f>IF(IF(CB83=CB95,SUMIF(BI83:BI94,$BX83,BS83:BS94),SUMIF(BI83:BI94,$BX83,BN83:BN94))=0,NA(),IF(CB83=CB95,SUMIF(BI83:BI94,$BX83,BS83:BS94),SUMIF(BI83:BI94,$BX83,BN83:BN94)))</f>
        <v>0.99965612104539203</v>
      </c>
      <c r="CB83" s="645">
        <f>CB64</f>
        <v>23</v>
      </c>
      <c r="CC83" s="645">
        <f>IF(CC84-1&lt;1,CC84+11,CC84-1)</f>
        <v>10</v>
      </c>
    </row>
    <row r="84" spans="61:81" ht="15" customHeight="1">
      <c r="BI84" s="638" t="s">
        <v>321</v>
      </c>
      <c r="BJ84" s="638">
        <v>2</v>
      </c>
      <c r="BK84" s="638" t="s">
        <v>320</v>
      </c>
      <c r="BL84" s="690">
        <v>2.8069999999999999</v>
      </c>
      <c r="BM84" s="690">
        <v>2.8069999999999999</v>
      </c>
      <c r="BN84" s="842">
        <f t="shared" ref="BN84:BN94" si="15">IF(BM84="","",BL84/BM84)</f>
        <v>1</v>
      </c>
      <c r="BO84" s="855"/>
      <c r="BP84" s="821">
        <v>0.85</v>
      </c>
      <c r="BQ84" s="690"/>
      <c r="BR84" s="690"/>
      <c r="BS84" s="842">
        <f>IF(BR84=0,0,BQ84/BR84)</f>
        <v>0</v>
      </c>
      <c r="BT84" s="855"/>
      <c r="BU84" s="821">
        <v>0.85</v>
      </c>
      <c r="BX84" s="642" t="str">
        <f t="shared" si="14"/>
        <v>Nov</v>
      </c>
      <c r="BY84" s="643">
        <f>IF(CB84=$CB95,SUMIF($BI83:$BI94,$BX84,$BR83:$BR94),SUMIF($BI83:$BI94,$BX84,$BM83:$BM94))</f>
        <v>2.8069999999999999</v>
      </c>
      <c r="BZ84" s="821">
        <f>IF(IF(CB84=CB95,SUMIF(BI83:BI94,$BX84,BU83:BU94),SUMIF(BI83:BI94,$BX84,BP83:BP94))=0,NA(),IF(CB84=CB95,SUMIF(BI83:BI94,$BX84,BU83:BU94),SUMIF(BI83:BI94,$BX84,BP83:BP94)))</f>
        <v>0.85</v>
      </c>
      <c r="CA84" s="644">
        <f>IF(IF(CB84=CB95,SUMIF(BI83:BI94,$BX84,BS83:BS94),SUMIF(BI83:BI94,$BX84,BN83:BN94))=0,NA(),IF(CB84=CB95,SUMIF(BI83:BI94,$BX84,BS83:BS94),SUMIF(BI83:BI94,$BX84,BN83:BN94)))</f>
        <v>1</v>
      </c>
      <c r="CB84" s="645">
        <f t="shared" ref="CB84:CB94" si="16">CB65</f>
        <v>23</v>
      </c>
      <c r="CC84" s="645">
        <f t="shared" ref="CC84:CC93" si="17">IF(CC85-1&lt;1,CC85+11,CC85-1)</f>
        <v>11</v>
      </c>
    </row>
    <row r="85" spans="61:81" ht="15" customHeight="1">
      <c r="BI85" s="638" t="s">
        <v>322</v>
      </c>
      <c r="BJ85" s="638">
        <v>3</v>
      </c>
      <c r="BK85" s="638" t="s">
        <v>320</v>
      </c>
      <c r="BL85" s="690">
        <v>3.496</v>
      </c>
      <c r="BM85" s="690">
        <v>3.4990000000000001</v>
      </c>
      <c r="BN85" s="842">
        <f t="shared" si="15"/>
        <v>0.99914261217490707</v>
      </c>
      <c r="BO85" s="855"/>
      <c r="BP85" s="821">
        <v>0.85</v>
      </c>
      <c r="BQ85" s="690"/>
      <c r="BR85" s="690"/>
      <c r="BS85" s="842">
        <f>IF(BR85=0,0,BQ85/BR85)</f>
        <v>0</v>
      </c>
      <c r="BT85" s="855"/>
      <c r="BU85" s="821">
        <v>0.85</v>
      </c>
      <c r="BX85" s="642" t="str">
        <f t="shared" si="14"/>
        <v>Dec</v>
      </c>
      <c r="BY85" s="643">
        <f>IF(CB85=$CB95,SUMIF($BI83:$BI94,$BX85,$BR83:$BR94),SUMIF($BI83:$BI94,$BX85,$BM83:$BM94))</f>
        <v>3.4990000000000001</v>
      </c>
      <c r="BZ85" s="821">
        <f>IF(IF(CB85=CB95,SUMIF(BI83:BI94,$BX85,BU83:BU94),SUMIF(BI83:BI94,$BX85,BP83:BP94))=0,NA(),IF(CB85=CB95,SUMIF(BI83:BI94,$BX85,BU83:BU94),SUMIF(BI83:BI94,$BX85,BP83:BP94)))</f>
        <v>0.85</v>
      </c>
      <c r="CA85" s="644">
        <f>IF(IF(CB85=CB95,SUMIF(BI83:BI94,$BX85,BS83:BS94),SUMIF(BI83:BI94,$BX85,BN83:BN94))=0,NA(),IF(CB85=CB95,SUMIF(BI83:BI94,$BX85,BS83:BS94),SUMIF(BI83:BI94,$BX85,BN83:BN94)))</f>
        <v>0.99914261217490707</v>
      </c>
      <c r="CB85" s="645">
        <f t="shared" si="16"/>
        <v>23</v>
      </c>
      <c r="CC85" s="645">
        <f t="shared" si="17"/>
        <v>12</v>
      </c>
    </row>
    <row r="86" spans="61:81" ht="15" customHeight="1">
      <c r="BI86" s="638" t="s">
        <v>323</v>
      </c>
      <c r="BJ86" s="638">
        <v>4</v>
      </c>
      <c r="BK86" s="638" t="s">
        <v>324</v>
      </c>
      <c r="BL86" s="690">
        <v>3.7949999999999999</v>
      </c>
      <c r="BM86" s="690">
        <v>3.7949999999999999</v>
      </c>
      <c r="BN86" s="842">
        <f t="shared" si="15"/>
        <v>1</v>
      </c>
      <c r="BO86" s="289">
        <f>IF(SUM(BM86:BM88=0),0,SUM(BL86:BL88)/SUM(BM86:BM88))</f>
        <v>0.99973528633195097</v>
      </c>
      <c r="BP86" s="821">
        <v>0.85</v>
      </c>
      <c r="BQ86" s="690"/>
      <c r="BR86" s="690"/>
      <c r="BS86" s="842">
        <f>IF(BR86=0,0,BQ86/BR86)</f>
        <v>0</v>
      </c>
      <c r="BT86" s="289">
        <f>IF(SUM(BR86:BR88=0),0,SUM(BQ86:BQ88)/SUM(BR86:BR88))</f>
        <v>0</v>
      </c>
      <c r="BU86" s="821">
        <v>0.85</v>
      </c>
      <c r="BX86" s="642" t="str">
        <f t="shared" si="14"/>
        <v>Jan</v>
      </c>
      <c r="BY86" s="643">
        <f>IF(CB86=$CB95,SUMIF($BI83:$BI94,$BX86,$BR83:$BR94),SUMIF($BI83:$BI94,$BX86,$BM83:$BM94))</f>
        <v>3.7949999999999999</v>
      </c>
      <c r="BZ86" s="821">
        <f>IF(IF(CB86=CB95,SUMIF(BI83:BI94,$BX86,BU83:BU94),SUMIF(BI83:BI94,$BX86,BP83:BP94))=0,NA(),IF(CB86=CB95,SUMIF(BI83:BI94,$BX86,BU83:BU94),SUMIF(BI83:BI94,$BX86,BP83:BP94)))</f>
        <v>0.85</v>
      </c>
      <c r="CA86" s="644">
        <f>IF(IF(CB86=CB95,SUMIF(BI83:BI94,$BX86,BS83:BS94),SUMIF(BI83:BI94,$BX86,BN83:BN94))=0,NA(),IF(CB86=CB95,SUMIF(BI83:BI94,$BX86,BS83:BS94),SUMIF(BI83:BI94,$BX86,BN83:BN94)))</f>
        <v>1</v>
      </c>
      <c r="CB86" s="645">
        <f t="shared" si="16"/>
        <v>23</v>
      </c>
      <c r="CC86" s="645">
        <f t="shared" si="17"/>
        <v>1</v>
      </c>
    </row>
    <row r="87" spans="61:81" ht="15" customHeight="1">
      <c r="BI87" s="638" t="s">
        <v>325</v>
      </c>
      <c r="BJ87" s="638">
        <v>5</v>
      </c>
      <c r="BK87" s="638" t="s">
        <v>324</v>
      </c>
      <c r="BL87" s="690">
        <v>3.4060000000000001</v>
      </c>
      <c r="BM87" s="690">
        <v>3.407</v>
      </c>
      <c r="BN87" s="842">
        <f t="shared" si="15"/>
        <v>0.99970648664514239</v>
      </c>
      <c r="BO87" s="855"/>
      <c r="BP87" s="821">
        <v>0.85</v>
      </c>
      <c r="BQ87" s="690"/>
      <c r="BR87" s="822"/>
      <c r="BS87" s="842">
        <f t="shared" ref="BS87:BS94" si="18">IF(BR87=0,0,BQ87/BR87)</f>
        <v>0</v>
      </c>
      <c r="BT87" s="855"/>
      <c r="BU87" s="821">
        <v>0.85</v>
      </c>
      <c r="BX87" s="642" t="str">
        <f t="shared" si="14"/>
        <v>Feb</v>
      </c>
      <c r="BY87" s="643">
        <f>IF(CB87=$CB95,SUMIF($BI83:$BI94,$BX87,$BR83:$BR94),SUMIF($BI83:$BI94,$BX87,$BM83:$BM94))</f>
        <v>3.407</v>
      </c>
      <c r="BZ87" s="821">
        <f>IF(IF(CB87=CB95,SUMIF(BI83:BI94,$BX87,BU83:BU94),SUMIF(BI83:BI94,$BX87,BP83:BP94))=0,NA(),IF(CB87=CB95,SUMIF(BI83:BI94,$BX87,BU83:BU94),SUMIF(BI83:BI94,$BX87,BP83:BP94)))</f>
        <v>0.85</v>
      </c>
      <c r="CA87" s="644">
        <f>IF(IF(CB87=CB95,SUMIF(BI83:BI94,$BX87,BS83:BS94),SUMIF(BI83:BI94,$BX87,BN83:BN94))=0,NA(),IF(CB87=CB95,SUMIF(BI83:BI94,$BX87,BS83:BS94),SUMIF(BI83:BI94,$BX87,BN83:BN94)))</f>
        <v>0.99970648664514239</v>
      </c>
      <c r="CB87" s="645">
        <f t="shared" si="16"/>
        <v>23</v>
      </c>
      <c r="CC87" s="645">
        <f t="shared" si="17"/>
        <v>2</v>
      </c>
    </row>
    <row r="88" spans="61:81" ht="15" customHeight="1">
      <c r="BI88" s="638" t="s">
        <v>326</v>
      </c>
      <c r="BJ88" s="638">
        <v>6</v>
      </c>
      <c r="BK88" s="638" t="s">
        <v>324</v>
      </c>
      <c r="BL88" s="690">
        <v>4.1289999999999996</v>
      </c>
      <c r="BM88" s="690">
        <v>4.1310000000000002</v>
      </c>
      <c r="BN88" s="842">
        <f t="shared" si="15"/>
        <v>0.9995158557250059</v>
      </c>
      <c r="BO88" s="855"/>
      <c r="BP88" s="821">
        <v>0.85</v>
      </c>
      <c r="BQ88" s="690"/>
      <c r="BR88" s="822"/>
      <c r="BS88" s="842">
        <f t="shared" si="18"/>
        <v>0</v>
      </c>
      <c r="BT88" s="855"/>
      <c r="BU88" s="821">
        <v>0.85</v>
      </c>
      <c r="BX88" s="642" t="str">
        <f t="shared" si="14"/>
        <v>Mar</v>
      </c>
      <c r="BY88" s="643">
        <f>IF(CB88=$CB95,SUMIF($BI83:$BI94,$BX88,$BR83:$BR94),SUMIF($BI83:$BI94,$BX88,$BM83:$BM94))</f>
        <v>4.1310000000000002</v>
      </c>
      <c r="BZ88" s="821">
        <f>IF(IF(CB88=CB95,SUMIF(BI83:BI94,$BX88,BU83:BU94),SUMIF(BI83:BI94,$BX88,BP83:BP94))=0,NA(),IF(CB88=CB95,SUMIF(BI83:BI94,$BX88,BU83:BU94),SUMIF(BI83:BI94,$BX88,BP83:BP94)))</f>
        <v>0.85</v>
      </c>
      <c r="CA88" s="644">
        <f>IF(IF(CB88=CB95,SUMIF(BI83:BI94,$BX88,BS83:BS94),SUMIF(BI83:BI94,$BX88,BN83:BN94))=0,NA(),IF(CB88=CB95,SUMIF(BI83:BI94,$BX88,BS83:BS94),SUMIF(BI83:BI94,$BX88,BN83:BN94)))</f>
        <v>0.9995158557250059</v>
      </c>
      <c r="CB88" s="645">
        <f t="shared" si="16"/>
        <v>23</v>
      </c>
      <c r="CC88" s="645">
        <f t="shared" si="17"/>
        <v>3</v>
      </c>
    </row>
    <row r="89" spans="61:81" ht="15" customHeight="1">
      <c r="BI89" s="638" t="s">
        <v>327</v>
      </c>
      <c r="BJ89" s="638">
        <v>7</v>
      </c>
      <c r="BK89" s="638" t="s">
        <v>328</v>
      </c>
      <c r="BL89" s="690">
        <v>3.0270000000000001</v>
      </c>
      <c r="BM89" s="690">
        <v>3.0270000000000001</v>
      </c>
      <c r="BN89" s="842">
        <f t="shared" si="15"/>
        <v>1</v>
      </c>
      <c r="BO89" s="289">
        <f>IF(SUM(BM89:BM91=0),0,SUM(BL89:BL91)/SUM(BM89:BM91))</f>
        <v>1</v>
      </c>
      <c r="BP89" s="821">
        <v>0.85</v>
      </c>
      <c r="BQ89" s="690"/>
      <c r="BR89" s="822"/>
      <c r="BS89" s="842">
        <f t="shared" si="18"/>
        <v>0</v>
      </c>
      <c r="BT89" s="289">
        <f>IF(SUM(BR89:BR91=0),0,SUM(BQ89:BQ91)/SUM(BR89:BR91))</f>
        <v>0</v>
      </c>
      <c r="BU89" s="821">
        <v>0.85</v>
      </c>
      <c r="BX89" s="642" t="str">
        <f t="shared" si="14"/>
        <v>Apr</v>
      </c>
      <c r="BY89" s="643">
        <f>IF(CB89=$CB95,SUMIF($BI83:$BI94,$BX89,$BR83:$BR94),SUMIF($BI83:$BI94,$BX89,$BM83:$BM94))</f>
        <v>3.0270000000000001</v>
      </c>
      <c r="BZ89" s="821">
        <f>IF(IF(CB89=CB95,SUMIF(BI83:BI94,$BX89,BU83:BU94),SUMIF(BI83:BI94,$BX89,BP83:BP94))=0,NA(),IF(CB89=CB95,SUMIF(BI83:BI94,$BX89,BU83:BU94),SUMIF(BI83:BI94,$BX89,BP83:BP94)))</f>
        <v>0.85</v>
      </c>
      <c r="CA89" s="644">
        <f>IF(IF(CB89=CB95,SUMIF(BI83:BI94,$BX89,BS83:BS94),SUMIF(BI83:BI94,$BX89,BN83:BN94))=0,NA(),IF(CB89=CB95,SUMIF(BI83:BI94,$BX89,BS83:BS94),SUMIF(BI83:BI94,$BX89,BN83:BN94)))</f>
        <v>1</v>
      </c>
      <c r="CB89" s="645">
        <f t="shared" si="16"/>
        <v>23</v>
      </c>
      <c r="CC89" s="645">
        <f t="shared" si="17"/>
        <v>4</v>
      </c>
    </row>
    <row r="90" spans="61:81" ht="15" customHeight="1">
      <c r="BI90" s="638" t="s">
        <v>329</v>
      </c>
      <c r="BJ90" s="638">
        <v>8</v>
      </c>
      <c r="BK90" s="638" t="s">
        <v>328</v>
      </c>
      <c r="BL90" s="690">
        <v>2.5379999999999998</v>
      </c>
      <c r="BM90" s="690">
        <v>2.5379999999999998</v>
      </c>
      <c r="BN90" s="842">
        <f t="shared" si="15"/>
        <v>1</v>
      </c>
      <c r="BO90" s="855"/>
      <c r="BP90" s="821">
        <v>0.85</v>
      </c>
      <c r="BQ90" s="690"/>
      <c r="BR90" s="822"/>
      <c r="BS90" s="842">
        <f t="shared" si="18"/>
        <v>0</v>
      </c>
      <c r="BT90" s="855"/>
      <c r="BU90" s="821">
        <v>0.85</v>
      </c>
      <c r="BX90" s="642" t="str">
        <f t="shared" si="14"/>
        <v>May</v>
      </c>
      <c r="BY90" s="643">
        <f>IF(CB90=$CB95,SUMIF($BI83:$BI94,$BX90,$BR83:$BR94),SUMIF($BI83:$BI94,$BX90,$BM83:$BM94))</f>
        <v>2.5379999999999998</v>
      </c>
      <c r="BZ90" s="821">
        <f>IF(IF(CB90=CB95,SUMIF(BI83:BI94,$BX90,BU83:BU94),SUMIF(BI83:BI94,$BX90,BP83:BP94))=0,NA(),IF(CB90=CB95,SUMIF(BI83:BI94,$BX90,BU83:BU94),SUMIF(BI83:BI94,$BX90,BP83:BP94)))</f>
        <v>0.85</v>
      </c>
      <c r="CA90" s="644">
        <f>IF(IF(CB90=CB95,SUMIF(BI83:BI94,$BX90,BS83:BS94),SUMIF(BI83:BI94,$BX90,BN83:BN94))=0,NA(),IF(CB90=CB95,SUMIF(BI83:BI94,$BX90,BS83:BS94),SUMIF(BI83:BI94,$BX90,BN83:BN94)))</f>
        <v>1</v>
      </c>
      <c r="CB90" s="645">
        <f t="shared" si="16"/>
        <v>23</v>
      </c>
      <c r="CC90" s="645">
        <f t="shared" si="17"/>
        <v>5</v>
      </c>
    </row>
    <row r="91" spans="61:81" ht="15" customHeight="1">
      <c r="BI91" s="638" t="s">
        <v>331</v>
      </c>
      <c r="BJ91" s="638">
        <v>9</v>
      </c>
      <c r="BK91" s="638" t="s">
        <v>328</v>
      </c>
      <c r="BL91" s="690">
        <v>3.3370000000000002</v>
      </c>
      <c r="BM91" s="690">
        <v>3.3370000000000002</v>
      </c>
      <c r="BN91" s="842">
        <f t="shared" si="15"/>
        <v>1</v>
      </c>
      <c r="BO91" s="855"/>
      <c r="BP91" s="821">
        <v>0.85</v>
      </c>
      <c r="BQ91" s="690"/>
      <c r="BR91" s="822"/>
      <c r="BS91" s="842">
        <f t="shared" si="18"/>
        <v>0</v>
      </c>
      <c r="BT91" s="855"/>
      <c r="BU91" s="821">
        <v>0.85</v>
      </c>
      <c r="BX91" s="642" t="str">
        <f t="shared" si="14"/>
        <v>Jun</v>
      </c>
      <c r="BY91" s="643">
        <f>IF(CB91=$CB95,SUMIF($BI83:$BI94,$BX91,$BR83:$BR94),SUMIF($BI83:$BI94,$BX91,$BM83:$BM94))</f>
        <v>3.3370000000000002</v>
      </c>
      <c r="BZ91" s="821">
        <f>IF(IF(CB91=CB95,SUMIF(BI83:BI94,$BX91,BU83:BU94),SUMIF(BI83:BI94,$BX91,BP83:BP94))=0,NA(),IF(CB91=CB95,SUMIF(BI83:BI94,$BX91,BU83:BU94),SUMIF(BI83:BI94,$BX91,BP83:BP94)))</f>
        <v>0.85</v>
      </c>
      <c r="CA91" s="644">
        <f>IF(IF(CB91=CB95,SUMIF(BI83:BI94,$BX91,BS83:BS94),SUMIF(BI83:BI94,$BX91,BN83:BN94))=0,NA(),IF(CB91=CB95,SUMIF(BI83:BI94,$BX91,BS83:BS94),SUMIF(BI83:BI94,$BX91,BN83:BN94)))</f>
        <v>1</v>
      </c>
      <c r="CB91" s="645">
        <f t="shared" si="16"/>
        <v>23</v>
      </c>
      <c r="CC91" s="645">
        <f t="shared" si="17"/>
        <v>6</v>
      </c>
    </row>
    <row r="92" spans="61:81" ht="15" customHeight="1">
      <c r="BI92" s="638" t="s">
        <v>337</v>
      </c>
      <c r="BJ92" s="638">
        <v>10</v>
      </c>
      <c r="BK92" s="638" t="s">
        <v>338</v>
      </c>
      <c r="BL92" s="690">
        <v>3.0310000000000001</v>
      </c>
      <c r="BM92" s="690">
        <v>3.0329999999999999</v>
      </c>
      <c r="BN92" s="842">
        <f t="shared" si="15"/>
        <v>0.9993405868776789</v>
      </c>
      <c r="BO92" s="289">
        <f>IF(SUM(BM92:BM94=0),0,SUM(BL92:BL94)/SUM(BM92:BM94))</f>
        <v>0.99972512369433775</v>
      </c>
      <c r="BP92" s="821">
        <v>0.85</v>
      </c>
      <c r="BQ92" s="690"/>
      <c r="BR92" s="822"/>
      <c r="BS92" s="842">
        <f t="shared" si="18"/>
        <v>0</v>
      </c>
      <c r="BT92" s="289">
        <f>IF(SUM(BR92:BR94=0),0,SUM(BQ92:BQ94)/SUM(BR92:BR94))</f>
        <v>0</v>
      </c>
      <c r="BU92" s="821">
        <v>0.85</v>
      </c>
      <c r="BX92" s="642" t="str">
        <f t="shared" si="14"/>
        <v>Jul</v>
      </c>
      <c r="BY92" s="643">
        <f>IF(CB92=$CB95,SUMIF($BI83:$BI94,$BX92,$BR83:$BR94),SUMIF($BI83:$BI94,$BX92,$BM83:$BM94))</f>
        <v>3.0329999999999999</v>
      </c>
      <c r="BZ92" s="821">
        <f>IF(IF(CB92=CB95,SUMIF(BI83:BI94,$BX92,BU83:BU94),SUMIF(BI83:BI94,$BX92,BP83:BP94))=0,NA(),IF(CB92=CB95,SUMIF(BI83:BI94,$BX92,BU83:BU94),SUMIF(BI83:BI94,$BX92,BP83:BP94)))</f>
        <v>0.85</v>
      </c>
      <c r="CA92" s="644">
        <f>IF(IF(CB92=CB95,SUMIF(BI83:BI94,$BX92,BS83:BS94),SUMIF(BI83:BI94,$BX92,BN83:BN94))=0,NA(),IF(CB92=CB95,SUMIF(BI83:BI94,$BX92,BS83:BS94),SUMIF(BI83:BI94,$BX92,BN83:BN94)))</f>
        <v>0.9993405868776789</v>
      </c>
      <c r="CB92" s="645">
        <f t="shared" si="16"/>
        <v>23</v>
      </c>
      <c r="CC92" s="645">
        <f t="shared" si="17"/>
        <v>7</v>
      </c>
    </row>
    <row r="93" spans="61:81" ht="15" customHeight="1">
      <c r="BI93" s="638" t="s">
        <v>343</v>
      </c>
      <c r="BJ93" s="638">
        <v>11</v>
      </c>
      <c r="BK93" s="638" t="s">
        <v>338</v>
      </c>
      <c r="BL93" s="690">
        <v>3.4550000000000001</v>
      </c>
      <c r="BM93" s="690">
        <v>3.4550000000000001</v>
      </c>
      <c r="BN93" s="842">
        <f t="shared" si="15"/>
        <v>1</v>
      </c>
      <c r="BO93" s="855"/>
      <c r="BP93" s="821">
        <v>0.85</v>
      </c>
      <c r="BQ93" s="690"/>
      <c r="BR93" s="822"/>
      <c r="BS93" s="842">
        <f t="shared" si="18"/>
        <v>0</v>
      </c>
      <c r="BT93" s="855"/>
      <c r="BU93" s="821">
        <v>0.85</v>
      </c>
      <c r="BX93" s="642" t="str">
        <f t="shared" si="14"/>
        <v>Aug</v>
      </c>
      <c r="BY93" s="643">
        <f>IF(CB93=$CB95,SUMIF($BI83:$BI94,$BX93,$BR83:$BR94),SUMIF($BI83:$BI94,$BX93,$BM83:$BM94))</f>
        <v>3.4550000000000001</v>
      </c>
      <c r="BZ93" s="821">
        <f>IF(IF(CB93=CB95,SUMIF(BI83:BI94,$BX93,BU83:BU94),SUMIF(BI83:BI94,$BX93,BP83:BP94))=0,NA(),IF(CB93=CB95,SUMIF(BI83:BI94,$BX93,BU83:BU94),SUMIF(BI83:BI94,$BX93,BP83:BP94)))</f>
        <v>0.85</v>
      </c>
      <c r="CA93" s="644">
        <f>IF(IF(CB93=CB95,SUMIF(BI83:BI94,$BX93,BS83:BS94),SUMIF(BI83:BI94,$BX93,BN83:BN94))=0,NA(),IF(CB93=CB95,SUMIF(BI83:BI94,$BX93,BS83:BS94),SUMIF(BI83:BI94,$BX93,BN83:BN94)))</f>
        <v>1</v>
      </c>
      <c r="CB93" s="645">
        <f t="shared" si="16"/>
        <v>23</v>
      </c>
      <c r="CC93" s="645">
        <f t="shared" si="17"/>
        <v>8</v>
      </c>
    </row>
    <row r="94" spans="61:81" ht="15" customHeight="1">
      <c r="BI94" s="638" t="s">
        <v>344</v>
      </c>
      <c r="BJ94" s="638">
        <v>12</v>
      </c>
      <c r="BK94" s="638" t="s">
        <v>338</v>
      </c>
      <c r="BL94" s="690">
        <v>4.4249999999999998</v>
      </c>
      <c r="BM94" s="690">
        <v>4.4260000000000002</v>
      </c>
      <c r="BN94" s="842">
        <f t="shared" si="15"/>
        <v>0.99977406235878885</v>
      </c>
      <c r="BO94" s="855"/>
      <c r="BP94" s="821">
        <v>0.85</v>
      </c>
      <c r="BQ94" s="690"/>
      <c r="BR94" s="822"/>
      <c r="BS94" s="842">
        <f t="shared" si="18"/>
        <v>0</v>
      </c>
      <c r="BT94" s="855"/>
      <c r="BU94" s="821">
        <v>0.85</v>
      </c>
      <c r="BX94" s="642" t="str">
        <f t="shared" si="14"/>
        <v>Sep</v>
      </c>
      <c r="BY94" s="643">
        <f>IF(CB94=$CB95,SUMIF($BI83:$BI94,$BX94,$BR83:$BR94),SUMIF($BI83:$BI94,$BX94,$BM83:$BM94))</f>
        <v>4.4260000000000002</v>
      </c>
      <c r="BZ94" s="821">
        <f>IF(IF(CB94=CB95,SUMIF(BI83:BI94,$BX94,BU83:BU94),SUMIF(BI83:BI94,$BX94,BP83:BP94))=0,NA(),IF(CB94=CB95,SUMIF(BI83:BI94,$BX94,BU83:BU94),SUMIF(BI83:BI94,$BX94,BP83:BP94)))</f>
        <v>0.85</v>
      </c>
      <c r="CA94" s="644">
        <f>IF(IF(CB94=CB95,SUMIF(BI83:BI94,$BX94,BS83:BS94),SUMIF(BI83:BI94,$BX94,BN83:BN94))=0,NA(),IF(CB94=CB95,SUMIF(BI83:BI94,$BX94,BS83:BS94),SUMIF(BI83:BI94,$BX94,BN83:BN94)))</f>
        <v>0.99977406235878885</v>
      </c>
      <c r="CB94" s="645">
        <f t="shared" si="16"/>
        <v>23</v>
      </c>
      <c r="CC94" s="645">
        <f>IF(CC95-1&lt;1,CC95+11,CC95-1)</f>
        <v>9</v>
      </c>
    </row>
    <row r="95" spans="61:81" ht="15" customHeight="1">
      <c r="BW95" s="647" t="str">
        <f>Cover!$M$34</f>
        <v>OCT FY-24</v>
      </c>
      <c r="BX95" s="642" t="str">
        <f>TEXT(CONCATENATE(CC95,"/01/20",CB95),"MMM")</f>
        <v>Oct</v>
      </c>
      <c r="BY95" s="643">
        <f>SUMIF($BI83:$BI94,$BX95,$BR83:$BR94)</f>
        <v>3.8250000000000002</v>
      </c>
      <c r="BZ95" s="821">
        <f>IF(IF(CB95=CB95,SUMIF(BI83:BI94,$BX95,BU83:BU94),SUMIF(BI83:BI94,$BX95,BP83:BP94))=0,NA(),IF(CB95=CB95,SUMIF(BI83:BI94,$BX95,BU83:BU94),SUMIF(BI83:BI94,$BX95,BP83:BP94)))</f>
        <v>0.85</v>
      </c>
      <c r="CA95" s="644">
        <f>IF(SUMIF($BI83:$BI94,$BX95,$BS83:$BS94)=0,NA(),SUMIF($BI83:$BI94,$BX95,$BS83:$BS94))</f>
        <v>0.99973856209150314</v>
      </c>
      <c r="CB95" s="645">
        <f>CB76</f>
        <v>24</v>
      </c>
      <c r="CC95" s="645">
        <f>MONTH(DATEVALUE(LEFT(BW95,3)&amp;" 1"))</f>
        <v>10</v>
      </c>
    </row>
    <row r="96" spans="61:81" ht="15" customHeight="1">
      <c r="BI96" s="37"/>
      <c r="BJ96" s="37"/>
      <c r="BK96" s="37"/>
      <c r="BL96" s="37"/>
      <c r="BM96" s="37"/>
      <c r="BN96" s="37"/>
      <c r="BO96" s="37"/>
      <c r="BP96" s="37"/>
      <c r="BQ96" s="37"/>
      <c r="BR96" s="37"/>
      <c r="BS96" s="37"/>
      <c r="BT96" s="37"/>
      <c r="BU96" s="37"/>
    </row>
    <row r="97" spans="61:74" ht="15" customHeight="1">
      <c r="BJ97" s="37"/>
      <c r="BK97" s="37"/>
      <c r="BL97" s="37"/>
      <c r="BM97" s="37"/>
      <c r="BN97" s="37"/>
      <c r="BO97" s="37"/>
      <c r="BP97" s="37"/>
      <c r="BQ97" s="37"/>
      <c r="BR97" s="37"/>
      <c r="BS97" s="37"/>
      <c r="BT97" s="37"/>
      <c r="BU97" s="37"/>
      <c r="BV97" s="37"/>
    </row>
    <row r="98" spans="61:74" ht="15" customHeight="1">
      <c r="BJ98" s="37"/>
      <c r="BK98" s="37"/>
      <c r="BL98" s="37"/>
      <c r="BM98" s="37"/>
      <c r="BN98" s="37"/>
      <c r="BO98" s="37"/>
      <c r="BP98" s="37"/>
      <c r="BQ98" s="37"/>
      <c r="BR98" s="37"/>
      <c r="BS98" s="37"/>
      <c r="BT98" s="37"/>
      <c r="BU98" s="37"/>
      <c r="BV98" s="37"/>
    </row>
    <row r="99" spans="61:74" ht="15" customHeight="1">
      <c r="BJ99" s="37"/>
      <c r="BK99" s="37"/>
      <c r="BL99" s="37"/>
      <c r="BM99" s="37"/>
      <c r="BN99" s="37"/>
      <c r="BO99" s="37"/>
      <c r="BP99" s="37"/>
      <c r="BQ99" s="37"/>
      <c r="BR99" s="37"/>
      <c r="BS99" s="37"/>
      <c r="BT99" s="37"/>
      <c r="BU99" s="37"/>
      <c r="BV99" s="37"/>
    </row>
    <row r="100" spans="61:74" ht="15" customHeight="1">
      <c r="BI100" s="37"/>
      <c r="BJ100" s="37"/>
      <c r="BK100" s="37"/>
      <c r="BL100" s="37"/>
      <c r="BM100" s="37"/>
      <c r="BN100" s="37"/>
      <c r="BO100" s="37"/>
      <c r="BP100" s="37"/>
      <c r="BQ100" s="37"/>
      <c r="BR100" s="37"/>
      <c r="BS100" s="37"/>
      <c r="BT100" s="37"/>
      <c r="BU100" s="37"/>
      <c r="BV100" s="37"/>
    </row>
    <row r="101" spans="61:74" ht="15" customHeight="1">
      <c r="BI101" s="37"/>
      <c r="BJ101" s="37"/>
      <c r="BK101" s="37"/>
      <c r="BL101" s="37"/>
      <c r="BM101" s="37"/>
      <c r="BN101" s="37"/>
      <c r="BO101" s="37"/>
      <c r="BP101" s="37"/>
      <c r="BQ101" s="37"/>
      <c r="BR101" s="37"/>
      <c r="BS101" s="37"/>
      <c r="BT101" s="37"/>
      <c r="BU101" s="37"/>
      <c r="BV101" s="37"/>
    </row>
    <row r="102" spans="61:74" ht="15" customHeight="1">
      <c r="BI102" s="37"/>
      <c r="BJ102" s="37"/>
      <c r="BK102" s="37"/>
      <c r="BL102" s="37"/>
      <c r="BM102" s="37"/>
      <c r="BN102" s="37"/>
      <c r="BO102" s="37"/>
      <c r="BP102" s="37"/>
      <c r="BQ102" s="37"/>
      <c r="BR102" s="37"/>
      <c r="BS102" s="37"/>
      <c r="BT102" s="37"/>
      <c r="BU102" s="37"/>
      <c r="BV102" s="37"/>
    </row>
    <row r="103" spans="61:74" ht="15" customHeight="1">
      <c r="BI103" s="37"/>
      <c r="BJ103" s="37"/>
      <c r="BK103" s="37"/>
      <c r="BL103" s="37"/>
      <c r="BM103" s="37"/>
      <c r="BN103" s="37"/>
      <c r="BO103" s="37"/>
      <c r="BP103" s="37"/>
      <c r="BQ103" s="37"/>
      <c r="BR103" s="37"/>
      <c r="BS103" s="37"/>
      <c r="BT103" s="37"/>
      <c r="BU103" s="37"/>
      <c r="BV103" s="37"/>
    </row>
    <row r="104" spans="61:74" ht="15" customHeight="1">
      <c r="BI104" s="37"/>
      <c r="BJ104" s="37"/>
      <c r="BK104" s="37"/>
      <c r="BL104" s="37"/>
      <c r="BM104" s="37"/>
      <c r="BN104" s="37"/>
      <c r="BO104" s="37"/>
      <c r="BP104" s="37"/>
      <c r="BQ104" s="37"/>
      <c r="BR104" s="37"/>
      <c r="BS104" s="37"/>
      <c r="BT104" s="37"/>
      <c r="BU104" s="37"/>
      <c r="BV104" s="37"/>
    </row>
    <row r="105" spans="61:74" ht="15" customHeight="1">
      <c r="BI105" s="37"/>
      <c r="BJ105" s="37"/>
      <c r="BK105" s="37"/>
      <c r="BL105" s="37"/>
      <c r="BM105" s="37"/>
      <c r="BN105" s="37"/>
      <c r="BO105" s="37"/>
      <c r="BP105" s="37"/>
      <c r="BQ105" s="37"/>
      <c r="BR105" s="37"/>
      <c r="BS105" s="37"/>
      <c r="BT105" s="37"/>
      <c r="BU105" s="37"/>
    </row>
  </sheetData>
  <mergeCells count="65">
    <mergeCell ref="N17:P17"/>
    <mergeCell ref="B17:J17"/>
    <mergeCell ref="K17:M17"/>
    <mergeCell ref="W19:Y19"/>
    <mergeCell ref="Z19:AB19"/>
    <mergeCell ref="B19:J19"/>
    <mergeCell ref="K19:M19"/>
    <mergeCell ref="B18:J18"/>
    <mergeCell ref="N19:P19"/>
    <mergeCell ref="Q19:S19"/>
    <mergeCell ref="T19:V19"/>
    <mergeCell ref="K18:M18"/>
    <mergeCell ref="Q17:S17"/>
    <mergeCell ref="T17:V17"/>
    <mergeCell ref="Q18:S18"/>
    <mergeCell ref="T18:V18"/>
    <mergeCell ref="W17:Y17"/>
    <mergeCell ref="Z17:AB17"/>
    <mergeCell ref="W18:Y18"/>
    <mergeCell ref="Z18:AB18"/>
    <mergeCell ref="AC17:BE17"/>
    <mergeCell ref="B42:AB45"/>
    <mergeCell ref="B20:J20"/>
    <mergeCell ref="B65:AB68"/>
    <mergeCell ref="BQ81:BU81"/>
    <mergeCell ref="AC18:BE20"/>
    <mergeCell ref="BJ22:BU22"/>
    <mergeCell ref="BJ40:BU40"/>
    <mergeCell ref="BJ23:BU23"/>
    <mergeCell ref="BQ24:BU24"/>
    <mergeCell ref="BL24:BP24"/>
    <mergeCell ref="AE42:BE45"/>
    <mergeCell ref="AE65:BE68"/>
    <mergeCell ref="N18:P18"/>
    <mergeCell ref="K20:M20"/>
    <mergeCell ref="N20:P20"/>
    <mergeCell ref="Q20:S20"/>
    <mergeCell ref="BJ21:BU21"/>
    <mergeCell ref="BJ20:BU20"/>
    <mergeCell ref="T20:V20"/>
    <mergeCell ref="W20:Y20"/>
    <mergeCell ref="Z20:AB20"/>
    <mergeCell ref="B2:BE4"/>
    <mergeCell ref="AC14:BE16"/>
    <mergeCell ref="K15:M16"/>
    <mergeCell ref="N15:P16"/>
    <mergeCell ref="T15:V16"/>
    <mergeCell ref="B8:AB11"/>
    <mergeCell ref="B5:AR5"/>
    <mergeCell ref="W15:Y16"/>
    <mergeCell ref="Z15:AB16"/>
    <mergeCell ref="AE8:BE11"/>
    <mergeCell ref="B14:J16"/>
    <mergeCell ref="K14:P14"/>
    <mergeCell ref="Q14:S16"/>
    <mergeCell ref="T14:AB14"/>
    <mergeCell ref="BW24:CC24"/>
    <mergeCell ref="BW43:CC43"/>
    <mergeCell ref="BW62:CC62"/>
    <mergeCell ref="BW81:CC81"/>
    <mergeCell ref="BL43:BP43"/>
    <mergeCell ref="BQ43:BU43"/>
    <mergeCell ref="BL62:BP62"/>
    <mergeCell ref="BQ62:BU62"/>
    <mergeCell ref="BL81:BP81"/>
  </mergeCells>
  <conditionalFormatting sqref="A7:BH7 A15:A19 A26:A29 A8:A11 BF8:BH11 A12:BH14 BF15:BH16 BF22:BH29 BF17:BG21">
    <cfRule type="cellIs" dxfId="716" priority="2015" operator="equal">
      <formula>"XXX"</formula>
    </cfRule>
  </conditionalFormatting>
  <conditionalFormatting sqref="A62:A66 AD41">
    <cfRule type="cellIs" dxfId="715" priority="2004" operator="equal">
      <formula>"XXX"</formula>
    </cfRule>
  </conditionalFormatting>
  <conditionalFormatting sqref="F41:AB41 B41:D41">
    <cfRule type="cellIs" dxfId="714" priority="2003" operator="equal">
      <formula>"XXX"</formula>
    </cfRule>
  </conditionalFormatting>
  <conditionalFormatting sqref="AI41:BE41 AE41:AG41">
    <cfRule type="cellIs" dxfId="713" priority="2001" operator="equal">
      <formula>"XXX"</formula>
    </cfRule>
  </conditionalFormatting>
  <conditionalFormatting sqref="A85:A89 AD64">
    <cfRule type="cellIs" dxfId="712" priority="1999" operator="equal">
      <formula>"XXX"</formula>
    </cfRule>
  </conditionalFormatting>
  <conditionalFormatting sqref="F64:AB64 B64:D64">
    <cfRule type="cellIs" dxfId="711" priority="1998" operator="equal">
      <formula>"XXX"</formula>
    </cfRule>
  </conditionalFormatting>
  <conditionalFormatting sqref="AI64:BE64 AE64:AG64">
    <cfRule type="cellIs" dxfId="710" priority="1996" operator="equal">
      <formula>"XXX"</formula>
    </cfRule>
  </conditionalFormatting>
  <conditionalFormatting sqref="B71:AD72">
    <cfRule type="cellIs" dxfId="709" priority="1775" operator="equal">
      <formula>"XXX"</formula>
    </cfRule>
  </conditionalFormatting>
  <conditionalFormatting sqref="BH35">
    <cfRule type="cellIs" dxfId="708" priority="1663" operator="equal">
      <formula>"XXX"</formula>
    </cfRule>
  </conditionalFormatting>
  <conditionalFormatting sqref="BH36">
    <cfRule type="cellIs" dxfId="707" priority="1661" operator="equal">
      <formula>"XXX"</formula>
    </cfRule>
  </conditionalFormatting>
  <conditionalFormatting sqref="BH37">
    <cfRule type="cellIs" dxfId="706" priority="1660" operator="equal">
      <formula>"XXX"</formula>
    </cfRule>
  </conditionalFormatting>
  <conditionalFormatting sqref="K20 N20 T20 W20 Z20">
    <cfRule type="cellIs" dxfId="705" priority="91" operator="equal">
      <formula>"XXX"</formula>
    </cfRule>
    <cfRule type="cellIs" dxfId="704" priority="1530" stopIfTrue="1" operator="lessThan">
      <formula>$Q$20*0.9</formula>
    </cfRule>
    <cfRule type="cellIs" dxfId="703" priority="1855" operator="lessThan">
      <formula>$Q20</formula>
    </cfRule>
    <cfRule type="cellIs" dxfId="702" priority="2036" operator="greaterThanOrEqual">
      <formula>$Q20</formula>
    </cfRule>
  </conditionalFormatting>
  <conditionalFormatting sqref="BJ16">
    <cfRule type="expression" dxfId="701" priority="3">
      <formula>(AND(BJ$5=$BX$5,LEN(BJ$16)=0))</formula>
    </cfRule>
  </conditionalFormatting>
  <conditionalFormatting sqref="BJ16:BV16">
    <cfRule type="expression" dxfId="700" priority="4">
      <formula>(AND(BJ$5=$BX$5,LEN(BJ$16)=0))</formula>
    </cfRule>
  </conditionalFormatting>
  <conditionalFormatting sqref="BH38:BH42">
    <cfRule type="cellIs" dxfId="699" priority="847" operator="equal">
      <formula>"XXX"</formula>
    </cfRule>
  </conditionalFormatting>
  <conditionalFormatting sqref="K14:AB14 Q15:AB16">
    <cfRule type="cellIs" dxfId="698" priority="590" operator="equal">
      <formula>"XXX"</formula>
    </cfRule>
  </conditionalFormatting>
  <conditionalFormatting sqref="K15:P16">
    <cfRule type="cellIs" dxfId="697" priority="589" operator="equal">
      <formula>"XXX"</formula>
    </cfRule>
  </conditionalFormatting>
  <conditionalFormatting sqref="B2">
    <cfRule type="cellIs" dxfId="696" priority="563" operator="equal">
      <formula>"XXX"</formula>
    </cfRule>
  </conditionalFormatting>
  <conditionalFormatting sqref="AD42:AD45">
    <cfRule type="cellIs" dxfId="695" priority="255" operator="equal">
      <formula>"XXX"</formula>
    </cfRule>
  </conditionalFormatting>
  <conditionalFormatting sqref="AD65:AD68">
    <cfRule type="cellIs" dxfId="694" priority="252" operator="equal">
      <formula>"XXX"</formula>
    </cfRule>
  </conditionalFormatting>
  <conditionalFormatting sqref="AC8:AD11">
    <cfRule type="cellIs" dxfId="693" priority="166" operator="equal">
      <formula>"XXX"</formula>
    </cfRule>
  </conditionalFormatting>
  <conditionalFormatting sqref="K17 N17 T17 W17 Z17">
    <cfRule type="cellIs" dxfId="692" priority="88" operator="equal">
      <formula>"XXX"</formula>
    </cfRule>
    <cfRule type="cellIs" dxfId="691" priority="2028" stopIfTrue="1" operator="lessThan">
      <formula>$Q17*0.9</formula>
    </cfRule>
    <cfRule type="cellIs" dxfId="690" priority="2029" operator="lessThan">
      <formula>$Q17</formula>
    </cfRule>
    <cfRule type="cellIs" dxfId="689" priority="2030" operator="greaterThanOrEqual">
      <formula>$Q17</formula>
    </cfRule>
  </conditionalFormatting>
  <conditionalFormatting sqref="K18 N18 T18 W18 Z18">
    <cfRule type="cellIs" dxfId="688" priority="89" operator="equal">
      <formula>"XXX"</formula>
    </cfRule>
    <cfRule type="cellIs" dxfId="687" priority="2049" stopIfTrue="1" operator="greaterThan">
      <formula>$Q18*1.1</formula>
    </cfRule>
    <cfRule type="cellIs" dxfId="686" priority="2050" operator="greaterThan">
      <formula>$Q18</formula>
    </cfRule>
    <cfRule type="cellIs" dxfId="685" priority="2051" operator="lessThanOrEqual">
      <formula>$Q18</formula>
    </cfRule>
  </conditionalFormatting>
  <conditionalFormatting sqref="K19 N19 T19 W19 Z19">
    <cfRule type="cellIs" dxfId="684" priority="90" operator="equal">
      <formula>"XXX"</formula>
    </cfRule>
    <cfRule type="cellIs" dxfId="683" priority="2018" stopIfTrue="1" operator="greaterThan">
      <formula>$Q19*1.1</formula>
    </cfRule>
    <cfRule type="cellIs" dxfId="682" priority="2032" operator="greaterThan">
      <formula>$Q19</formula>
    </cfRule>
    <cfRule type="cellIs" dxfId="681" priority="2033" operator="lessThanOrEqual">
      <formula>$Q19</formula>
    </cfRule>
  </conditionalFormatting>
  <conditionalFormatting sqref="BH17:BH21">
    <cfRule type="cellIs" dxfId="680" priority="70" operator="equal">
      <formula>"XXX"</formula>
    </cfRule>
  </conditionalFormatting>
  <conditionalFormatting sqref="BQ26:BQ37 BQ64:BQ75 BQ83:BQ94">
    <cfRule type="expression" dxfId="679" priority="47">
      <formula>(AND($BJ26=$BX$5,LEN($BQ26)=0))</formula>
    </cfRule>
  </conditionalFormatting>
  <conditionalFormatting sqref="B8">
    <cfRule type="cellIs" dxfId="678" priority="13" operator="equal">
      <formula>"XXX"</formula>
    </cfRule>
  </conditionalFormatting>
  <conditionalFormatting sqref="AE8">
    <cfRule type="cellIs" dxfId="677" priority="12" operator="equal">
      <formula>"XXX"</formula>
    </cfRule>
  </conditionalFormatting>
  <conditionalFormatting sqref="B42">
    <cfRule type="cellIs" dxfId="676" priority="9" operator="equal">
      <formula>"XXX"</formula>
    </cfRule>
  </conditionalFormatting>
  <conditionalFormatting sqref="AE42">
    <cfRule type="cellIs" dxfId="675" priority="8" operator="equal">
      <formula>"XXX"</formula>
    </cfRule>
  </conditionalFormatting>
  <conditionalFormatting sqref="B65">
    <cfRule type="cellIs" dxfId="674" priority="7" operator="equal">
      <formula>"XXX"</formula>
    </cfRule>
  </conditionalFormatting>
  <conditionalFormatting sqref="AE65">
    <cfRule type="cellIs" dxfId="673" priority="6" operator="equal">
      <formula>"XXX"</formula>
    </cfRule>
  </conditionalFormatting>
  <conditionalFormatting sqref="BR26:BR37 BR45:BR56 BR64:BR75 BR83:BR94">
    <cfRule type="expression" dxfId="672" priority="48">
      <formula>(AND($BJ26=$BX$5,LEN($BR26)=0))</formula>
    </cfRule>
  </conditionalFormatting>
  <conditionalFormatting sqref="BS45:BS56">
    <cfRule type="expression" dxfId="671" priority="50">
      <formula>(AND($BJ45=$BX$5,LEN($BR45)=0))</formula>
    </cfRule>
  </conditionalFormatting>
  <conditionalFormatting sqref="AC18">
    <cfRule type="cellIs" dxfId="670" priority="1" operator="equal">
      <formula>"XXX"</formula>
    </cfRule>
  </conditionalFormatting>
  <conditionalFormatting sqref="AC17:BE17">
    <cfRule type="cellIs" dxfId="669" priority="2" operator="equal">
      <formula>"XXX"</formula>
    </cfRule>
  </conditionalFormatting>
  <dataValidations disablePrompts="1" count="2">
    <dataValidation type="whole" operator="greaterThanOrEqual" allowBlank="1" showInputMessage="1" showErrorMessage="1" errorTitle="Positive Value" error="This value must be entered as a positive number." sqref="BJ6:BV6 BJ8:BV8 BJ10:BV10 BJ12:BV14" xr:uid="{00000000-0002-0000-1500-000002000000}">
      <formula1>0</formula1>
    </dataValidation>
    <dataValidation type="whole" operator="lessThan" allowBlank="1" showInputMessage="1" showErrorMessage="1" errorTitle="Negative Value" error="This value must be entered as a negative number." sqref="BJ11:BV11 BJ9:BV9 BT7:BV7 BJ7:BR7" xr:uid="{40B775F1-69EF-45F3-9451-C87D991C82BB}">
      <formula1>0</formula1>
    </dataValidation>
  </dataValidations>
  <printOptions horizontalCentered="1"/>
  <pageMargins left="0.25" right="0.25" top="0.25" bottom="0.5" header="0.3" footer="0.3"/>
  <pageSetup scale="66" fitToHeight="0" orientation="landscape" r:id="rId1"/>
  <headerFooter>
    <oddFooter>&amp;R&amp;F | &amp;A
Printed &amp;D @ &amp;T
&amp;P</oddFooter>
  </headerFooter>
  <rowBreaks count="3" manualBreakCount="3">
    <brk id="43" max="57" man="1"/>
    <brk id="93" max="57" man="1"/>
    <brk id="100" max="57" man="1"/>
  </rowBreak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26A2F-8B71-4382-B31A-BEC33C4AA528}">
  <sheetPr codeName="Sheet19">
    <tabColor theme="9" tint="-0.499984740745262"/>
  </sheetPr>
  <dimension ref="B2:M39"/>
  <sheetViews>
    <sheetView showGridLines="0" zoomScale="140" zoomScaleNormal="140" workbookViewId="0"/>
  </sheetViews>
  <sheetFormatPr defaultColWidth="12.7109375" defaultRowHeight="15"/>
  <cols>
    <col min="1" max="1" width="3.28515625" customWidth="1"/>
  </cols>
  <sheetData>
    <row r="2" spans="2:13">
      <c r="B2" s="1068" t="s">
        <v>180</v>
      </c>
      <c r="C2" s="1068"/>
      <c r="D2" s="1068"/>
      <c r="E2" s="1068"/>
      <c r="F2" s="1068"/>
      <c r="G2" s="1068"/>
      <c r="H2" s="1068"/>
      <c r="I2" s="1068"/>
      <c r="J2" s="1068"/>
      <c r="K2" s="1068"/>
      <c r="L2" s="1068"/>
      <c r="M2" s="1068"/>
    </row>
    <row r="3" spans="2:13">
      <c r="B3" s="1068"/>
      <c r="C3" s="1068"/>
      <c r="D3" s="1068"/>
      <c r="E3" s="1068"/>
      <c r="F3" s="1068"/>
      <c r="G3" s="1068"/>
      <c r="H3" s="1068"/>
      <c r="I3" s="1068"/>
      <c r="J3" s="1068"/>
      <c r="K3" s="1068"/>
      <c r="L3" s="1068"/>
      <c r="M3" s="1068"/>
    </row>
    <row r="4" spans="2:13">
      <c r="B4" s="1068"/>
      <c r="C4" s="1068"/>
      <c r="D4" s="1068"/>
      <c r="E4" s="1068"/>
      <c r="F4" s="1068"/>
      <c r="G4" s="1068"/>
      <c r="H4" s="1068"/>
      <c r="I4" s="1068"/>
      <c r="J4" s="1068"/>
      <c r="K4" s="1068"/>
      <c r="L4" s="1068"/>
      <c r="M4" s="1068"/>
    </row>
    <row r="5" spans="2:13">
      <c r="B5" s="1068"/>
      <c r="C5" s="1068"/>
      <c r="D5" s="1068"/>
      <c r="E5" s="1068"/>
      <c r="F5" s="1068"/>
      <c r="G5" s="1068"/>
      <c r="H5" s="1068"/>
      <c r="I5" s="1068"/>
      <c r="J5" s="1068"/>
      <c r="K5" s="1068"/>
      <c r="L5" s="1068"/>
      <c r="M5" s="1068"/>
    </row>
    <row r="6" spans="2:13">
      <c r="B6" s="446"/>
      <c r="C6" s="446"/>
      <c r="D6" s="446"/>
      <c r="E6" s="446"/>
      <c r="F6" s="446"/>
      <c r="G6" s="446"/>
      <c r="H6" s="446"/>
      <c r="I6" s="446"/>
      <c r="J6" s="446"/>
      <c r="K6" s="446"/>
      <c r="L6" s="446"/>
      <c r="M6" s="446"/>
    </row>
    <row r="7" spans="2:13" ht="14.65" customHeight="1">
      <c r="B7" s="1096"/>
      <c r="C7" s="1096"/>
      <c r="D7" s="1096"/>
      <c r="E7" s="1096"/>
      <c r="F7" s="1096"/>
      <c r="G7" s="1096"/>
      <c r="H7" s="1096"/>
      <c r="I7" s="1096"/>
      <c r="J7" s="1096"/>
      <c r="K7" s="1096"/>
      <c r="L7" s="1096"/>
      <c r="M7" s="1096"/>
    </row>
    <row r="8" spans="2:13" ht="14.65" customHeight="1">
      <c r="B8" s="1096"/>
      <c r="C8" s="1096"/>
      <c r="D8" s="1096"/>
      <c r="E8" s="1096"/>
      <c r="F8" s="1096"/>
      <c r="G8" s="1096"/>
      <c r="H8" s="1096"/>
      <c r="I8" s="1096"/>
      <c r="J8" s="1096"/>
      <c r="K8" s="1096"/>
      <c r="L8" s="1096"/>
      <c r="M8" s="1096"/>
    </row>
    <row r="9" spans="2:13" ht="14.65" customHeight="1">
      <c r="B9" s="1096"/>
      <c r="C9" s="1096"/>
      <c r="D9" s="1096"/>
      <c r="E9" s="1096"/>
      <c r="F9" s="1096"/>
      <c r="G9" s="1096"/>
      <c r="H9" s="1096"/>
      <c r="I9" s="1096"/>
      <c r="J9" s="1096"/>
      <c r="K9" s="1096"/>
      <c r="L9" s="1096"/>
      <c r="M9" s="1096"/>
    </row>
    <row r="10" spans="2:13" ht="14.65" customHeight="1">
      <c r="B10" s="1096"/>
      <c r="C10" s="1096"/>
      <c r="D10" s="1096"/>
      <c r="E10" s="1096"/>
      <c r="F10" s="1096"/>
      <c r="G10" s="1096"/>
      <c r="H10" s="1096"/>
      <c r="I10" s="1096"/>
      <c r="J10" s="1096"/>
      <c r="K10" s="1096"/>
      <c r="L10" s="1096"/>
      <c r="M10" s="1096"/>
    </row>
    <row r="11" spans="2:13" ht="14.65" customHeight="1">
      <c r="B11" s="1096"/>
      <c r="C11" s="1096"/>
      <c r="D11" s="1096"/>
      <c r="E11" s="1096"/>
      <c r="F11" s="1096"/>
      <c r="G11" s="1096"/>
      <c r="H11" s="1096"/>
      <c r="I11" s="1096"/>
      <c r="J11" s="1096"/>
      <c r="K11" s="1096"/>
      <c r="L11" s="1096"/>
      <c r="M11" s="1096"/>
    </row>
    <row r="12" spans="2:13" ht="14.65" customHeight="1">
      <c r="B12" s="1096" t="s">
        <v>243</v>
      </c>
      <c r="C12" s="1096"/>
      <c r="D12" s="1096"/>
      <c r="E12" s="1096"/>
      <c r="F12" s="1096"/>
      <c r="G12" s="1096"/>
      <c r="H12" s="1096"/>
      <c r="I12" s="1096"/>
      <c r="J12" s="1096"/>
      <c r="K12" s="1096"/>
      <c r="L12" s="1096"/>
      <c r="M12" s="1096"/>
    </row>
    <row r="13" spans="2:13" ht="14.65" customHeight="1">
      <c r="B13" s="1096"/>
      <c r="C13" s="1096"/>
      <c r="D13" s="1096"/>
      <c r="E13" s="1096"/>
      <c r="F13" s="1096"/>
      <c r="G13" s="1096"/>
      <c r="H13" s="1096"/>
      <c r="I13" s="1096"/>
      <c r="J13" s="1096"/>
      <c r="K13" s="1096"/>
      <c r="L13" s="1096"/>
      <c r="M13" s="1096"/>
    </row>
    <row r="14" spans="2:13" ht="14.65" customHeight="1">
      <c r="B14" s="1096"/>
      <c r="C14" s="1096"/>
      <c r="D14" s="1096"/>
      <c r="E14" s="1096"/>
      <c r="F14" s="1096"/>
      <c r="G14" s="1096"/>
      <c r="H14" s="1096"/>
      <c r="I14" s="1096"/>
      <c r="J14" s="1096"/>
      <c r="K14" s="1096"/>
      <c r="L14" s="1096"/>
      <c r="M14" s="1096"/>
    </row>
    <row r="15" spans="2:13" ht="14.65" customHeight="1">
      <c r="B15" s="1096"/>
      <c r="C15" s="1096"/>
      <c r="D15" s="1096"/>
      <c r="E15" s="1096"/>
      <c r="F15" s="1096"/>
      <c r="G15" s="1096"/>
      <c r="H15" s="1096"/>
      <c r="I15" s="1096"/>
      <c r="J15" s="1096"/>
      <c r="K15" s="1096"/>
      <c r="L15" s="1096"/>
      <c r="M15" s="1096"/>
    </row>
    <row r="16" spans="2:13" ht="14.65" customHeight="1">
      <c r="B16" s="1096"/>
      <c r="C16" s="1096"/>
      <c r="D16" s="1096"/>
      <c r="E16" s="1096"/>
      <c r="F16" s="1096"/>
      <c r="G16" s="1096"/>
      <c r="H16" s="1096"/>
      <c r="I16" s="1096"/>
      <c r="J16" s="1096"/>
      <c r="K16" s="1096"/>
      <c r="L16" s="1096"/>
      <c r="M16" s="1096"/>
    </row>
    <row r="17" spans="2:13" ht="14.65" customHeight="1">
      <c r="B17" s="1097" t="s">
        <v>637</v>
      </c>
      <c r="C17" s="1097"/>
      <c r="D17" s="1097"/>
      <c r="E17" s="1097"/>
      <c r="F17" s="1097"/>
      <c r="G17" s="1097"/>
      <c r="H17" s="1097"/>
      <c r="I17" s="1097"/>
      <c r="J17" s="1097"/>
      <c r="K17" s="1097"/>
      <c r="L17" s="1097"/>
      <c r="M17" s="1097"/>
    </row>
    <row r="18" spans="2:13" ht="14.65" customHeight="1">
      <c r="B18" s="1097"/>
      <c r="C18" s="1097"/>
      <c r="D18" s="1097"/>
      <c r="E18" s="1097"/>
      <c r="F18" s="1097"/>
      <c r="G18" s="1097"/>
      <c r="H18" s="1097"/>
      <c r="I18" s="1097"/>
      <c r="J18" s="1097"/>
      <c r="K18" s="1097"/>
      <c r="L18" s="1097"/>
      <c r="M18" s="1097"/>
    </row>
    <row r="19" spans="2:13" ht="14.65" customHeight="1">
      <c r="B19" s="1097"/>
      <c r="C19" s="1097"/>
      <c r="D19" s="1097"/>
      <c r="E19" s="1097"/>
      <c r="F19" s="1097"/>
      <c r="G19" s="1097"/>
      <c r="H19" s="1097"/>
      <c r="I19" s="1097"/>
      <c r="J19" s="1097"/>
      <c r="K19" s="1097"/>
      <c r="L19" s="1097"/>
      <c r="M19" s="1097"/>
    </row>
    <row r="20" spans="2:13" ht="14.65" customHeight="1">
      <c r="B20" s="1097"/>
      <c r="C20" s="1097"/>
      <c r="D20" s="1097"/>
      <c r="E20" s="1097"/>
      <c r="F20" s="1097"/>
      <c r="G20" s="1097"/>
      <c r="H20" s="1097"/>
      <c r="I20" s="1097"/>
      <c r="J20" s="1097"/>
      <c r="K20" s="1097"/>
      <c r="L20" s="1097"/>
      <c r="M20" s="1097"/>
    </row>
    <row r="21" spans="2:13" ht="14.65" customHeight="1">
      <c r="B21" s="1097"/>
      <c r="C21" s="1097"/>
      <c r="D21" s="1097"/>
      <c r="E21" s="1097"/>
      <c r="F21" s="1097"/>
      <c r="G21" s="1097"/>
      <c r="H21" s="1097"/>
      <c r="I21" s="1097"/>
      <c r="J21" s="1097"/>
      <c r="K21" s="1097"/>
      <c r="L21" s="1097"/>
      <c r="M21" s="1097"/>
    </row>
    <row r="22" spans="2:13">
      <c r="B22" s="1097" t="str">
        <f>Cover!C11</f>
        <v>Period 1 FY 2024</v>
      </c>
      <c r="C22" s="1097"/>
      <c r="D22" s="1097"/>
      <c r="E22" s="1097"/>
      <c r="F22" s="1097"/>
      <c r="G22" s="1097"/>
      <c r="H22" s="1097"/>
      <c r="I22" s="1097"/>
      <c r="J22" s="1097"/>
      <c r="K22" s="1097"/>
      <c r="L22" s="1097"/>
      <c r="M22" s="1097"/>
    </row>
    <row r="23" spans="2:13">
      <c r="B23" s="1097"/>
      <c r="C23" s="1097"/>
      <c r="D23" s="1097"/>
      <c r="E23" s="1097"/>
      <c r="F23" s="1097"/>
      <c r="G23" s="1097"/>
      <c r="H23" s="1097"/>
      <c r="I23" s="1097"/>
      <c r="J23" s="1097"/>
      <c r="K23" s="1097"/>
      <c r="L23" s="1097"/>
      <c r="M23" s="1097"/>
    </row>
    <row r="24" spans="2:13">
      <c r="B24" s="1097"/>
      <c r="C24" s="1097"/>
      <c r="D24" s="1097"/>
      <c r="E24" s="1097"/>
      <c r="F24" s="1097"/>
      <c r="G24" s="1097"/>
      <c r="H24" s="1097"/>
      <c r="I24" s="1097"/>
      <c r="J24" s="1097"/>
      <c r="K24" s="1097"/>
      <c r="L24" s="1097"/>
      <c r="M24" s="1097"/>
    </row>
    <row r="25" spans="2:13">
      <c r="B25" s="1097"/>
      <c r="C25" s="1097"/>
      <c r="D25" s="1097"/>
      <c r="E25" s="1097"/>
      <c r="F25" s="1097"/>
      <c r="G25" s="1097"/>
      <c r="H25" s="1097"/>
      <c r="I25" s="1097"/>
      <c r="J25" s="1097"/>
      <c r="K25" s="1097"/>
      <c r="L25" s="1097"/>
      <c r="M25" s="1097"/>
    </row>
    <row r="26" spans="2:13">
      <c r="B26" s="1097"/>
      <c r="C26" s="1097"/>
      <c r="D26" s="1097"/>
      <c r="E26" s="1097"/>
      <c r="F26" s="1097"/>
      <c r="G26" s="1097"/>
      <c r="H26" s="1097"/>
      <c r="I26" s="1097"/>
      <c r="J26" s="1097"/>
      <c r="K26" s="1097"/>
      <c r="L26" s="1097"/>
      <c r="M26" s="1097"/>
    </row>
    <row r="38" spans="2:13">
      <c r="B38" s="446"/>
      <c r="C38" s="446"/>
      <c r="D38" s="446"/>
      <c r="E38" s="446"/>
      <c r="F38" s="446"/>
      <c r="G38" s="446"/>
      <c r="H38" s="446"/>
      <c r="I38" s="446"/>
      <c r="J38" s="446"/>
      <c r="K38" s="446"/>
      <c r="L38" s="446"/>
      <c r="M38" s="446"/>
    </row>
    <row r="39" spans="2:13">
      <c r="B39" s="446"/>
      <c r="C39" s="446"/>
      <c r="D39" s="446"/>
      <c r="E39" s="446"/>
      <c r="F39" s="446"/>
      <c r="G39" s="446"/>
      <c r="H39" s="446"/>
      <c r="I39" s="446"/>
      <c r="J39" s="446"/>
      <c r="K39" s="446"/>
      <c r="L39" s="446"/>
      <c r="M39" s="446"/>
    </row>
  </sheetData>
  <mergeCells count="5">
    <mergeCell ref="B2:M5"/>
    <mergeCell ref="B7:M11"/>
    <mergeCell ref="B12:M16"/>
    <mergeCell ref="B17:M21"/>
    <mergeCell ref="B22:M26"/>
  </mergeCells>
  <printOptions horizontalCentered="1"/>
  <pageMargins left="0.7" right="0.7" top="0.25" bottom="0.75" header="0.3" footer="0.3"/>
  <pageSetup scale="77" orientation="landscape" r:id="rId1"/>
  <headerFooter>
    <oddFooter>&amp;R&amp;F | &amp;A
Printed &amp;D @ &amp;T
&amp;P</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7548A-8F08-4CDF-86F9-5DECE3A54EDD}">
  <sheetPr>
    <tabColor theme="9" tint="-0.499984740745262"/>
    <pageSetUpPr fitToPage="1"/>
  </sheetPr>
  <dimension ref="A1:CD250"/>
  <sheetViews>
    <sheetView zoomScale="85" zoomScaleNormal="85" workbookViewId="0">
      <selection activeCell="AI27" sqref="AH27:AI28"/>
    </sheetView>
  </sheetViews>
  <sheetFormatPr defaultRowHeight="15" customHeight="1"/>
  <cols>
    <col min="1" max="1" width="3.28515625" style="187" customWidth="1"/>
    <col min="2" max="59" width="3.28515625" customWidth="1"/>
    <col min="60" max="60" width="4.7109375" customWidth="1"/>
    <col min="61" max="64" width="9.140625" style="252"/>
    <col min="65" max="65" width="10.7109375" style="252" customWidth="1"/>
    <col min="66" max="66" width="9.85546875" style="252" bestFit="1" customWidth="1"/>
    <col min="67" max="67" width="9.140625" style="252"/>
    <col min="68" max="68" width="9.85546875" style="252" bestFit="1" customWidth="1"/>
    <col min="69" max="72" width="9.140625" style="252"/>
    <col min="73" max="73" width="9.85546875" style="252" bestFit="1" customWidth="1"/>
    <col min="74" max="77" width="9.140625" style="252"/>
    <col min="78" max="79" width="9.85546875" style="252" bestFit="1" customWidth="1"/>
    <col min="80" max="82" width="9.140625" style="252"/>
  </cols>
  <sheetData>
    <row r="1" spans="1:81" ht="15" customHeight="1">
      <c r="A1" s="182"/>
      <c r="B1" s="182"/>
      <c r="C1" s="182"/>
      <c r="D1" s="182"/>
      <c r="E1" s="182"/>
      <c r="F1" s="182"/>
      <c r="G1" s="182"/>
      <c r="H1" s="182"/>
      <c r="I1" s="182"/>
      <c r="J1" s="182"/>
      <c r="K1" s="182"/>
      <c r="L1" s="182"/>
      <c r="M1" s="182"/>
      <c r="N1" s="182"/>
      <c r="O1" s="182"/>
      <c r="P1" s="182"/>
      <c r="Q1" s="182"/>
      <c r="R1" s="182"/>
      <c r="S1" s="182"/>
      <c r="T1" s="182"/>
      <c r="U1" s="182"/>
      <c r="V1" s="182"/>
      <c r="W1" s="182"/>
      <c r="X1" s="182"/>
      <c r="Y1" s="182"/>
      <c r="Z1" s="182"/>
      <c r="AA1" s="182"/>
      <c r="AB1" s="182"/>
      <c r="AC1" s="182"/>
      <c r="AD1" s="182"/>
      <c r="AE1" s="182"/>
      <c r="AF1" s="182"/>
      <c r="AG1" s="182"/>
      <c r="AH1" s="182"/>
      <c r="AI1" s="182"/>
      <c r="AJ1" s="182"/>
      <c r="AK1" s="182"/>
      <c r="AL1" s="182"/>
      <c r="AM1" s="182"/>
      <c r="AN1" s="182"/>
      <c r="AO1" s="182"/>
      <c r="AP1" s="182"/>
      <c r="AQ1" s="182"/>
      <c r="AR1" s="182"/>
      <c r="AS1" s="182"/>
      <c r="AT1" s="182"/>
      <c r="AU1" s="182"/>
      <c r="AV1" s="182"/>
      <c r="AW1" s="182"/>
      <c r="AX1" s="182"/>
      <c r="AY1" s="182"/>
      <c r="AZ1" s="182"/>
      <c r="BA1" s="182"/>
      <c r="BB1" s="182"/>
      <c r="BC1" s="182"/>
      <c r="BD1" s="182"/>
      <c r="BE1" s="182"/>
      <c r="BF1" s="182"/>
      <c r="BG1" s="182"/>
      <c r="BH1" s="182"/>
      <c r="BI1" s="250" t="s">
        <v>245</v>
      </c>
      <c r="BJ1" s="251"/>
      <c r="BK1" s="251"/>
      <c r="BL1" s="251"/>
      <c r="BM1" s="251"/>
      <c r="BN1" s="251"/>
      <c r="BO1" s="251"/>
      <c r="BP1" s="251"/>
      <c r="BQ1" s="251"/>
      <c r="BR1" s="251"/>
      <c r="BS1" s="251"/>
      <c r="BT1" s="251"/>
      <c r="BU1" s="251"/>
      <c r="BW1" s="248"/>
      <c r="BX1" s="248"/>
      <c r="BY1" s="248"/>
      <c r="BZ1" s="248"/>
      <c r="CA1" s="248"/>
      <c r="CB1" s="248"/>
      <c r="CC1" s="248"/>
    </row>
    <row r="2" spans="1:81" ht="15" customHeight="1">
      <c r="A2" s="182"/>
      <c r="B2" s="1076" t="s">
        <v>180</v>
      </c>
      <c r="C2" s="1076"/>
      <c r="D2" s="1076"/>
      <c r="E2" s="1076"/>
      <c r="F2" s="1076"/>
      <c r="G2" s="1076"/>
      <c r="H2" s="1076"/>
      <c r="I2" s="1076"/>
      <c r="J2" s="1076"/>
      <c r="K2" s="1076"/>
      <c r="L2" s="1076"/>
      <c r="M2" s="1076"/>
      <c r="N2" s="1076"/>
      <c r="O2" s="1076"/>
      <c r="P2" s="1076"/>
      <c r="Q2" s="1076"/>
      <c r="R2" s="1076"/>
      <c r="S2" s="1076"/>
      <c r="T2" s="1076"/>
      <c r="U2" s="1076"/>
      <c r="V2" s="1076"/>
      <c r="W2" s="1076"/>
      <c r="X2" s="1076"/>
      <c r="Y2" s="1076"/>
      <c r="Z2" s="1076"/>
      <c r="AA2" s="1076"/>
      <c r="AB2" s="1076"/>
      <c r="AC2" s="1076"/>
      <c r="AD2" s="1076"/>
      <c r="AE2" s="1076"/>
      <c r="AF2" s="1076"/>
      <c r="AG2" s="1076"/>
      <c r="AH2" s="1076"/>
      <c r="AI2" s="1076"/>
      <c r="AJ2" s="1076"/>
      <c r="AK2" s="1076"/>
      <c r="AL2" s="1076"/>
      <c r="AM2" s="1076"/>
      <c r="AN2" s="1076"/>
      <c r="AO2" s="1076"/>
      <c r="AP2" s="1076"/>
      <c r="AQ2" s="1076"/>
      <c r="AR2" s="1076"/>
      <c r="AS2" s="1076"/>
      <c r="AT2" s="1076"/>
      <c r="AU2" s="1076"/>
      <c r="AV2" s="1076"/>
      <c r="AW2" s="1076"/>
      <c r="AX2" s="1076"/>
      <c r="AY2" s="1076"/>
      <c r="AZ2" s="1076"/>
      <c r="BA2" s="1076"/>
      <c r="BB2" s="1076"/>
      <c r="BC2" s="1076"/>
      <c r="BD2" s="1076"/>
      <c r="BE2" s="1076"/>
      <c r="BF2" s="182"/>
      <c r="BG2" s="182"/>
      <c r="BH2" s="182"/>
      <c r="BI2" s="247" t="s">
        <v>292</v>
      </c>
      <c r="BJ2" s="1723" t="s">
        <v>150</v>
      </c>
      <c r="BK2" s="1723"/>
      <c r="BL2" s="1723"/>
      <c r="BM2" s="1723"/>
      <c r="BN2" s="1723"/>
      <c r="BO2" s="1723"/>
      <c r="BP2" s="1723"/>
      <c r="BQ2" s="1723"/>
      <c r="BR2" s="1723"/>
      <c r="BS2" s="1723"/>
      <c r="BT2" s="1723"/>
      <c r="BU2" s="1723"/>
      <c r="BW2" s="248"/>
      <c r="BX2" s="248"/>
      <c r="BY2" s="248"/>
      <c r="BZ2" s="248"/>
      <c r="CA2" s="248"/>
      <c r="CB2" s="248"/>
      <c r="CC2" s="248"/>
    </row>
    <row r="3" spans="1:81" ht="15" customHeight="1">
      <c r="A3" s="182"/>
      <c r="B3" s="1076"/>
      <c r="C3" s="1076"/>
      <c r="D3" s="1076"/>
      <c r="E3" s="1076"/>
      <c r="F3" s="1076"/>
      <c r="G3" s="1076"/>
      <c r="H3" s="1076"/>
      <c r="I3" s="1076"/>
      <c r="J3" s="1076"/>
      <c r="K3" s="1076"/>
      <c r="L3" s="1076"/>
      <c r="M3" s="1076"/>
      <c r="N3" s="1076"/>
      <c r="O3" s="1076"/>
      <c r="P3" s="1076"/>
      <c r="Q3" s="1076"/>
      <c r="R3" s="1076"/>
      <c r="S3" s="1076"/>
      <c r="T3" s="1076"/>
      <c r="U3" s="1076"/>
      <c r="V3" s="1076"/>
      <c r="W3" s="1076"/>
      <c r="X3" s="1076"/>
      <c r="Y3" s="1076"/>
      <c r="Z3" s="1076"/>
      <c r="AA3" s="1076"/>
      <c r="AB3" s="1076"/>
      <c r="AC3" s="1076"/>
      <c r="AD3" s="1076"/>
      <c r="AE3" s="1076"/>
      <c r="AF3" s="1076"/>
      <c r="AG3" s="1076"/>
      <c r="AH3" s="1076"/>
      <c r="AI3" s="1076"/>
      <c r="AJ3" s="1076"/>
      <c r="AK3" s="1076"/>
      <c r="AL3" s="1076"/>
      <c r="AM3" s="1076"/>
      <c r="AN3" s="1076"/>
      <c r="AO3" s="1076"/>
      <c r="AP3" s="1076"/>
      <c r="AQ3" s="1076"/>
      <c r="AR3" s="1076"/>
      <c r="AS3" s="1076"/>
      <c r="AT3" s="1076"/>
      <c r="AU3" s="1076"/>
      <c r="AV3" s="1076"/>
      <c r="AW3" s="1076"/>
      <c r="AX3" s="1076"/>
      <c r="AY3" s="1076"/>
      <c r="AZ3" s="1076"/>
      <c r="BA3" s="1076"/>
      <c r="BB3" s="1076"/>
      <c r="BC3" s="1076"/>
      <c r="BD3" s="1076"/>
      <c r="BE3" s="1076"/>
      <c r="BF3" s="182"/>
      <c r="BG3" s="182"/>
      <c r="BH3" s="182"/>
      <c r="BI3" s="247" t="s">
        <v>296</v>
      </c>
      <c r="BJ3" s="1723" t="s">
        <v>150</v>
      </c>
      <c r="BK3" s="1723"/>
      <c r="BL3" s="1723"/>
      <c r="BM3" s="1723"/>
      <c r="BN3" s="1723"/>
      <c r="BO3" s="1723"/>
      <c r="BP3" s="1723"/>
      <c r="BQ3" s="1723"/>
      <c r="BR3" s="1723"/>
      <c r="BS3" s="1723"/>
      <c r="BT3" s="1723"/>
      <c r="BU3" s="1723"/>
      <c r="BW3" s="248"/>
      <c r="BX3" s="248"/>
      <c r="BY3" s="248"/>
      <c r="BZ3" s="248"/>
      <c r="CA3" s="248"/>
      <c r="CB3" s="248"/>
      <c r="CC3" s="248"/>
    </row>
    <row r="4" spans="1:81" ht="15" customHeight="1" thickBot="1">
      <c r="A4" s="182"/>
      <c r="B4" s="1739"/>
      <c r="C4" s="1739"/>
      <c r="D4" s="1739"/>
      <c r="E4" s="1739"/>
      <c r="F4" s="1739"/>
      <c r="G4" s="1739"/>
      <c r="H4" s="1739"/>
      <c r="I4" s="1739"/>
      <c r="J4" s="1739"/>
      <c r="K4" s="1739"/>
      <c r="L4" s="1739"/>
      <c r="M4" s="1739"/>
      <c r="N4" s="1739"/>
      <c r="O4" s="1739"/>
      <c r="P4" s="1739"/>
      <c r="Q4" s="1739"/>
      <c r="R4" s="1739"/>
      <c r="S4" s="1739"/>
      <c r="T4" s="1739"/>
      <c r="U4" s="1739"/>
      <c r="V4" s="1739"/>
      <c r="W4" s="1739"/>
      <c r="X4" s="1739"/>
      <c r="Y4" s="1739"/>
      <c r="Z4" s="1739"/>
      <c r="AA4" s="1739"/>
      <c r="AB4" s="1739"/>
      <c r="AC4" s="1739"/>
      <c r="AD4" s="1739"/>
      <c r="AE4" s="1739"/>
      <c r="AF4" s="1739"/>
      <c r="AG4" s="1739"/>
      <c r="AH4" s="1739"/>
      <c r="AI4" s="1739"/>
      <c r="AJ4" s="1739"/>
      <c r="AK4" s="1739"/>
      <c r="AL4" s="1739"/>
      <c r="AM4" s="1739"/>
      <c r="AN4" s="1739"/>
      <c r="AO4" s="1739"/>
      <c r="AP4" s="1739"/>
      <c r="AQ4" s="1739"/>
      <c r="AR4" s="1739"/>
      <c r="AS4" s="1739"/>
      <c r="AT4" s="1739"/>
      <c r="AU4" s="1739"/>
      <c r="AV4" s="1739"/>
      <c r="AW4" s="1739"/>
      <c r="AX4" s="1739"/>
      <c r="AY4" s="1739"/>
      <c r="AZ4" s="1739"/>
      <c r="BA4" s="1739"/>
      <c r="BB4" s="1739"/>
      <c r="BC4" s="1739"/>
      <c r="BD4" s="1739"/>
      <c r="BE4" s="1739"/>
      <c r="BF4" s="182"/>
      <c r="BG4" s="182"/>
      <c r="BH4" s="182"/>
      <c r="BI4" s="247" t="s">
        <v>300</v>
      </c>
      <c r="BJ4" s="1732" t="s">
        <v>638</v>
      </c>
      <c r="BK4" s="1732"/>
      <c r="BL4" s="1732"/>
      <c r="BM4" s="1732"/>
      <c r="BN4" s="1732"/>
      <c r="BO4" s="1732"/>
      <c r="BP4" s="1732"/>
      <c r="BQ4" s="1732"/>
      <c r="BR4" s="1732"/>
      <c r="BS4" s="1732"/>
      <c r="BT4" s="1732"/>
      <c r="BU4" s="1732"/>
      <c r="BW4" s="248"/>
      <c r="BX4" s="248"/>
      <c r="BY4" s="248"/>
      <c r="BZ4" s="248"/>
      <c r="CA4" s="248"/>
      <c r="CB4" s="248"/>
      <c r="CC4" s="248"/>
    </row>
    <row r="5" spans="1:81" ht="15" customHeight="1" thickBot="1">
      <c r="A5" s="182"/>
      <c r="B5" s="1740" t="s">
        <v>639</v>
      </c>
      <c r="C5" s="1741"/>
      <c r="D5" s="1741"/>
      <c r="E5" s="1741"/>
      <c r="F5" s="1741"/>
      <c r="G5" s="1741"/>
      <c r="H5" s="1741"/>
      <c r="I5" s="1741"/>
      <c r="J5" s="1741"/>
      <c r="K5" s="1741"/>
      <c r="L5" s="1741"/>
      <c r="M5" s="1741"/>
      <c r="N5" s="1741"/>
      <c r="O5" s="1741"/>
      <c r="P5" s="1741"/>
      <c r="Q5" s="1741"/>
      <c r="R5" s="1741"/>
      <c r="S5" s="1741"/>
      <c r="T5" s="1741"/>
      <c r="U5" s="1741"/>
      <c r="V5" s="1741"/>
      <c r="W5" s="1741"/>
      <c r="X5" s="1741"/>
      <c r="Y5" s="1741"/>
      <c r="Z5" s="1741"/>
      <c r="AA5" s="1741"/>
      <c r="AB5" s="1741"/>
      <c r="AC5" s="1741"/>
      <c r="AD5" s="1741"/>
      <c r="AE5" s="1741"/>
      <c r="AF5" s="1741"/>
      <c r="AG5" s="1741"/>
      <c r="AH5" s="1741"/>
      <c r="AI5" s="1741"/>
      <c r="AJ5" s="1741"/>
      <c r="AK5" s="1741"/>
      <c r="AL5" s="1741"/>
      <c r="AM5" s="1741"/>
      <c r="AN5" s="1741"/>
      <c r="AO5" s="1741"/>
      <c r="AP5" s="1741"/>
      <c r="AQ5" s="1741"/>
      <c r="AR5" s="1741"/>
      <c r="AS5" s="684"/>
      <c r="AT5" s="684"/>
      <c r="AU5" s="684"/>
      <c r="AV5" s="684"/>
      <c r="AW5" s="684"/>
      <c r="AX5" s="684"/>
      <c r="AY5" s="684"/>
      <c r="AZ5" s="684"/>
      <c r="BA5" s="684"/>
      <c r="BB5" s="684"/>
      <c r="BC5" s="684"/>
      <c r="BD5" s="684"/>
      <c r="BE5" s="659" t="str">
        <f>Cover!M34</f>
        <v>OCT FY-24</v>
      </c>
      <c r="BF5" s="182"/>
      <c r="BG5" s="182"/>
      <c r="BH5" s="182"/>
      <c r="BI5" s="1716" t="s">
        <v>640</v>
      </c>
      <c r="BJ5" s="1717"/>
      <c r="BK5" s="1718"/>
      <c r="BL5" s="1717" t="s">
        <v>302</v>
      </c>
      <c r="BM5" s="1717"/>
      <c r="BN5" s="1717"/>
      <c r="BO5" s="1717"/>
      <c r="BP5" s="1729"/>
      <c r="BQ5" s="1716" t="s">
        <v>719</v>
      </c>
      <c r="BR5" s="1717"/>
      <c r="BS5" s="1717"/>
      <c r="BT5" s="1717"/>
      <c r="BU5" s="1718"/>
      <c r="BW5" s="1716" t="s">
        <v>303</v>
      </c>
      <c r="BX5" s="1717"/>
      <c r="BY5" s="1717"/>
      <c r="BZ5" s="1717"/>
      <c r="CA5" s="1717"/>
      <c r="CB5" s="1717"/>
      <c r="CC5" s="1718"/>
    </row>
    <row r="6" spans="1:81" ht="15" customHeight="1">
      <c r="A6" s="182"/>
      <c r="B6" s="248"/>
      <c r="C6" s="248"/>
      <c r="D6" s="248"/>
      <c r="E6" s="248"/>
      <c r="F6" s="248"/>
      <c r="G6" s="248"/>
      <c r="H6" s="248"/>
      <c r="I6" s="248"/>
      <c r="J6" s="248"/>
      <c r="K6" s="248"/>
      <c r="L6" s="248"/>
      <c r="M6" s="248"/>
      <c r="N6" s="248"/>
      <c r="O6" s="248"/>
      <c r="P6" s="248"/>
      <c r="Q6" s="248"/>
      <c r="R6" s="248"/>
      <c r="S6" s="248"/>
      <c r="T6" s="248"/>
      <c r="U6" s="248"/>
      <c r="V6" s="248"/>
      <c r="W6" s="248"/>
      <c r="X6" s="248"/>
      <c r="Y6" s="248"/>
      <c r="Z6" s="248"/>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182"/>
      <c r="BG6" s="182"/>
      <c r="BH6" s="182"/>
      <c r="BI6" s="253" t="s">
        <v>23</v>
      </c>
      <c r="BJ6" s="253" t="s">
        <v>37</v>
      </c>
      <c r="BK6" s="253" t="s">
        <v>304</v>
      </c>
      <c r="BL6" s="688" t="s">
        <v>305</v>
      </c>
      <c r="BM6" s="688" t="s">
        <v>310</v>
      </c>
      <c r="BN6" s="688" t="s">
        <v>311</v>
      </c>
      <c r="BO6" s="254" t="s">
        <v>312</v>
      </c>
      <c r="BP6" s="688" t="s">
        <v>313</v>
      </c>
      <c r="BQ6" s="688" t="s">
        <v>305</v>
      </c>
      <c r="BR6" s="688" t="s">
        <v>715</v>
      </c>
      <c r="BS6" s="688" t="s">
        <v>716</v>
      </c>
      <c r="BT6" s="254" t="s">
        <v>717</v>
      </c>
      <c r="BU6" s="688" t="s">
        <v>718</v>
      </c>
      <c r="BW6" s="253" t="s">
        <v>314</v>
      </c>
      <c r="BX6" s="253" t="s">
        <v>23</v>
      </c>
      <c r="BY6" s="255" t="s">
        <v>315</v>
      </c>
      <c r="BZ6" s="253" t="s">
        <v>122</v>
      </c>
      <c r="CA6" s="253" t="s">
        <v>316</v>
      </c>
      <c r="CB6" s="253" t="s">
        <v>317</v>
      </c>
      <c r="CC6" s="253" t="s">
        <v>318</v>
      </c>
    </row>
    <row r="7" spans="1:81" ht="15" customHeight="1">
      <c r="B7" s="522" t="s">
        <v>330</v>
      </c>
      <c r="C7" s="523"/>
      <c r="D7" s="523"/>
      <c r="E7" s="523"/>
      <c r="F7" s="523"/>
      <c r="G7" s="524"/>
      <c r="H7" s="524"/>
      <c r="I7" s="524"/>
      <c r="J7" s="524"/>
      <c r="K7" s="524"/>
      <c r="L7" s="525"/>
      <c r="M7" s="523"/>
      <c r="N7" s="523"/>
      <c r="O7" s="526"/>
      <c r="P7" s="526"/>
      <c r="Q7" s="526"/>
      <c r="R7" s="526"/>
      <c r="S7" s="526"/>
      <c r="T7" s="526"/>
      <c r="U7" s="526"/>
      <c r="V7" s="526"/>
      <c r="W7" s="526"/>
      <c r="X7" s="526"/>
      <c r="Y7" s="526"/>
      <c r="Z7" s="526"/>
      <c r="AA7" s="526"/>
      <c r="AB7" s="526"/>
      <c r="AC7" s="526"/>
      <c r="AD7" s="526"/>
      <c r="AE7" s="526"/>
      <c r="AF7" s="526"/>
      <c r="AG7" s="526"/>
      <c r="AH7" s="526"/>
      <c r="AI7" s="526"/>
      <c r="AJ7" s="526"/>
      <c r="AK7" s="526"/>
      <c r="AL7" s="526"/>
      <c r="AM7" s="526"/>
      <c r="AN7" s="526"/>
      <c r="AO7" s="526"/>
      <c r="AP7" s="526"/>
      <c r="AQ7" s="526"/>
      <c r="AR7" s="526"/>
      <c r="AS7" s="526"/>
      <c r="AT7" s="526"/>
      <c r="AU7" s="526"/>
      <c r="AV7" s="526"/>
      <c r="AW7" s="526"/>
      <c r="AX7" s="526"/>
      <c r="AY7" s="526"/>
      <c r="AZ7" s="526"/>
      <c r="BA7" s="526"/>
      <c r="BB7" s="526"/>
      <c r="BC7" s="526"/>
      <c r="BD7" s="526"/>
      <c r="BE7" s="526"/>
      <c r="BF7" s="182"/>
      <c r="BG7" s="182"/>
      <c r="BH7" s="182"/>
      <c r="BI7" s="789" t="s">
        <v>319</v>
      </c>
      <c r="BJ7" s="789">
        <v>1</v>
      </c>
      <c r="BK7" s="789" t="s">
        <v>320</v>
      </c>
      <c r="BL7" s="632"/>
      <c r="BM7" s="632"/>
      <c r="BN7" s="790">
        <f t="shared" ref="BN7:BN18" si="0">IF(BM7=0,0,BL7/BM7)</f>
        <v>0</v>
      </c>
      <c r="BO7" s="581">
        <f>IF(SUM(BM7:BM9=0),0,SUM(BL7:BL9)/SUM(BM7:BM9))</f>
        <v>0</v>
      </c>
      <c r="BP7" s="790">
        <v>0.9</v>
      </c>
      <c r="BQ7" s="632"/>
      <c r="BR7" s="632"/>
      <c r="BS7" s="790">
        <f t="shared" ref="BS7:BS18" si="1">IF(BR7=0,0,BQ7/BR7)</f>
        <v>0</v>
      </c>
      <c r="BT7" s="581">
        <f>IF(SUM(BR7:BR9=0),0,SUM(BQ7:BQ9)/SUM(BR7:BR9))</f>
        <v>0</v>
      </c>
      <c r="BU7" s="790">
        <v>0.9</v>
      </c>
      <c r="BW7" s="248"/>
      <c r="BX7" s="791" t="str">
        <f t="shared" ref="BX7:BX19" si="2">TEXT(CONCATENATE(CC7,"/01/20",CB7),"MMM")</f>
        <v>Oct</v>
      </c>
      <c r="BY7" s="792">
        <f>IF(CB7=$CB19,SUMIF($BI7:$BI18,$BX7,$BR7:$BR18),SUMIF($BI7:$BI18,$BX7,$BM7:$BM18))</f>
        <v>0</v>
      </c>
      <c r="BZ7" s="793">
        <f>IF(IF(CB7=CB19,SUMIF(BI7:BI18,$BX7,BU7:BU18),SUMIF(BI7:BI18,$BX7,BP7:BP18))=0,NA(),IF(CB7=CB19,SUMIF(BI7:BI18,$BX7,BU7:BU18),SUMIF(BI7:BI18,$BX7,BP7:BP18)))</f>
        <v>0.9</v>
      </c>
      <c r="CA7" s="794" t="e">
        <f>IF(IF(CB7=CB19,SUMIF(BI7:BI18,$BX7,BS7:BS18),SUMIF(BI7:BI18,$BX7,BN7:BN18))=0,NA(),IF(CB7=CB19,SUMIF(BI7:BI18,$BX7,BS7:BS18),SUMIF(BI7:BI18,$BX7,BN7:BN18)))</f>
        <v>#N/A</v>
      </c>
      <c r="CB7" s="645">
        <v>23</v>
      </c>
      <c r="CC7" s="795">
        <f t="shared" ref="CC7:CC18" si="3">IF(CC8-1&lt;1,CC8+11,CC8-1)</f>
        <v>10</v>
      </c>
    </row>
    <row r="8" spans="1:81" ht="15" customHeight="1">
      <c r="B8" s="1742" t="s">
        <v>225</v>
      </c>
      <c r="C8" s="1743"/>
      <c r="D8" s="1743"/>
      <c r="E8" s="1744"/>
      <c r="F8" s="1751" t="s">
        <v>332</v>
      </c>
      <c r="G8" s="1751"/>
      <c r="H8" s="1751"/>
      <c r="I8" s="1751"/>
      <c r="J8" s="1751"/>
      <c r="K8" s="1751"/>
      <c r="L8" s="1751"/>
      <c r="M8" s="1751"/>
      <c r="N8" s="1751"/>
      <c r="O8" s="1751" t="s">
        <v>335</v>
      </c>
      <c r="P8" s="1751"/>
      <c r="Q8" s="1751"/>
      <c r="R8" s="1751"/>
      <c r="S8" s="1751"/>
      <c r="T8" s="1751"/>
      <c r="U8" s="1752" t="s">
        <v>713</v>
      </c>
      <c r="V8" s="1752"/>
      <c r="W8" s="1752"/>
      <c r="X8" s="1751" t="s">
        <v>712</v>
      </c>
      <c r="Y8" s="1751"/>
      <c r="Z8" s="1751"/>
      <c r="AA8" s="1751"/>
      <c r="AB8" s="1751"/>
      <c r="AC8" s="1751"/>
      <c r="AD8" s="1751"/>
      <c r="AE8" s="1751"/>
      <c r="AF8" s="1751"/>
      <c r="AG8" s="1733"/>
      <c r="AH8" s="1734"/>
      <c r="AI8" s="1734"/>
      <c r="AJ8" s="1734"/>
      <c r="AK8" s="1734"/>
      <c r="AL8" s="1734"/>
      <c r="AM8" s="1734"/>
      <c r="AN8" s="1734"/>
      <c r="AO8" s="1734"/>
      <c r="AP8" s="1734"/>
      <c r="AQ8" s="1734"/>
      <c r="AR8" s="1734"/>
      <c r="AS8" s="1734"/>
      <c r="AT8" s="1734"/>
      <c r="AU8" s="1734"/>
      <c r="AV8" s="1734"/>
      <c r="AW8" s="1734"/>
      <c r="AX8" s="1734"/>
      <c r="AY8" s="1734"/>
      <c r="AZ8" s="1734"/>
      <c r="BA8" s="1734"/>
      <c r="BB8" s="1734"/>
      <c r="BC8" s="1734"/>
      <c r="BD8" s="1734"/>
      <c r="BE8" s="1734"/>
      <c r="BF8" s="246"/>
      <c r="BG8" s="246"/>
      <c r="BH8" s="249"/>
      <c r="BI8" s="789" t="s">
        <v>321</v>
      </c>
      <c r="BJ8" s="789">
        <v>2</v>
      </c>
      <c r="BK8" s="789" t="s">
        <v>320</v>
      </c>
      <c r="BL8" s="632"/>
      <c r="BM8" s="632"/>
      <c r="BN8" s="790">
        <f t="shared" si="0"/>
        <v>0</v>
      </c>
      <c r="BO8" s="256"/>
      <c r="BP8" s="790">
        <v>0.9</v>
      </c>
      <c r="BQ8" s="632"/>
      <c r="BR8" s="632"/>
      <c r="BS8" s="790">
        <f t="shared" si="1"/>
        <v>0</v>
      </c>
      <c r="BT8" s="256"/>
      <c r="BU8" s="790">
        <v>0.9</v>
      </c>
      <c r="BW8" s="248"/>
      <c r="BX8" s="791" t="str">
        <f t="shared" si="2"/>
        <v>Nov</v>
      </c>
      <c r="BY8" s="792">
        <f>IF(CB8=$CB19,SUMIF($BI7:$BI18,$BX8,$BR7:$BR18),SUMIF($BI7:$BI18,$BX8,$BM7:$BM18))</f>
        <v>0</v>
      </c>
      <c r="BZ8" s="793">
        <f>IF(IF(CB8=CB19,SUMIF(BI7:BI18,$BX8,BU7:BU18),SUMIF(BI7:BI18,$BX8,BP7:BP18))=0,NA(),IF(CB8=CB19,SUMIF(BI7:BI18,$BX8,BU7:BU18),SUMIF(BI7:BI18,$BX8,BP7:BP18)))</f>
        <v>0.9</v>
      </c>
      <c r="CA8" s="794" t="e">
        <f>IF(IF(CB8=CB19,SUMIF(BI7:BI18,$BX8,BS7:BS18),SUMIF(BI7:BI18,$BX8,BN7:BN18))=0,NA(),IF(CB8=CB19,SUMIF(BI7:BI18,$BX8,BS7:BS18),SUMIF(BI7:BI18,$BX8,BN7:BN18)))</f>
        <v>#N/A</v>
      </c>
      <c r="CB8" s="645">
        <v>23</v>
      </c>
      <c r="CC8" s="795">
        <f t="shared" si="3"/>
        <v>11</v>
      </c>
    </row>
    <row r="9" spans="1:81" ht="15" customHeight="1">
      <c r="B9" s="1745"/>
      <c r="C9" s="1746"/>
      <c r="D9" s="1746"/>
      <c r="E9" s="1747"/>
      <c r="F9" s="1751"/>
      <c r="G9" s="1751"/>
      <c r="H9" s="1751"/>
      <c r="I9" s="1751"/>
      <c r="J9" s="1751"/>
      <c r="K9" s="1751"/>
      <c r="L9" s="1751"/>
      <c r="M9" s="1751"/>
      <c r="N9" s="1751"/>
      <c r="O9" s="1751" t="s">
        <v>23</v>
      </c>
      <c r="P9" s="1751"/>
      <c r="Q9" s="1751"/>
      <c r="R9" s="1751" t="s">
        <v>339</v>
      </c>
      <c r="S9" s="1751"/>
      <c r="T9" s="1751"/>
      <c r="U9" s="1752"/>
      <c r="V9" s="1752"/>
      <c r="W9" s="1752"/>
      <c r="X9" s="1752" t="s">
        <v>340</v>
      </c>
      <c r="Y9" s="1752"/>
      <c r="Z9" s="1752"/>
      <c r="AA9" s="1752" t="s">
        <v>341</v>
      </c>
      <c r="AB9" s="1752"/>
      <c r="AC9" s="1752"/>
      <c r="AD9" s="1752" t="s">
        <v>342</v>
      </c>
      <c r="AE9" s="1752"/>
      <c r="AF9" s="1752"/>
      <c r="AG9" s="1735"/>
      <c r="AH9" s="1736"/>
      <c r="AI9" s="1736"/>
      <c r="AJ9" s="1736"/>
      <c r="AK9" s="1736"/>
      <c r="AL9" s="1736"/>
      <c r="AM9" s="1736"/>
      <c r="AN9" s="1736"/>
      <c r="AO9" s="1736"/>
      <c r="AP9" s="1736"/>
      <c r="AQ9" s="1736"/>
      <c r="AR9" s="1736"/>
      <c r="AS9" s="1736"/>
      <c r="AT9" s="1736"/>
      <c r="AU9" s="1736"/>
      <c r="AV9" s="1736"/>
      <c r="AW9" s="1736"/>
      <c r="AX9" s="1736"/>
      <c r="AY9" s="1736"/>
      <c r="AZ9" s="1736"/>
      <c r="BA9" s="1736"/>
      <c r="BB9" s="1736"/>
      <c r="BC9" s="1736"/>
      <c r="BD9" s="1736"/>
      <c r="BE9" s="1736"/>
      <c r="BF9" s="246"/>
      <c r="BG9" s="246"/>
      <c r="BH9" s="249"/>
      <c r="BI9" s="789" t="s">
        <v>322</v>
      </c>
      <c r="BJ9" s="789">
        <v>3</v>
      </c>
      <c r="BK9" s="789" t="s">
        <v>320</v>
      </c>
      <c r="BL9" s="632"/>
      <c r="BM9" s="632"/>
      <c r="BN9" s="790">
        <f t="shared" si="0"/>
        <v>0</v>
      </c>
      <c r="BO9" s="256"/>
      <c r="BP9" s="790">
        <v>0.9</v>
      </c>
      <c r="BQ9" s="632"/>
      <c r="BR9" s="632"/>
      <c r="BS9" s="790">
        <f t="shared" si="1"/>
        <v>0</v>
      </c>
      <c r="BT9" s="256"/>
      <c r="BU9" s="790">
        <v>0.9</v>
      </c>
      <c r="BW9" s="248"/>
      <c r="BX9" s="791" t="str">
        <f t="shared" si="2"/>
        <v>Dec</v>
      </c>
      <c r="BY9" s="792">
        <f>IF(CB9=$CB19,SUMIF($BI7:$BI18,$BX9,$BR7:$BR18),SUMIF($BI7:$BI18,$BX9,$BM7:$BM18))</f>
        <v>0</v>
      </c>
      <c r="BZ9" s="793">
        <f>IF(IF(CB9=CB19,SUMIF(BI7:BI18,$BX9,BU7:BU18),SUMIF(BI7:BI18,$BX9,BP7:BP18))=0,NA(),IF(CB9=CB19,SUMIF(BI7:BI18,$BX9,BU7:BU18),SUMIF(BI7:BI18,$BX9,BP7:BP18)))</f>
        <v>0.9</v>
      </c>
      <c r="CA9" s="794" t="e">
        <f>IF(IF(CB9=CB19,SUMIF(BI7:BI18,$BX9,BS7:BS18),SUMIF(BI7:BI18,$BX9,BN7:BN18))=0,NA(),IF(CB9=CB19,SUMIF(BI7:BI18,$BX9,BS7:BS18),SUMIF(BI7:BI18,$BX9,BN7:BN18)))</f>
        <v>#N/A</v>
      </c>
      <c r="CB9" s="645">
        <v>23</v>
      </c>
      <c r="CC9" s="795">
        <f t="shared" si="3"/>
        <v>12</v>
      </c>
    </row>
    <row r="10" spans="1:81" ht="15" customHeight="1">
      <c r="B10" s="1748"/>
      <c r="C10" s="1749"/>
      <c r="D10" s="1749"/>
      <c r="E10" s="1750"/>
      <c r="F10" s="1751"/>
      <c r="G10" s="1751"/>
      <c r="H10" s="1751"/>
      <c r="I10" s="1751"/>
      <c r="J10" s="1751"/>
      <c r="K10" s="1751"/>
      <c r="L10" s="1751"/>
      <c r="M10" s="1751"/>
      <c r="N10" s="1751"/>
      <c r="O10" s="1751"/>
      <c r="P10" s="1751"/>
      <c r="Q10" s="1751"/>
      <c r="R10" s="1751"/>
      <c r="S10" s="1751"/>
      <c r="T10" s="1751"/>
      <c r="U10" s="1752"/>
      <c r="V10" s="1752"/>
      <c r="W10" s="1752"/>
      <c r="X10" s="1752"/>
      <c r="Y10" s="1752"/>
      <c r="Z10" s="1752"/>
      <c r="AA10" s="1752"/>
      <c r="AB10" s="1752"/>
      <c r="AC10" s="1752"/>
      <c r="AD10" s="1752"/>
      <c r="AE10" s="1752"/>
      <c r="AF10" s="1752"/>
      <c r="AG10" s="1737"/>
      <c r="AH10" s="1738"/>
      <c r="AI10" s="1738"/>
      <c r="AJ10" s="1738"/>
      <c r="AK10" s="1738"/>
      <c r="AL10" s="1738"/>
      <c r="AM10" s="1738"/>
      <c r="AN10" s="1738"/>
      <c r="AO10" s="1738"/>
      <c r="AP10" s="1738"/>
      <c r="AQ10" s="1738"/>
      <c r="AR10" s="1738"/>
      <c r="AS10" s="1738"/>
      <c r="AT10" s="1738"/>
      <c r="AU10" s="1738"/>
      <c r="AV10" s="1738"/>
      <c r="AW10" s="1738"/>
      <c r="AX10" s="1738"/>
      <c r="AY10" s="1738"/>
      <c r="AZ10" s="1738"/>
      <c r="BA10" s="1738"/>
      <c r="BB10" s="1738"/>
      <c r="BC10" s="1738"/>
      <c r="BD10" s="1738"/>
      <c r="BE10" s="1738"/>
      <c r="BF10" s="246"/>
      <c r="BG10" s="246"/>
      <c r="BH10" s="246"/>
      <c r="BI10" s="789" t="s">
        <v>323</v>
      </c>
      <c r="BJ10" s="789">
        <v>4</v>
      </c>
      <c r="BK10" s="789" t="s">
        <v>324</v>
      </c>
      <c r="BL10" s="632"/>
      <c r="BM10" s="632"/>
      <c r="BN10" s="790">
        <f t="shared" si="0"/>
        <v>0</v>
      </c>
      <c r="BO10" s="581">
        <f>IF(SUM(BM10:BM12=0),0,SUM(BL10:BL12)/SUM(BM10:BM12))</f>
        <v>0</v>
      </c>
      <c r="BP10" s="790">
        <v>0.9</v>
      </c>
      <c r="BQ10" s="632"/>
      <c r="BR10" s="632"/>
      <c r="BS10" s="790">
        <f t="shared" si="1"/>
        <v>0</v>
      </c>
      <c r="BT10" s="581">
        <f>IF(SUM(BR10:BR12=0),0,SUM(BQ10:BQ12)/SUM(BR10:BR12))</f>
        <v>0</v>
      </c>
      <c r="BU10" s="790">
        <v>0.9</v>
      </c>
      <c r="BW10" s="248"/>
      <c r="BX10" s="791" t="str">
        <f t="shared" si="2"/>
        <v>Jan</v>
      </c>
      <c r="BY10" s="792">
        <f>IF(CB10=$CB19,SUMIF($BI7:$BI18,$BX10,$BR7:$BR18),SUMIF($BI7:$BI18,$BX10,$BM7:$BM18))</f>
        <v>0</v>
      </c>
      <c r="BZ10" s="793">
        <f>IF(IF(CB10=CB19,SUMIF(BI7:BI18,$BX10,BU7:BU18),SUMIF(BI7:BI18,$BX10,BP7:BP18))=0,NA(),IF(CB10=CB19,SUMIF(BI7:BI18,$BX10,BU7:BU18),SUMIF(BI7:BI18,$BX10,BP7:BP18)))</f>
        <v>0.9</v>
      </c>
      <c r="CA10" s="794" t="e">
        <f>IF(IF(CB10=CB19,SUMIF(BI7:BI18,$BX10,BS7:BS18),SUMIF(BI7:BI18,$BX10,BN7:BN18))=0,NA(),IF(CB10=CB19,SUMIF(BI7:BI18,$BX10,BS7:BS18),SUMIF(BI7:BI18,$BX10,BN7:BN18)))</f>
        <v>#N/A</v>
      </c>
      <c r="CB10" s="645">
        <v>23</v>
      </c>
      <c r="CC10" s="795">
        <f t="shared" si="3"/>
        <v>1</v>
      </c>
    </row>
    <row r="11" spans="1:81" ht="45" customHeight="1">
      <c r="B11" s="1730" t="s">
        <v>641</v>
      </c>
      <c r="C11" s="1730"/>
      <c r="D11" s="1730"/>
      <c r="E11" s="1731"/>
      <c r="F11" s="1177" t="s">
        <v>150</v>
      </c>
      <c r="G11" s="1178"/>
      <c r="H11" s="1178"/>
      <c r="I11" s="1178"/>
      <c r="J11" s="1178"/>
      <c r="K11" s="1178"/>
      <c r="L11" s="1178"/>
      <c r="M11" s="1178"/>
      <c r="N11" s="1178"/>
      <c r="O11" s="1125">
        <f>SUMIF(GBS_HR!$BJ$7:$BJ$18,Cover!$M$36,GBS_HR!$BN$7:$BN$18)</f>
        <v>0</v>
      </c>
      <c r="P11" s="1125"/>
      <c r="Q11" s="1125"/>
      <c r="R11" s="1125">
        <f>SUMIF(GBS_HR!$BK$7:$BK$18,Cover!$M$35,GBS_HR!$BO$7:$BO$18)</f>
        <v>0</v>
      </c>
      <c r="S11" s="1125"/>
      <c r="T11" s="1125"/>
      <c r="U11" s="1302">
        <f>SUMIF(GBS_HR!$BJ$7:$BJ$18,Cover!$M$36,GBS_HR!$BU$7:$BU$18)</f>
        <v>0.9</v>
      </c>
      <c r="V11" s="1302"/>
      <c r="W11" s="1302"/>
      <c r="X11" s="1125">
        <f>IF(Cover!$M$36=1,SUMIF($BJ$7:$BJ$18,12,$BN$7:$BN$18),SUMIF(GBS_HR!$BJ$7:$BJ$18,Cover!$M$36-1,GBS_HR!$BS$7:$BS$18))</f>
        <v>0</v>
      </c>
      <c r="Y11" s="1125"/>
      <c r="Z11" s="1125"/>
      <c r="AA11" s="1125">
        <f>SUMIF(GBS_HR!$BJ$7:$BJ$18,Cover!$M$36,GBS_HR!$BS$7:$BS$18)</f>
        <v>0</v>
      </c>
      <c r="AB11" s="1125"/>
      <c r="AC11" s="1125"/>
      <c r="AD11" s="1125">
        <f>SUMIF(GBS_HR!$BK$7:$BK$18,Cover!$M$35,GBS_HR!$BT$7:$BT$18)</f>
        <v>0</v>
      </c>
      <c r="AE11" s="1125"/>
      <c r="AF11" s="1125"/>
      <c r="AG11" s="1725"/>
      <c r="AH11" s="1726"/>
      <c r="AI11" s="1726"/>
      <c r="AJ11" s="1726"/>
      <c r="AK11" s="1726"/>
      <c r="AL11" s="1726"/>
      <c r="AM11" s="1726"/>
      <c r="AN11" s="1726"/>
      <c r="AO11" s="1726"/>
      <c r="AP11" s="1726"/>
      <c r="AQ11" s="1726"/>
      <c r="AR11" s="1726"/>
      <c r="AS11" s="1726"/>
      <c r="AT11" s="1726"/>
      <c r="AU11" s="1726"/>
      <c r="AV11" s="1726"/>
      <c r="AW11" s="1726"/>
      <c r="AX11" s="1726"/>
      <c r="AY11" s="1726"/>
      <c r="AZ11" s="1726"/>
      <c r="BA11" s="1726"/>
      <c r="BB11" s="1726"/>
      <c r="BC11" s="1726"/>
      <c r="BD11" s="1726"/>
      <c r="BE11" s="1726"/>
      <c r="BF11" s="246"/>
      <c r="BG11" s="246"/>
      <c r="BH11" s="160">
        <f>IF(U11=0,4,IF(AA11=0,0,IF(U11="","",IF(AA11&lt;=U11,1,IF(AA11&gt;U11/0.9,3,2)))))</f>
        <v>0</v>
      </c>
      <c r="BI11" s="789" t="s">
        <v>325</v>
      </c>
      <c r="BJ11" s="789">
        <v>5</v>
      </c>
      <c r="BK11" s="789" t="s">
        <v>324</v>
      </c>
      <c r="BL11" s="632"/>
      <c r="BM11" s="632"/>
      <c r="BN11" s="790">
        <f t="shared" si="0"/>
        <v>0</v>
      </c>
      <c r="BO11" s="256"/>
      <c r="BP11" s="790">
        <v>0.9</v>
      </c>
      <c r="BQ11" s="632"/>
      <c r="BR11" s="632"/>
      <c r="BS11" s="790">
        <f t="shared" si="1"/>
        <v>0</v>
      </c>
      <c r="BT11" s="256"/>
      <c r="BU11" s="790">
        <v>0.9</v>
      </c>
      <c r="BW11" s="248"/>
      <c r="BX11" s="791" t="str">
        <f t="shared" si="2"/>
        <v>Feb</v>
      </c>
      <c r="BY11" s="792">
        <f>IF(CB11=$CB19,SUMIF($BI7:$BI18,$BX11,$BR7:$BR18),SUMIF($BI7:$BI18,$BX11,$BM7:$BM18))</f>
        <v>0</v>
      </c>
      <c r="BZ11" s="793">
        <f>IF(IF(CB11=CB19,SUMIF(BI7:BI18,$BX11,BU7:BU18),SUMIF(BI7:BI18,$BX11,BP7:BP18))=0,NA(),IF(CB11=CB19,SUMIF(BI7:BI18,$BX11,BU7:BU18),SUMIF(BI7:BI18,$BX11,BP7:BP18)))</f>
        <v>0.9</v>
      </c>
      <c r="CA11" s="794" t="e">
        <f>IF(IF(CB11=CB19,SUMIF(BI7:BI18,$BX11,BS7:BS18),SUMIF(BI7:BI18,$BX11,BN7:BN18))=0,NA(),IF(CB11=CB19,SUMIF(BI7:BI18,$BX11,BS7:BS18),SUMIF(BI7:BI18,$BX11,BN7:BN18)))</f>
        <v>#N/A</v>
      </c>
      <c r="CB11" s="645">
        <v>23</v>
      </c>
      <c r="CC11" s="795">
        <f t="shared" si="3"/>
        <v>2</v>
      </c>
    </row>
    <row r="12" spans="1:81" ht="45" customHeight="1">
      <c r="B12" s="1730"/>
      <c r="C12" s="1730"/>
      <c r="D12" s="1730"/>
      <c r="E12" s="1731"/>
      <c r="F12" s="1126" t="s">
        <v>642</v>
      </c>
      <c r="G12" s="1126"/>
      <c r="H12" s="1126"/>
      <c r="I12" s="1126"/>
      <c r="J12" s="1126"/>
      <c r="K12" s="1126"/>
      <c r="L12" s="1126"/>
      <c r="M12" s="1126"/>
      <c r="N12" s="1126"/>
      <c r="O12" s="1727">
        <f>SUMIF(GBS_HR!$BJ$27:$BJ$38,Cover!$M$36,GBS_HR!$BN$27:$BN$38)</f>
        <v>0</v>
      </c>
      <c r="P12" s="1727"/>
      <c r="Q12" s="1727"/>
      <c r="R12" s="1727">
        <f>SUMIF(GBS_HR!$BK$27:$BK$38,Cover!$M$35,GBS_HR!$BO$27:$BO$38)</f>
        <v>0</v>
      </c>
      <c r="S12" s="1727"/>
      <c r="T12" s="1727"/>
      <c r="U12" s="1728">
        <f>SUMIF(GBS_HR!$BJ$27:$BJ$38,Cover!$M$36,GBS_HR!$BU$27:$BU$38)</f>
        <v>2</v>
      </c>
      <c r="V12" s="1728"/>
      <c r="W12" s="1728"/>
      <c r="X12" s="1727">
        <f>IF(Cover!$M$36=1,SUMIF($BJ$27:$BJ$38,12,$BN$27:$BN$38),SUMIF(GBS_HR!$BJ$27:$BJ$38,Cover!$M$36-1,GBS_HR!$BS$27:$BS$38))</f>
        <v>0</v>
      </c>
      <c r="Y12" s="1727"/>
      <c r="Z12" s="1727"/>
      <c r="AA12" s="1727">
        <f>SUMIF(GBS_HR!$BJ$27:$BJ$38,Cover!$M$36,GBS_HR!$BS$27:$BS$38)</f>
        <v>0</v>
      </c>
      <c r="AB12" s="1727"/>
      <c r="AC12" s="1727"/>
      <c r="AD12" s="1727">
        <f>SUMIF(GBS_HR!$BK$27:$BK$38,Cover!$M$35,GBS_HR!$BT$27:$BT$38)</f>
        <v>0</v>
      </c>
      <c r="AE12" s="1727"/>
      <c r="AF12" s="1727"/>
      <c r="AG12" s="1759"/>
      <c r="AH12" s="1760"/>
      <c r="AI12" s="1760"/>
      <c r="AJ12" s="1760"/>
      <c r="AK12" s="1760"/>
      <c r="AL12" s="1760"/>
      <c r="AM12" s="1760"/>
      <c r="AN12" s="1760"/>
      <c r="AO12" s="1760"/>
      <c r="AP12" s="1760"/>
      <c r="AQ12" s="1760"/>
      <c r="AR12" s="1760"/>
      <c r="AS12" s="1760"/>
      <c r="AT12" s="1760"/>
      <c r="AU12" s="1760"/>
      <c r="AV12" s="1760"/>
      <c r="AW12" s="1760"/>
      <c r="AX12" s="1760"/>
      <c r="AY12" s="1760"/>
      <c r="AZ12" s="1760"/>
      <c r="BA12" s="1760"/>
      <c r="BB12" s="1760"/>
      <c r="BC12" s="1760"/>
      <c r="BD12" s="1760"/>
      <c r="BE12" s="1760"/>
      <c r="BF12" s="187"/>
      <c r="BG12" s="187"/>
      <c r="BH12" s="160">
        <f>IF(U12=0,4,IF(AA12=0,0,IF(U12="","",IF(AA12&gt;=U12,1,IF(AA12&lt;U12*0.9,3,2)))))</f>
        <v>0</v>
      </c>
      <c r="BI12" s="789" t="s">
        <v>326</v>
      </c>
      <c r="BJ12" s="789">
        <v>6</v>
      </c>
      <c r="BK12" s="789" t="s">
        <v>324</v>
      </c>
      <c r="BL12" s="632"/>
      <c r="BM12" s="632"/>
      <c r="BN12" s="790">
        <f t="shared" si="0"/>
        <v>0</v>
      </c>
      <c r="BO12" s="256"/>
      <c r="BP12" s="790">
        <v>0.9</v>
      </c>
      <c r="BQ12" s="632"/>
      <c r="BR12" s="632"/>
      <c r="BS12" s="790">
        <f t="shared" si="1"/>
        <v>0</v>
      </c>
      <c r="BT12" s="256"/>
      <c r="BU12" s="790">
        <v>0.9</v>
      </c>
      <c r="BW12" s="248"/>
      <c r="BX12" s="791" t="str">
        <f t="shared" si="2"/>
        <v>Mar</v>
      </c>
      <c r="BY12" s="792">
        <f>IF(CB12=$CB19,SUMIF($BI7:$BI18,$BX12,$BR7:$BR18),SUMIF($BI7:$BI18,$BX12,$BM7:$BM18))</f>
        <v>0</v>
      </c>
      <c r="BZ12" s="793">
        <f>IF(IF(CB12=CB19,SUMIF(BI7:BI18,$BX12,BU7:BU18),SUMIF(BI7:BI18,$BX12,BP7:BP18))=0,NA(),IF(CB12=CB19,SUMIF(BI7:BI18,$BX12,BU7:BU18),SUMIF(BI7:BI18,$BX12,BP7:BP18)))</f>
        <v>0.9</v>
      </c>
      <c r="CA12" s="794" t="e">
        <f>IF(IF(CB12=CB19,SUMIF(BI7:BI18,$BX12,BS7:BS18),SUMIF(BI7:BI18,$BX12,BN7:BN18))=0,NA(),IF(CB12=CB19,SUMIF(BI7:BI18,$BX12,BS7:BS18),SUMIF(BI7:BI18,$BX12,BN7:BN18)))</f>
        <v>#N/A</v>
      </c>
      <c r="CB12" s="645">
        <v>23</v>
      </c>
      <c r="CC12" s="795">
        <f t="shared" si="3"/>
        <v>3</v>
      </c>
    </row>
    <row r="13" spans="1:81" ht="45" customHeight="1">
      <c r="B13" s="1730"/>
      <c r="C13" s="1730"/>
      <c r="D13" s="1730"/>
      <c r="E13" s="1731"/>
      <c r="F13" s="1208" t="s">
        <v>643</v>
      </c>
      <c r="G13" s="1209"/>
      <c r="H13" s="1209"/>
      <c r="I13" s="1209"/>
      <c r="J13" s="1209"/>
      <c r="K13" s="1209"/>
      <c r="L13" s="1209"/>
      <c r="M13" s="1209"/>
      <c r="N13" s="1210"/>
      <c r="O13" s="1707">
        <f>SUMIF(GBS_HR!$BJ$46:$BJ$57,Cover!$M$36,GBS_HR!$BN$46:$BN$57)</f>
        <v>0</v>
      </c>
      <c r="P13" s="1708"/>
      <c r="Q13" s="1709"/>
      <c r="R13" s="1707">
        <f>SUMIF(GBS_HR!$BK$46:$BK$57,Cover!$M$35,GBS_HR!$BO$46:$BO$57)</f>
        <v>0</v>
      </c>
      <c r="S13" s="1708"/>
      <c r="T13" s="1709"/>
      <c r="U13" s="1753">
        <f>SUMIF(GBS_HR!$BJ$46:$BJ$57,Cover!$M$36,GBS_HR!$BU$46:$BU$57)</f>
        <v>6.9444444444444447E-4</v>
      </c>
      <c r="V13" s="1754"/>
      <c r="W13" s="1755"/>
      <c r="X13" s="1707">
        <f>IF(Cover!$M$36=1,SUMIF($BJ$46:$BJ$57,12,$BN$46:$BN$57),SUMIF(GBS_HR!$BJ$46:$BJ$57,Cover!$M$36-1,GBS_HR!$BS$46:$BS$57))</f>
        <v>0</v>
      </c>
      <c r="Y13" s="1708"/>
      <c r="Z13" s="1709"/>
      <c r="AA13" s="1707">
        <f>SUMIF(GBS_HR!$BJ$46:$BJ$57,Cover!$M$36,GBS_HR!$BS$46:$BS$57)</f>
        <v>0</v>
      </c>
      <c r="AB13" s="1708"/>
      <c r="AC13" s="1709"/>
      <c r="AD13" s="1707">
        <f>SUMIF(GBS_HR!$BK$46:$BK$57,Cover!$M$35,GBS_HR!$BT$46:$BT$57)</f>
        <v>0</v>
      </c>
      <c r="AE13" s="1708"/>
      <c r="AF13" s="1709"/>
      <c r="AG13" s="1761"/>
      <c r="AH13" s="1762"/>
      <c r="AI13" s="1762"/>
      <c r="AJ13" s="1762"/>
      <c r="AK13" s="1762"/>
      <c r="AL13" s="1762"/>
      <c r="AM13" s="1762"/>
      <c r="AN13" s="1762"/>
      <c r="AO13" s="1762"/>
      <c r="AP13" s="1762"/>
      <c r="AQ13" s="1762"/>
      <c r="AR13" s="1762"/>
      <c r="AS13" s="1762"/>
      <c r="AT13" s="1762"/>
      <c r="AU13" s="1762"/>
      <c r="AV13" s="1762"/>
      <c r="AW13" s="1762"/>
      <c r="AX13" s="1762"/>
      <c r="AY13" s="1762"/>
      <c r="AZ13" s="1762"/>
      <c r="BA13" s="1762"/>
      <c r="BB13" s="1762"/>
      <c r="BC13" s="1762"/>
      <c r="BD13" s="1762"/>
      <c r="BE13" s="1762"/>
      <c r="BF13" s="187"/>
      <c r="BG13" s="187"/>
      <c r="BH13" s="160">
        <f>IF(U13=0,4,IF(AA13=0,0,IF(U13="","",IF(AA13&gt;=U13,1,IF(AA13&lt;U13*0.9,3,2)))))</f>
        <v>0</v>
      </c>
      <c r="BI13" s="789" t="s">
        <v>327</v>
      </c>
      <c r="BJ13" s="789">
        <v>7</v>
      </c>
      <c r="BK13" s="789" t="s">
        <v>328</v>
      </c>
      <c r="BL13" s="632"/>
      <c r="BM13" s="632"/>
      <c r="BN13" s="790">
        <f t="shared" si="0"/>
        <v>0</v>
      </c>
      <c r="BO13" s="581">
        <f>IF(SUM(BM13:BM15=0),0,SUM(BL13:BL15)/SUM(BM13:BM15))</f>
        <v>0</v>
      </c>
      <c r="BP13" s="790">
        <v>0.9</v>
      </c>
      <c r="BQ13" s="632"/>
      <c r="BR13" s="632"/>
      <c r="BS13" s="790">
        <f t="shared" si="1"/>
        <v>0</v>
      </c>
      <c r="BT13" s="581">
        <f>IF(SUM(BR13:BR15=0),0,SUM(BQ13:BQ15)/SUM(BR13:BR15))</f>
        <v>0</v>
      </c>
      <c r="BU13" s="790">
        <v>0.9</v>
      </c>
      <c r="BW13" s="248"/>
      <c r="BX13" s="791" t="str">
        <f t="shared" si="2"/>
        <v>Apr</v>
      </c>
      <c r="BY13" s="792">
        <f>IF(CB13=$CB19,SUMIF($BI7:$BI18,$BX13,$BR7:$BR18),SUMIF($BI7:$BI18,$BX13,$BM7:$BM18))</f>
        <v>0</v>
      </c>
      <c r="BZ13" s="793">
        <f>IF(IF(CB13=CB19,SUMIF(BI7:BI18,$BX13,BU7:BU18),SUMIF(BI7:BI18,$BX13,BP7:BP18))=0,NA(),IF(CB13=CB19,SUMIF(BI7:BI18,$BX13,BU7:BU18),SUMIF(BI7:BI18,$BX13,BP7:BP18)))</f>
        <v>0.9</v>
      </c>
      <c r="CA13" s="794" t="e">
        <f>IF(IF(CB13=CB19,SUMIF(BI7:BI18,$BX13,BS7:BS18),SUMIF(BI7:BI18,$BX13,BN7:BN18))=0,NA(),IF(CB13=CB19,SUMIF(BI7:BI18,$BX13,BS7:BS18),SUMIF(BI7:BI18,$BX13,BN7:BN18)))</f>
        <v>#N/A</v>
      </c>
      <c r="CB13" s="645">
        <v>23</v>
      </c>
      <c r="CC13" s="795">
        <f t="shared" si="3"/>
        <v>4</v>
      </c>
    </row>
    <row r="14" spans="1:81" ht="45" customHeight="1">
      <c r="B14" s="1730"/>
      <c r="C14" s="1730"/>
      <c r="D14" s="1730"/>
      <c r="E14" s="1731"/>
      <c r="F14" s="1126" t="s">
        <v>644</v>
      </c>
      <c r="G14" s="1298"/>
      <c r="H14" s="1298"/>
      <c r="I14" s="1298"/>
      <c r="J14" s="1298"/>
      <c r="K14" s="1298"/>
      <c r="L14" s="1298"/>
      <c r="M14" s="1298"/>
      <c r="N14" s="1298"/>
      <c r="O14" s="1125">
        <f>SUMIF(GBS_HR!$BJ$65:$BJ$76,Cover!$M$36,GBS_HR!$BN$65:$BN$76)</f>
        <v>0</v>
      </c>
      <c r="P14" s="1125"/>
      <c r="Q14" s="1125"/>
      <c r="R14" s="1125">
        <f>SUMIF(GBS_HR!$BK$65:$BK$76,Cover!$M$35,GBS_HR!$BO$65:$BO$76)</f>
        <v>0</v>
      </c>
      <c r="S14" s="1125"/>
      <c r="T14" s="1125"/>
      <c r="U14" s="1756">
        <f>SUMIF(GBS_HR!$BJ$65:$BJ$76,Cover!$M$36,GBS_HR!$BU$65:$BU$76)</f>
        <v>0.05</v>
      </c>
      <c r="V14" s="1756"/>
      <c r="W14" s="1756"/>
      <c r="X14" s="1125">
        <f>IF(Cover!$M$36=1,SUMIF($BJ$65:$BJ$76,12,$BN$65:$BN$76),SUMIF(GBS_HR!$BJ$65:$BJ$76,Cover!$M$36-1,GBS_HR!$BS$65:$BS$76))</f>
        <v>0</v>
      </c>
      <c r="Y14" s="1125"/>
      <c r="Z14" s="1125"/>
      <c r="AA14" s="1125">
        <f>SUMIF(GBS_HR!$BJ$65:$BJ$76,Cover!$M$36,GBS_HR!$BS$65:$BS$76)</f>
        <v>0</v>
      </c>
      <c r="AB14" s="1125"/>
      <c r="AC14" s="1125"/>
      <c r="AD14" s="1125">
        <f>SUMIF(GBS_HR!$BK$65:$BK$76,Cover!$M$35,GBS_HR!$BT$65:$BT$76)</f>
        <v>0</v>
      </c>
      <c r="AE14" s="1125"/>
      <c r="AF14" s="1125"/>
      <c r="AG14" s="1759"/>
      <c r="AH14" s="1760"/>
      <c r="AI14" s="1760"/>
      <c r="AJ14" s="1760"/>
      <c r="AK14" s="1760"/>
      <c r="AL14" s="1760"/>
      <c r="AM14" s="1760"/>
      <c r="AN14" s="1760"/>
      <c r="AO14" s="1760"/>
      <c r="AP14" s="1760"/>
      <c r="AQ14" s="1760"/>
      <c r="AR14" s="1760"/>
      <c r="AS14" s="1760"/>
      <c r="AT14" s="1760"/>
      <c r="AU14" s="1760"/>
      <c r="AV14" s="1760"/>
      <c r="AW14" s="1760"/>
      <c r="AX14" s="1760"/>
      <c r="AY14" s="1760"/>
      <c r="AZ14" s="1760"/>
      <c r="BA14" s="1760"/>
      <c r="BB14" s="1760"/>
      <c r="BC14" s="1760"/>
      <c r="BD14" s="1760"/>
      <c r="BE14" s="1760"/>
      <c r="BF14" s="187"/>
      <c r="BG14" s="187"/>
      <c r="BH14" s="160">
        <f>IF(U14=0,4,IF(AA14=0,0,IF(U14="","",IF(AA14&lt;=U14,1,IF(AA14&gt;U14/0.9,3,2)))))</f>
        <v>0</v>
      </c>
      <c r="BI14" s="789" t="s">
        <v>329</v>
      </c>
      <c r="BJ14" s="789">
        <v>8</v>
      </c>
      <c r="BK14" s="789" t="s">
        <v>328</v>
      </c>
      <c r="BL14" s="632"/>
      <c r="BM14" s="632"/>
      <c r="BN14" s="790">
        <f t="shared" si="0"/>
        <v>0</v>
      </c>
      <c r="BO14" s="256"/>
      <c r="BP14" s="790">
        <v>0.9</v>
      </c>
      <c r="BQ14" s="632"/>
      <c r="BR14" s="632"/>
      <c r="BS14" s="790">
        <f t="shared" si="1"/>
        <v>0</v>
      </c>
      <c r="BT14" s="256"/>
      <c r="BU14" s="790">
        <v>0.9</v>
      </c>
      <c r="BW14" s="248"/>
      <c r="BX14" s="791" t="str">
        <f t="shared" si="2"/>
        <v>May</v>
      </c>
      <c r="BY14" s="792">
        <f>IF(CB14=$CB19,SUMIF($BI7:$BI18,$BX14,$BR7:$BR18),SUMIF($BI7:$BI18,$BX14,$BM7:$BM18))</f>
        <v>0</v>
      </c>
      <c r="BZ14" s="793">
        <f>IF(IF(CB14=CB19,SUMIF(BI7:BI18,$BX14,BU7:BU18),SUMIF(BI7:BI18,$BX14,BP7:BP18))=0,NA(),IF(CB14=CB19,SUMIF(BI7:BI18,$BX14,BU7:BU18),SUMIF(BI7:BI18,$BX14,BP7:BP18)))</f>
        <v>0.9</v>
      </c>
      <c r="CA14" s="794" t="e">
        <f>IF(IF(CB14=CB19,SUMIF(BI7:BI18,$BX14,BS7:BS18),SUMIF(BI7:BI18,$BX14,BN7:BN18))=0,NA(),IF(CB14=CB19,SUMIF(BI7:BI18,$BX14,BS7:BS18),SUMIF(BI7:BI18,$BX14,BN7:BN18)))</f>
        <v>#N/A</v>
      </c>
      <c r="CB14" s="645">
        <v>23</v>
      </c>
      <c r="CC14" s="795">
        <f t="shared" si="3"/>
        <v>5</v>
      </c>
    </row>
    <row r="15" spans="1:81" ht="45" customHeight="1">
      <c r="B15" s="1719" t="s">
        <v>170</v>
      </c>
      <c r="C15" s="1719"/>
      <c r="D15" s="1719"/>
      <c r="E15" s="1720"/>
      <c r="F15" s="1208" t="s">
        <v>172</v>
      </c>
      <c r="G15" s="1209"/>
      <c r="H15" s="1209"/>
      <c r="I15" s="1209"/>
      <c r="J15" s="1209"/>
      <c r="K15" s="1209"/>
      <c r="L15" s="1209"/>
      <c r="M15" s="1209"/>
      <c r="N15" s="1210"/>
      <c r="O15" s="1125">
        <f>SUMIF(GBS_HR!$BJ$84:$BJ$95,Cover!$M$36,GBS_HR!$BN$84:$BN$95)</f>
        <v>0</v>
      </c>
      <c r="P15" s="1125"/>
      <c r="Q15" s="1125"/>
      <c r="R15" s="1125">
        <f>SUMIF(GBS_HR!$BK$84:$BK$95,Cover!$M$35,GBS_HR!$BO$84:$BO$95)</f>
        <v>0</v>
      </c>
      <c r="S15" s="1125"/>
      <c r="T15" s="1125"/>
      <c r="U15" s="1302">
        <f>SUMIF(GBS_HR!$BJ$84:$BJ$95,Cover!$M$36,GBS_HR!$BU$84:$BU$95)</f>
        <v>0.95</v>
      </c>
      <c r="V15" s="1302"/>
      <c r="W15" s="1302"/>
      <c r="X15" s="1125">
        <f>IF(Cover!$M$36=1,SUMIF($BJ$84:$BJ$95,12,$BN$84:$BN$95),SUMIF(GBS_HR!$BJ$84:$BJ$95,Cover!$M$36-1,GBS_HR!$BS$84:$BS$95))</f>
        <v>0</v>
      </c>
      <c r="Y15" s="1125"/>
      <c r="Z15" s="1125"/>
      <c r="AA15" s="1125">
        <f>SUMIF(GBS_HR!$BJ$84:$BJ$95,Cover!$M$36,GBS_HR!$BS$84:$BS$95)</f>
        <v>0</v>
      </c>
      <c r="AB15" s="1125"/>
      <c r="AC15" s="1125"/>
      <c r="AD15" s="1125">
        <f>SUMIF(GBS_HR!$BK$84:$BK$95,Cover!$M$35,GBS_HR!$BT$84:$BT$95)</f>
        <v>0</v>
      </c>
      <c r="AE15" s="1125"/>
      <c r="AF15" s="1125"/>
      <c r="AG15" s="1725"/>
      <c r="AH15" s="1726"/>
      <c r="AI15" s="1726"/>
      <c r="AJ15" s="1726"/>
      <c r="AK15" s="1726"/>
      <c r="AL15" s="1726"/>
      <c r="AM15" s="1726"/>
      <c r="AN15" s="1726"/>
      <c r="AO15" s="1726"/>
      <c r="AP15" s="1726"/>
      <c r="AQ15" s="1726"/>
      <c r="AR15" s="1726"/>
      <c r="AS15" s="1726"/>
      <c r="AT15" s="1726"/>
      <c r="AU15" s="1726"/>
      <c r="AV15" s="1726"/>
      <c r="AW15" s="1726"/>
      <c r="AX15" s="1726"/>
      <c r="AY15" s="1726"/>
      <c r="AZ15" s="1726"/>
      <c r="BA15" s="1726"/>
      <c r="BB15" s="1726"/>
      <c r="BC15" s="1726"/>
      <c r="BD15" s="1726"/>
      <c r="BE15" s="1726"/>
      <c r="BF15" s="187"/>
      <c r="BG15" s="187"/>
      <c r="BH15" s="160">
        <f>IF(U15=0,4,IF(AA15=0,0,IF(U15="","",IF(AA15&lt;=U15,1,IF(AA15&gt;U15/0.9,3,2)))))</f>
        <v>0</v>
      </c>
      <c r="BI15" s="789" t="s">
        <v>331</v>
      </c>
      <c r="BJ15" s="789">
        <v>9</v>
      </c>
      <c r="BK15" s="789" t="s">
        <v>328</v>
      </c>
      <c r="BL15" s="632"/>
      <c r="BM15" s="632"/>
      <c r="BN15" s="790">
        <f t="shared" si="0"/>
        <v>0</v>
      </c>
      <c r="BO15" s="256"/>
      <c r="BP15" s="790">
        <v>0.9</v>
      </c>
      <c r="BQ15" s="632"/>
      <c r="BR15" s="632"/>
      <c r="BS15" s="790">
        <f t="shared" si="1"/>
        <v>0</v>
      </c>
      <c r="BT15" s="256"/>
      <c r="BU15" s="790">
        <v>0.9</v>
      </c>
      <c r="BW15" s="248"/>
      <c r="BX15" s="791" t="str">
        <f t="shared" si="2"/>
        <v>Jun</v>
      </c>
      <c r="BY15" s="792">
        <f>IF(CB15=$CB19,SUMIF($BI7:$BI18,$BX15,$BR7:$BR18),SUMIF($BI7:$BI18,$BX15,$BM7:$BM18))</f>
        <v>0</v>
      </c>
      <c r="BZ15" s="793">
        <f>IF(IF(CB15=CB19,SUMIF(BI7:BI18,$BX15,BU7:BU18),SUMIF(BI7:BI18,$BX15,BP7:BP18))=0,NA(),IF(CB15=CB19,SUMIF(BI7:BI18,$BX15,BU7:BU18),SUMIF(BI7:BI18,$BX15,BP7:BP18)))</f>
        <v>0.9</v>
      </c>
      <c r="CA15" s="794" t="e">
        <f>IF(IF(CB15=CB19,SUMIF(BI7:BI18,$BX15,BS7:BS18),SUMIF(BI7:BI18,$BX15,BN7:BN18))=0,NA(),IF(CB15=CB19,SUMIF(BI7:BI18,$BX15,BS7:BS18),SUMIF(BI7:BI18,$BX15,BN7:BN18)))</f>
        <v>#N/A</v>
      </c>
      <c r="CB15" s="645">
        <v>23</v>
      </c>
      <c r="CC15" s="795">
        <f t="shared" si="3"/>
        <v>6</v>
      </c>
    </row>
    <row r="16" spans="1:81" ht="45" customHeight="1">
      <c r="B16" s="1721"/>
      <c r="C16" s="1721"/>
      <c r="D16" s="1721"/>
      <c r="E16" s="1722"/>
      <c r="F16" s="1126" t="s">
        <v>174</v>
      </c>
      <c r="G16" s="1126"/>
      <c r="H16" s="1126"/>
      <c r="I16" s="1126"/>
      <c r="J16" s="1126"/>
      <c r="K16" s="1126"/>
      <c r="L16" s="1126"/>
      <c r="M16" s="1126"/>
      <c r="N16" s="1126"/>
      <c r="O16" s="1727">
        <f>SUMIF(GBS_HR!$BJ$103:$BJ$114,Cover!$M$36,GBS_HR!$BN$103:$BN$114)</f>
        <v>0</v>
      </c>
      <c r="P16" s="1727"/>
      <c r="Q16" s="1727"/>
      <c r="R16" s="1727">
        <f>SUMIF(GBS_HR!$BK$103:$BK$114,Cover!$M$35,GBS_HR!$BO$103:$BO$114)</f>
        <v>0</v>
      </c>
      <c r="S16" s="1727"/>
      <c r="T16" s="1727"/>
      <c r="U16" s="1728">
        <f>SUMIF(GBS_HR!$BJ$103:$BJ$114,Cover!$M$36,GBS_HR!$BU$103:$BU$114)</f>
        <v>5</v>
      </c>
      <c r="V16" s="1728"/>
      <c r="W16" s="1728"/>
      <c r="X16" s="1727">
        <f>IF(Cover!$M$36=1,SUMIF($BJ$103:$BJ$114,12,$BN$103:$BN$114),SUMIF(GBS_HR!$BJ$103:$BJ$114,Cover!$M$36-1,GBS_HR!$BS$103:$BS$114))</f>
        <v>0</v>
      </c>
      <c r="Y16" s="1727"/>
      <c r="Z16" s="1727"/>
      <c r="AA16" s="1727">
        <f>SUMIF(GBS_HR!$BJ$103:$BJ$114,Cover!$M$36,GBS_HR!$BS$103:$BS$114)</f>
        <v>0</v>
      </c>
      <c r="AB16" s="1727"/>
      <c r="AC16" s="1727"/>
      <c r="AD16" s="1727">
        <f>SUMIF(GBS_HR!$BK$103:$BK$114,Cover!$M$35,GBS_HR!$BT$103:$BT$114)</f>
        <v>0</v>
      </c>
      <c r="AE16" s="1727"/>
      <c r="AF16" s="1727"/>
      <c r="AG16" s="1757"/>
      <c r="AH16" s="1758"/>
      <c r="AI16" s="1758"/>
      <c r="AJ16" s="1758"/>
      <c r="AK16" s="1758"/>
      <c r="AL16" s="1758"/>
      <c r="AM16" s="1758"/>
      <c r="AN16" s="1758"/>
      <c r="AO16" s="1758"/>
      <c r="AP16" s="1758"/>
      <c r="AQ16" s="1758"/>
      <c r="AR16" s="1758"/>
      <c r="AS16" s="1758"/>
      <c r="AT16" s="1758"/>
      <c r="AU16" s="1758"/>
      <c r="AV16" s="1758"/>
      <c r="AW16" s="1758"/>
      <c r="AX16" s="1758"/>
      <c r="AY16" s="1758"/>
      <c r="AZ16" s="1758"/>
      <c r="BA16" s="1758"/>
      <c r="BB16" s="1758"/>
      <c r="BC16" s="1758"/>
      <c r="BD16" s="1758"/>
      <c r="BE16" s="1758"/>
      <c r="BF16" s="187"/>
      <c r="BG16" s="187"/>
      <c r="BH16" s="160">
        <f>IF(U16=0,4,IF(AA16=0,0,IF(U16="","",IF(AA16&gt;=U16,1,IF(AA16&lt;U16*0.9,3,2)))))</f>
        <v>0</v>
      </c>
      <c r="BI16" s="789" t="s">
        <v>337</v>
      </c>
      <c r="BJ16" s="789">
        <v>10</v>
      </c>
      <c r="BK16" s="789" t="s">
        <v>338</v>
      </c>
      <c r="BL16" s="632"/>
      <c r="BM16" s="632"/>
      <c r="BN16" s="790">
        <f t="shared" si="0"/>
        <v>0</v>
      </c>
      <c r="BO16" s="581">
        <f>IF(SUM(BM16:BM18=0),0,SUM(BL16:BL18)/SUM(BM16:BM18))</f>
        <v>0</v>
      </c>
      <c r="BP16" s="790">
        <v>0.9</v>
      </c>
      <c r="BQ16" s="632"/>
      <c r="BR16" s="632"/>
      <c r="BS16" s="790">
        <f t="shared" si="1"/>
        <v>0</v>
      </c>
      <c r="BT16" s="581">
        <f>IF(SUM(BR16:BR18=0),0,SUM(BQ16:BQ18)/SUM(BR16:BR18))</f>
        <v>0</v>
      </c>
      <c r="BU16" s="790">
        <v>0.9</v>
      </c>
      <c r="BW16" s="248"/>
      <c r="BX16" s="791" t="str">
        <f t="shared" si="2"/>
        <v>Jul</v>
      </c>
      <c r="BY16" s="792">
        <f>IF(CB16=$CB19,SUMIF($BI7:$BI18,$BX16,$BR7:$BR18),SUMIF($BI7:$BI18,$BX16,$BM7:$BM18))</f>
        <v>0</v>
      </c>
      <c r="BZ16" s="793">
        <f>IF(IF(CB16=CB19,SUMIF(BI7:BI18,$BX16,BU7:BU18),SUMIF(BI7:BI18,$BX16,BP7:BP18))=0,NA(),IF(CB16=CB19,SUMIF(BI7:BI18,$BX16,BU7:BU18),SUMIF(BI7:BI18,$BX16,BP7:BP18)))</f>
        <v>0.9</v>
      </c>
      <c r="CA16" s="794" t="e">
        <f>IF(IF(CB16=CB19,SUMIF(BI7:BI18,$BX16,BS7:BS18),SUMIF(BI7:BI18,$BX16,BN7:BN18))=0,NA(),IF(CB16=CB19,SUMIF(BI7:BI18,$BX16,BS7:BS18),SUMIF(BI7:BI18,$BX16,BN7:BN18)))</f>
        <v>#N/A</v>
      </c>
      <c r="CB16" s="645">
        <v>23</v>
      </c>
      <c r="CC16" s="795">
        <f t="shared" si="3"/>
        <v>7</v>
      </c>
    </row>
    <row r="17" spans="2:81" ht="15" customHeight="1">
      <c r="B17" s="187"/>
      <c r="C17" s="187"/>
      <c r="D17" s="187"/>
      <c r="E17" s="187"/>
      <c r="F17" s="187"/>
      <c r="G17" s="187"/>
      <c r="H17" s="187"/>
      <c r="I17" s="187"/>
      <c r="J17" s="187"/>
      <c r="K17" s="187"/>
      <c r="L17" s="187"/>
      <c r="M17" s="187"/>
      <c r="N17" s="187"/>
      <c r="O17" s="187"/>
      <c r="P17" s="187"/>
      <c r="Q17" s="187"/>
      <c r="R17" s="187"/>
      <c r="S17" s="187"/>
      <c r="T17" s="187"/>
      <c r="U17" s="187"/>
      <c r="V17" s="187"/>
      <c r="W17" s="187"/>
      <c r="X17" s="187"/>
      <c r="Y17" s="187"/>
      <c r="Z17" s="262"/>
      <c r="AA17" s="187"/>
      <c r="AB17" s="187"/>
      <c r="AC17" s="187"/>
      <c r="AD17" s="187"/>
      <c r="AE17" s="187"/>
      <c r="AF17" s="187"/>
      <c r="AG17" s="187"/>
      <c r="AH17" s="187"/>
      <c r="AI17" s="187"/>
      <c r="AJ17" s="187"/>
      <c r="AK17" s="187"/>
      <c r="AL17" s="187"/>
      <c r="AM17" s="187"/>
      <c r="AN17" s="187"/>
      <c r="AO17" s="187"/>
      <c r="AP17" s="187"/>
      <c r="AQ17" s="187"/>
      <c r="AR17" s="187"/>
      <c r="AS17" s="187"/>
      <c r="AT17" s="187"/>
      <c r="AU17" s="187"/>
      <c r="AV17" s="187"/>
      <c r="AW17" s="187"/>
      <c r="AX17" s="187"/>
      <c r="AY17" s="187"/>
      <c r="AZ17" s="187"/>
      <c r="BA17" s="187"/>
      <c r="BB17" s="187"/>
      <c r="BC17" s="187"/>
      <c r="BD17" s="187"/>
      <c r="BE17" s="187"/>
      <c r="BF17" s="187"/>
      <c r="BG17" s="187"/>
      <c r="BH17" s="249"/>
      <c r="BI17" s="789" t="s">
        <v>343</v>
      </c>
      <c r="BJ17" s="789">
        <v>11</v>
      </c>
      <c r="BK17" s="789" t="s">
        <v>338</v>
      </c>
      <c r="BL17" s="632"/>
      <c r="BM17" s="632"/>
      <c r="BN17" s="790">
        <f t="shared" si="0"/>
        <v>0</v>
      </c>
      <c r="BP17" s="790">
        <v>0.9</v>
      </c>
      <c r="BQ17" s="632"/>
      <c r="BR17" s="632"/>
      <c r="BS17" s="790">
        <f t="shared" si="1"/>
        <v>0</v>
      </c>
      <c r="BU17" s="790">
        <v>0.9</v>
      </c>
      <c r="BW17" s="248"/>
      <c r="BX17" s="791" t="str">
        <f t="shared" si="2"/>
        <v>Aug</v>
      </c>
      <c r="BY17" s="792">
        <f>IF(CB17=$CB19,SUMIF($BI7:$BI18,$BX17,$BR7:$BR18),SUMIF($BI7:$BI18,$BX17,$BM7:$BM18))</f>
        <v>0</v>
      </c>
      <c r="BZ17" s="793">
        <f>IF(IF(CB17=CB19,SUMIF(BI7:BI18,$BX17,BU7:BU18),SUMIF(BI7:BI18,$BX17,BP7:BP18))=0,NA(),IF(CB17=CB19,SUMIF(BI7:BI18,$BX17,BU7:BU18),SUMIF(BI7:BI18,$BX17,BP7:BP18)))</f>
        <v>0.9</v>
      </c>
      <c r="CA17" s="794" t="e">
        <f>IF(IF(CB17=CB19,SUMIF(BI7:BI18,$BX17,BS7:BS18),SUMIF(BI7:BI18,$BX17,BN7:BN18))=0,NA(),IF(CB17=CB19,SUMIF(BI7:BI18,$BX17,BS7:BS18),SUMIF(BI7:BI18,$BX17,BN7:BN18)))</f>
        <v>#N/A</v>
      </c>
      <c r="CB17" s="645">
        <v>23</v>
      </c>
      <c r="CC17" s="795">
        <f t="shared" si="3"/>
        <v>8</v>
      </c>
    </row>
    <row r="18" spans="2:81" ht="15" customHeight="1">
      <c r="B18" s="187"/>
      <c r="C18" s="187"/>
      <c r="D18" s="187"/>
      <c r="E18" s="187"/>
      <c r="F18" s="187"/>
      <c r="G18" s="187"/>
      <c r="H18" s="187"/>
      <c r="I18" s="187"/>
      <c r="J18" s="187"/>
      <c r="K18" s="187"/>
      <c r="L18" s="187"/>
      <c r="M18" s="187"/>
      <c r="N18" s="187"/>
      <c r="O18" s="187"/>
      <c r="P18" s="187"/>
      <c r="Q18" s="187"/>
      <c r="R18" s="187"/>
      <c r="S18" s="187"/>
      <c r="T18" s="187"/>
      <c r="U18" s="187"/>
      <c r="V18" s="187"/>
      <c r="W18" s="187"/>
      <c r="X18" s="187"/>
      <c r="Y18" s="187"/>
      <c r="Z18" s="187"/>
      <c r="AA18" s="187"/>
      <c r="AB18" s="187"/>
      <c r="AC18" s="187"/>
      <c r="AD18" s="187"/>
      <c r="AE18" s="187"/>
      <c r="AF18" s="187"/>
      <c r="AG18" s="187"/>
      <c r="AH18" s="187"/>
      <c r="AI18" s="187"/>
      <c r="AJ18" s="187"/>
      <c r="AK18" s="187"/>
      <c r="AL18" s="187"/>
      <c r="AM18" s="187"/>
      <c r="AN18" s="187"/>
      <c r="AO18" s="187"/>
      <c r="AP18" s="187"/>
      <c r="AQ18" s="187"/>
      <c r="AR18" s="187"/>
      <c r="AS18" s="187"/>
      <c r="AT18" s="187"/>
      <c r="AU18" s="187"/>
      <c r="AV18" s="187"/>
      <c r="AW18" s="187"/>
      <c r="AX18" s="187"/>
      <c r="AY18" s="187"/>
      <c r="AZ18" s="187"/>
      <c r="BA18" s="187"/>
      <c r="BB18" s="187"/>
      <c r="BC18" s="187"/>
      <c r="BD18" s="187"/>
      <c r="BE18" s="187"/>
      <c r="BF18" s="187"/>
      <c r="BG18" s="187"/>
      <c r="BH18" s="249"/>
      <c r="BI18" s="789" t="s">
        <v>344</v>
      </c>
      <c r="BJ18" s="789">
        <v>12</v>
      </c>
      <c r="BK18" s="789" t="s">
        <v>338</v>
      </c>
      <c r="BL18" s="632"/>
      <c r="BM18" s="632"/>
      <c r="BN18" s="790">
        <f t="shared" si="0"/>
        <v>0</v>
      </c>
      <c r="BP18" s="790">
        <v>0.9</v>
      </c>
      <c r="BQ18" s="632"/>
      <c r="BR18" s="632"/>
      <c r="BS18" s="790">
        <f t="shared" si="1"/>
        <v>0</v>
      </c>
      <c r="BU18" s="790">
        <v>0.9</v>
      </c>
      <c r="BW18" s="248"/>
      <c r="BX18" s="791" t="str">
        <f t="shared" si="2"/>
        <v>Sep</v>
      </c>
      <c r="BY18" s="792">
        <f>IF(CB18=$CB19,SUMIF($BI7:$BI18,$BX18,$BR7:$BR18),SUMIF($BI7:$BI18,$BX18,$BM7:$BM18))</f>
        <v>0</v>
      </c>
      <c r="BZ18" s="793">
        <f>IF(IF(CB18=CB19,SUMIF(BI7:BI18,$BX18,BU7:BU18),SUMIF(BI7:BI18,$BX18,BP7:BP18))=0,NA(),IF(CB18=CB19,SUMIF(BI7:BI18,$BX18,BU7:BU18),SUMIF(BI7:BI18,$BX18,BP7:BP18)))</f>
        <v>0.9</v>
      </c>
      <c r="CA18" s="794" t="e">
        <f>IF(IF(CB18=CB19,SUMIF(BI7:BI18,$BX18,BS7:BS18),SUMIF(BI7:BI18,$BX18,BN7:BN18))=0,NA(),IF(CB18=CB19,SUMIF(BI7:BI18,$BX18,BS7:BS18),SUMIF(BI7:BI18,$BX18,BN7:BN18)))</f>
        <v>#N/A</v>
      </c>
      <c r="CB18" s="645">
        <v>23</v>
      </c>
      <c r="CC18" s="795">
        <f t="shared" si="3"/>
        <v>9</v>
      </c>
    </row>
    <row r="19" spans="2:81" ht="15" customHeight="1">
      <c r="B19" s="187"/>
      <c r="C19" s="187"/>
      <c r="D19" s="187"/>
      <c r="E19" s="187"/>
      <c r="F19" s="187"/>
      <c r="G19" s="187"/>
      <c r="H19" s="187"/>
      <c r="I19" s="187"/>
      <c r="J19" s="187"/>
      <c r="K19" s="187"/>
      <c r="L19" s="187"/>
      <c r="M19" s="187"/>
      <c r="N19" s="187"/>
      <c r="O19" s="187"/>
      <c r="P19" s="187"/>
      <c r="Q19" s="187"/>
      <c r="R19" s="187"/>
      <c r="S19" s="187"/>
      <c r="T19" s="187"/>
      <c r="U19" s="187"/>
      <c r="V19" s="187"/>
      <c r="W19" s="187"/>
      <c r="X19" s="187"/>
      <c r="Y19" s="187"/>
      <c r="Z19" s="187"/>
      <c r="AA19" s="187"/>
      <c r="AB19" s="187"/>
      <c r="AC19" s="187"/>
      <c r="AD19" s="187"/>
      <c r="AE19" s="187"/>
      <c r="AF19" s="187"/>
      <c r="AG19" s="187"/>
      <c r="AH19" s="187"/>
      <c r="AI19" s="187"/>
      <c r="AJ19" s="187"/>
      <c r="AK19" s="187"/>
      <c r="AL19" s="187"/>
      <c r="AM19" s="187"/>
      <c r="AN19" s="187"/>
      <c r="AO19" s="187"/>
      <c r="AP19" s="187"/>
      <c r="AQ19" s="187"/>
      <c r="AR19" s="187"/>
      <c r="AS19" s="187"/>
      <c r="AT19" s="187"/>
      <c r="AU19" s="187"/>
      <c r="AV19" s="187"/>
      <c r="AW19" s="187"/>
      <c r="AX19" s="187"/>
      <c r="AY19" s="187"/>
      <c r="AZ19" s="187"/>
      <c r="BA19" s="187"/>
      <c r="BB19" s="187"/>
      <c r="BC19" s="187"/>
      <c r="BD19" s="187"/>
      <c r="BE19" s="187"/>
      <c r="BF19" s="187"/>
      <c r="BG19" s="187"/>
      <c r="BH19" s="249"/>
      <c r="BJ19" s="257"/>
      <c r="BK19" s="257"/>
      <c r="BL19" s="257"/>
      <c r="BM19" s="257"/>
      <c r="BN19" s="257"/>
      <c r="BO19" s="257"/>
      <c r="BP19" s="257"/>
      <c r="BQ19" s="257"/>
      <c r="BS19" s="257"/>
      <c r="BT19" s="248"/>
      <c r="BU19" s="248"/>
      <c r="BW19" s="796" t="str">
        <f>Cover!$M$34</f>
        <v>OCT FY-24</v>
      </c>
      <c r="BX19" s="791" t="str">
        <f t="shared" si="2"/>
        <v>Oct</v>
      </c>
      <c r="BY19" s="792">
        <f>SUMIF($BI7:$BI18,$BX19,$BR7:$BR18)</f>
        <v>0</v>
      </c>
      <c r="BZ19" s="793">
        <f>IF(IF(CB19=CB19,SUMIF(BI7:BI18,$BX19,BU7:BU18),SUMIF(BI7:BI18,$BX19,BP7:BP18))=0,NA(),IF(CB19=CB19,SUMIF(BI7:BI18,$BX19,BU7:BU18),SUMIF(BI7:BI18,$BX19,BP7:BP18)))</f>
        <v>0.9</v>
      </c>
      <c r="CA19" s="794" t="e">
        <f>IF(SUMIF($BI7:$BI18,$BX19,$BS7:$BS18)=0,NA(),SUMIF($BI7:$BI18,$BX19,$BS7:$BS18))</f>
        <v>#N/A</v>
      </c>
      <c r="CB19" s="645">
        <v>24</v>
      </c>
      <c r="CC19" s="795">
        <f>MONTH(DATEVALUE(LEFT(BW19,3)&amp;" 1"))</f>
        <v>10</v>
      </c>
    </row>
    <row r="20" spans="2:81" ht="15" customHeight="1">
      <c r="B20" s="187"/>
      <c r="C20" s="187"/>
      <c r="D20" s="187"/>
      <c r="E20" s="187"/>
      <c r="F20" s="187"/>
      <c r="G20" s="187"/>
      <c r="H20" s="187"/>
      <c r="I20" s="187"/>
      <c r="J20" s="187"/>
      <c r="K20" s="187"/>
      <c r="L20" s="187"/>
      <c r="M20" s="187"/>
      <c r="N20" s="187"/>
      <c r="O20" s="187"/>
      <c r="P20" s="187"/>
      <c r="Q20" s="187"/>
      <c r="R20" s="187"/>
      <c r="S20" s="187"/>
      <c r="T20" s="187"/>
      <c r="U20" s="187"/>
      <c r="V20" s="187"/>
      <c r="W20" s="187"/>
      <c r="X20" s="187"/>
      <c r="Y20" s="187"/>
      <c r="Z20" s="187"/>
      <c r="AA20" s="187"/>
      <c r="AB20" s="187"/>
      <c r="AC20" s="187"/>
      <c r="AD20" s="187"/>
      <c r="AE20" s="187"/>
      <c r="AF20" s="187"/>
      <c r="AG20" s="187"/>
      <c r="AH20" s="187"/>
      <c r="AI20" s="187"/>
      <c r="AJ20" s="187"/>
      <c r="AK20" s="187"/>
      <c r="AL20" s="187"/>
      <c r="AM20" s="187"/>
      <c r="AN20" s="187"/>
      <c r="AO20" s="187"/>
      <c r="AP20" s="187"/>
      <c r="AQ20" s="187"/>
      <c r="AR20" s="187"/>
      <c r="AS20" s="187"/>
      <c r="AT20" s="187"/>
      <c r="AU20" s="187"/>
      <c r="AV20" s="187"/>
      <c r="AW20" s="187"/>
      <c r="AX20" s="187"/>
      <c r="AY20" s="187"/>
      <c r="AZ20" s="187"/>
      <c r="BA20" s="187"/>
      <c r="BB20" s="187"/>
      <c r="BC20" s="187"/>
      <c r="BD20" s="187"/>
      <c r="BE20" s="187"/>
      <c r="BF20" s="187"/>
      <c r="BG20" s="187"/>
      <c r="BH20" s="249"/>
      <c r="BJ20" s="263"/>
    </row>
    <row r="21" spans="2:81" ht="15" customHeight="1">
      <c r="B21" s="187"/>
      <c r="C21" s="187"/>
      <c r="D21" s="187"/>
      <c r="E21" s="187"/>
      <c r="F21" s="187"/>
      <c r="G21" s="187"/>
      <c r="H21" s="187"/>
      <c r="I21" s="187"/>
      <c r="J21" s="187"/>
      <c r="K21" s="187"/>
      <c r="L21" s="187"/>
      <c r="M21" s="187"/>
      <c r="N21" s="187"/>
      <c r="O21" s="187"/>
      <c r="P21" s="187"/>
      <c r="Q21" s="187"/>
      <c r="R21" s="187"/>
      <c r="S21" s="187"/>
      <c r="T21" s="187"/>
      <c r="U21" s="187"/>
      <c r="V21" s="187"/>
      <c r="W21" s="187"/>
      <c r="X21" s="187"/>
      <c r="Y21" s="187"/>
      <c r="Z21" s="187"/>
      <c r="AA21" s="187"/>
      <c r="AB21" s="187"/>
      <c r="AC21" s="187"/>
      <c r="AD21" s="187"/>
      <c r="AE21" s="187"/>
      <c r="AF21" s="187"/>
      <c r="AG21" s="187"/>
      <c r="AH21" s="187"/>
      <c r="AI21" s="187"/>
      <c r="AJ21" s="187"/>
      <c r="AK21" s="187"/>
      <c r="AL21" s="187"/>
      <c r="AM21" s="187"/>
      <c r="AN21" s="187"/>
      <c r="AO21" s="187"/>
      <c r="AP21" s="187"/>
      <c r="AQ21" s="187"/>
      <c r="AR21" s="187"/>
      <c r="AS21" s="187"/>
      <c r="AT21" s="187"/>
      <c r="AU21" s="187"/>
      <c r="AV21" s="187"/>
      <c r="AW21" s="187"/>
      <c r="AX21" s="187"/>
      <c r="AY21" s="187"/>
      <c r="AZ21" s="187"/>
      <c r="BA21" s="187"/>
      <c r="BB21" s="187"/>
      <c r="BC21" s="187"/>
      <c r="BD21" s="187"/>
      <c r="BE21" s="187"/>
      <c r="BF21" s="187"/>
      <c r="BG21" s="187"/>
      <c r="BH21" s="249"/>
      <c r="BI21" s="250" t="s">
        <v>245</v>
      </c>
      <c r="BJ21" s="251"/>
      <c r="BK21" s="251"/>
      <c r="BL21" s="251"/>
      <c r="BM21" s="251"/>
      <c r="BN21" s="251"/>
      <c r="BO21" s="251"/>
      <c r="BP21" s="251"/>
      <c r="BQ21" s="251"/>
      <c r="BR21" s="251"/>
      <c r="BS21" s="251"/>
      <c r="BT21" s="251"/>
      <c r="BU21" s="251"/>
      <c r="BW21" s="248"/>
      <c r="BX21" s="248"/>
      <c r="BY21" s="248"/>
      <c r="BZ21" s="248"/>
      <c r="CA21" s="248"/>
      <c r="CB21" s="248"/>
      <c r="CC21" s="248"/>
    </row>
    <row r="22" spans="2:81" ht="15" customHeight="1">
      <c r="B22" s="187"/>
      <c r="C22" s="187"/>
      <c r="D22" s="187"/>
      <c r="E22" s="187"/>
      <c r="F22" s="187"/>
      <c r="G22" s="187"/>
      <c r="H22" s="187"/>
      <c r="I22" s="187"/>
      <c r="J22" s="187"/>
      <c r="K22" s="187"/>
      <c r="L22" s="187"/>
      <c r="M22" s="187"/>
      <c r="N22" s="187"/>
      <c r="O22" s="187"/>
      <c r="P22" s="187"/>
      <c r="Q22" s="187"/>
      <c r="R22" s="187"/>
      <c r="S22" s="187"/>
      <c r="T22" s="187"/>
      <c r="U22" s="187"/>
      <c r="V22" s="187"/>
      <c r="W22" s="187"/>
      <c r="X22" s="187"/>
      <c r="Y22" s="187"/>
      <c r="Z22" s="187"/>
      <c r="AA22" s="187"/>
      <c r="AB22" s="187"/>
      <c r="AC22" s="187"/>
      <c r="AD22" s="187"/>
      <c r="AE22" s="187"/>
      <c r="AF22" s="187"/>
      <c r="AG22" s="187"/>
      <c r="AH22" s="187"/>
      <c r="AI22" s="187"/>
      <c r="AJ22" s="187"/>
      <c r="AK22" s="187"/>
      <c r="AL22" s="187"/>
      <c r="AM22" s="187"/>
      <c r="AN22" s="187"/>
      <c r="AO22" s="187"/>
      <c r="AP22" s="187"/>
      <c r="AQ22" s="187"/>
      <c r="AR22" s="187"/>
      <c r="AS22" s="187"/>
      <c r="AT22" s="187"/>
      <c r="AU22" s="187"/>
      <c r="AV22" s="187"/>
      <c r="AW22" s="187"/>
      <c r="AX22" s="187"/>
      <c r="AY22" s="187"/>
      <c r="AZ22" s="187"/>
      <c r="BA22" s="187"/>
      <c r="BB22" s="187"/>
      <c r="BC22" s="187"/>
      <c r="BD22" s="187"/>
      <c r="BE22" s="187"/>
      <c r="BF22" s="187"/>
      <c r="BG22" s="187"/>
      <c r="BH22" s="249"/>
      <c r="BI22" s="247" t="s">
        <v>292</v>
      </c>
      <c r="BJ22" s="1723" t="s">
        <v>642</v>
      </c>
      <c r="BK22" s="1723"/>
      <c r="BL22" s="1723"/>
      <c r="BM22" s="1723"/>
      <c r="BN22" s="1723"/>
      <c r="BO22" s="1723"/>
      <c r="BP22" s="1723"/>
      <c r="BQ22" s="1723"/>
      <c r="BR22" s="1723"/>
      <c r="BS22" s="1723"/>
      <c r="BT22" s="1723"/>
      <c r="BU22" s="1723"/>
      <c r="BW22" s="248"/>
      <c r="BX22" s="248"/>
      <c r="BY22" s="248"/>
      <c r="BZ22" s="248"/>
      <c r="CA22" s="248"/>
      <c r="CB22" s="248"/>
      <c r="CC22" s="248"/>
    </row>
    <row r="23" spans="2:81" ht="15" customHeight="1">
      <c r="B23" s="187"/>
      <c r="C23" s="187"/>
      <c r="D23" s="187"/>
      <c r="E23" s="187"/>
      <c r="F23" s="187"/>
      <c r="G23" s="187"/>
      <c r="H23" s="187"/>
      <c r="I23" s="187"/>
      <c r="J23" s="187"/>
      <c r="K23" s="187"/>
      <c r="L23" s="187"/>
      <c r="M23" s="187"/>
      <c r="N23" s="187"/>
      <c r="O23" s="187"/>
      <c r="P23" s="187"/>
      <c r="Q23" s="187"/>
      <c r="R23" s="187"/>
      <c r="S23" s="187"/>
      <c r="T23" s="187"/>
      <c r="U23" s="187"/>
      <c r="V23" s="187"/>
      <c r="W23" s="187"/>
      <c r="X23" s="187"/>
      <c r="Y23" s="187"/>
      <c r="Z23" s="187"/>
      <c r="AA23" s="187"/>
      <c r="AB23" s="187"/>
      <c r="AC23" s="187"/>
      <c r="AD23" s="187"/>
      <c r="AE23" s="187"/>
      <c r="AF23" s="187"/>
      <c r="AG23" s="187"/>
      <c r="AH23" s="187"/>
      <c r="AI23" s="187"/>
      <c r="AJ23" s="187"/>
      <c r="AK23" s="187"/>
      <c r="AL23" s="187"/>
      <c r="AM23" s="187"/>
      <c r="AN23" s="187"/>
      <c r="AO23" s="187"/>
      <c r="AP23" s="187"/>
      <c r="AQ23" s="187"/>
      <c r="AR23" s="187"/>
      <c r="AS23" s="187"/>
      <c r="AT23" s="187"/>
      <c r="AU23" s="187"/>
      <c r="AV23" s="187"/>
      <c r="AW23" s="187"/>
      <c r="AX23" s="187"/>
      <c r="AY23" s="187"/>
      <c r="AZ23" s="187"/>
      <c r="BA23" s="187"/>
      <c r="BB23" s="187"/>
      <c r="BC23" s="187"/>
      <c r="BD23" s="187"/>
      <c r="BE23" s="187"/>
      <c r="BF23" s="187"/>
      <c r="BG23" s="187"/>
      <c r="BH23" s="249"/>
      <c r="BI23" s="247" t="s">
        <v>296</v>
      </c>
      <c r="BJ23" s="1724" t="s">
        <v>642</v>
      </c>
      <c r="BK23" s="1724"/>
      <c r="BL23" s="1724"/>
      <c r="BM23" s="1724"/>
      <c r="BN23" s="1724"/>
      <c r="BO23" s="1724"/>
      <c r="BP23" s="1724"/>
      <c r="BQ23" s="1724"/>
      <c r="BR23" s="1724"/>
      <c r="BS23" s="1724"/>
      <c r="BT23" s="1724"/>
      <c r="BU23" s="1724"/>
      <c r="BW23" s="248"/>
      <c r="BX23" s="248"/>
      <c r="BY23" s="248"/>
      <c r="BZ23" s="248"/>
      <c r="CA23" s="248"/>
      <c r="CB23" s="248"/>
      <c r="CC23" s="248"/>
    </row>
    <row r="24" spans="2:81" ht="15" customHeight="1" thickBot="1">
      <c r="B24" s="187"/>
      <c r="C24" s="187"/>
      <c r="D24" s="187"/>
      <c r="E24" s="187"/>
      <c r="F24" s="187"/>
      <c r="G24" s="187"/>
      <c r="H24" s="187"/>
      <c r="I24" s="187"/>
      <c r="J24" s="187"/>
      <c r="K24" s="187"/>
      <c r="L24" s="187"/>
      <c r="M24" s="187"/>
      <c r="N24" s="187"/>
      <c r="O24" s="187"/>
      <c r="P24" s="187"/>
      <c r="Q24" s="187"/>
      <c r="R24" s="187"/>
      <c r="S24" s="187"/>
      <c r="T24" s="187"/>
      <c r="U24" s="187"/>
      <c r="V24" s="187"/>
      <c r="W24" s="187"/>
      <c r="X24" s="187"/>
      <c r="Y24" s="187"/>
      <c r="Z24" s="187"/>
      <c r="AA24" s="187"/>
      <c r="AB24" s="187"/>
      <c r="AC24" s="187"/>
      <c r="AD24" s="187"/>
      <c r="AE24" s="187"/>
      <c r="AF24" s="187"/>
      <c r="AG24" s="187"/>
      <c r="AH24" s="187"/>
      <c r="AI24" s="187"/>
      <c r="AJ24" s="187"/>
      <c r="AK24" s="187"/>
      <c r="AL24" s="187"/>
      <c r="AM24" s="187"/>
      <c r="AN24" s="187"/>
      <c r="AO24" s="187"/>
      <c r="AP24" s="187"/>
      <c r="AQ24" s="187"/>
      <c r="AR24" s="187"/>
      <c r="AS24" s="187"/>
      <c r="AT24" s="187"/>
      <c r="AU24" s="187"/>
      <c r="AV24" s="187"/>
      <c r="AW24" s="187"/>
      <c r="AX24" s="187"/>
      <c r="AY24" s="187"/>
      <c r="AZ24" s="187"/>
      <c r="BA24" s="187"/>
      <c r="BB24" s="187"/>
      <c r="BC24" s="187"/>
      <c r="BD24" s="187"/>
      <c r="BE24" s="187"/>
      <c r="BF24" s="187"/>
      <c r="BG24" s="187"/>
      <c r="BH24" s="187"/>
      <c r="BI24" s="247" t="s">
        <v>300</v>
      </c>
      <c r="BJ24" s="1724" t="s">
        <v>645</v>
      </c>
      <c r="BK24" s="1724"/>
      <c r="BL24" s="1724"/>
      <c r="BM24" s="1724"/>
      <c r="BN24" s="1724"/>
      <c r="BO24" s="1724"/>
      <c r="BP24" s="1724"/>
      <c r="BQ24" s="1724"/>
      <c r="BR24" s="1724"/>
      <c r="BS24" s="1724"/>
      <c r="BT24" s="1724"/>
      <c r="BU24" s="1724"/>
      <c r="BW24" s="248"/>
      <c r="BX24" s="248"/>
      <c r="BY24" s="248"/>
      <c r="BZ24" s="248"/>
      <c r="CA24" s="248"/>
      <c r="CB24" s="248"/>
      <c r="CC24" s="248"/>
    </row>
    <row r="25" spans="2:81" ht="15" customHeight="1" thickBot="1">
      <c r="B25" s="187"/>
      <c r="C25" s="187"/>
      <c r="D25" s="187"/>
      <c r="E25" s="187"/>
      <c r="F25" s="187"/>
      <c r="G25" s="187"/>
      <c r="H25" s="187"/>
      <c r="I25" s="187"/>
      <c r="J25" s="187"/>
      <c r="K25" s="187"/>
      <c r="L25" s="187"/>
      <c r="M25" s="187"/>
      <c r="N25" s="187"/>
      <c r="O25" s="187"/>
      <c r="P25" s="187"/>
      <c r="Q25" s="187"/>
      <c r="R25" s="187"/>
      <c r="S25" s="187"/>
      <c r="T25" s="187"/>
      <c r="U25" s="187"/>
      <c r="V25" s="187"/>
      <c r="W25" s="187"/>
      <c r="X25" s="187"/>
      <c r="Y25" s="187"/>
      <c r="Z25" s="187"/>
      <c r="AA25" s="187"/>
      <c r="AB25" s="187"/>
      <c r="AC25" s="187"/>
      <c r="AD25" s="187"/>
      <c r="AE25" s="187"/>
      <c r="AF25" s="187"/>
      <c r="AG25" s="187"/>
      <c r="AH25" s="187"/>
      <c r="AI25" s="187"/>
      <c r="AJ25" s="187"/>
      <c r="AK25" s="187"/>
      <c r="AL25" s="187"/>
      <c r="AM25" s="187"/>
      <c r="AN25" s="187"/>
      <c r="AO25" s="187"/>
      <c r="AP25" s="187"/>
      <c r="AQ25" s="187"/>
      <c r="AR25" s="187"/>
      <c r="AS25" s="187"/>
      <c r="AT25" s="187"/>
      <c r="AU25" s="187"/>
      <c r="AV25" s="187"/>
      <c r="AW25" s="187"/>
      <c r="AX25" s="187"/>
      <c r="AY25" s="187"/>
      <c r="AZ25" s="187"/>
      <c r="BA25" s="187"/>
      <c r="BB25" s="187"/>
      <c r="BC25" s="187"/>
      <c r="BD25" s="187"/>
      <c r="BE25" s="187"/>
      <c r="BF25" s="187"/>
      <c r="BG25" s="187"/>
      <c r="BH25" s="187"/>
      <c r="BI25" s="1716" t="s">
        <v>170</v>
      </c>
      <c r="BJ25" s="1717"/>
      <c r="BK25" s="1718"/>
      <c r="BL25" s="1717" t="s">
        <v>302</v>
      </c>
      <c r="BM25" s="1717"/>
      <c r="BN25" s="1717"/>
      <c r="BO25" s="1717"/>
      <c r="BP25" s="1729"/>
      <c r="BQ25" s="1716" t="s">
        <v>719</v>
      </c>
      <c r="BR25" s="1717"/>
      <c r="BS25" s="1717"/>
      <c r="BT25" s="1717"/>
      <c r="BU25" s="1718"/>
      <c r="BW25" s="1716" t="s">
        <v>303</v>
      </c>
      <c r="BX25" s="1717"/>
      <c r="BY25" s="1717"/>
      <c r="BZ25" s="1717"/>
      <c r="CA25" s="1717"/>
      <c r="CB25" s="1717"/>
      <c r="CC25" s="1718"/>
    </row>
    <row r="26" spans="2:81" ht="15" customHeight="1">
      <c r="B26" s="187"/>
      <c r="C26" s="187"/>
      <c r="D26" s="187"/>
      <c r="E26" s="187"/>
      <c r="F26" s="187"/>
      <c r="G26" s="187"/>
      <c r="H26" s="187"/>
      <c r="I26" s="187"/>
      <c r="J26" s="187"/>
      <c r="K26" s="187"/>
      <c r="L26" s="187"/>
      <c r="M26" s="187"/>
      <c r="N26" s="187"/>
      <c r="O26" s="187"/>
      <c r="P26" s="187"/>
      <c r="Q26" s="187"/>
      <c r="R26" s="187"/>
      <c r="S26" s="187"/>
      <c r="T26" s="187"/>
      <c r="U26" s="187"/>
      <c r="V26" s="187"/>
      <c r="W26" s="187"/>
      <c r="X26" s="187"/>
      <c r="Y26" s="187"/>
      <c r="Z26" s="187"/>
      <c r="AA26" s="187"/>
      <c r="AB26" s="187"/>
      <c r="AC26" s="187"/>
      <c r="AD26" s="187"/>
      <c r="AE26" s="187"/>
      <c r="AF26" s="187"/>
      <c r="AG26" s="187"/>
      <c r="AH26" s="187"/>
      <c r="AI26" s="187"/>
      <c r="AJ26" s="187"/>
      <c r="AK26" s="187"/>
      <c r="AL26" s="187"/>
      <c r="AM26" s="187"/>
      <c r="AN26" s="187"/>
      <c r="AO26" s="187"/>
      <c r="AP26" s="187"/>
      <c r="AQ26" s="187"/>
      <c r="AR26" s="187"/>
      <c r="AS26" s="187"/>
      <c r="AT26" s="187"/>
      <c r="AU26" s="187"/>
      <c r="AV26" s="187"/>
      <c r="AW26" s="187"/>
      <c r="AX26" s="187"/>
      <c r="AY26" s="187"/>
      <c r="AZ26" s="187"/>
      <c r="BA26" s="187"/>
      <c r="BB26" s="187"/>
      <c r="BC26" s="187"/>
      <c r="BD26" s="187"/>
      <c r="BE26" s="187"/>
      <c r="BF26" s="187"/>
      <c r="BG26" s="187"/>
      <c r="BH26" s="187"/>
      <c r="BI26" s="253" t="s">
        <v>23</v>
      </c>
      <c r="BJ26" s="253" t="s">
        <v>37</v>
      </c>
      <c r="BK26" s="253" t="s">
        <v>304</v>
      </c>
      <c r="BL26" s="688" t="s">
        <v>305</v>
      </c>
      <c r="BM26" s="688" t="s">
        <v>310</v>
      </c>
      <c r="BN26" s="688" t="s">
        <v>311</v>
      </c>
      <c r="BO26" s="254" t="s">
        <v>312</v>
      </c>
      <c r="BP26" s="688" t="s">
        <v>313</v>
      </c>
      <c r="BQ26" s="688" t="s">
        <v>305</v>
      </c>
      <c r="BR26" s="688" t="s">
        <v>715</v>
      </c>
      <c r="BS26" s="688" t="s">
        <v>716</v>
      </c>
      <c r="BT26" s="254" t="s">
        <v>717</v>
      </c>
      <c r="BU26" s="688" t="s">
        <v>718</v>
      </c>
      <c r="BW26" s="253" t="s">
        <v>314</v>
      </c>
      <c r="BX26" s="253" t="s">
        <v>23</v>
      </c>
      <c r="BY26" s="255" t="s">
        <v>315</v>
      </c>
      <c r="BZ26" s="253" t="s">
        <v>122</v>
      </c>
      <c r="CA26" s="253" t="s">
        <v>316</v>
      </c>
      <c r="CB26" s="253" t="s">
        <v>317</v>
      </c>
      <c r="CC26" s="253" t="s">
        <v>318</v>
      </c>
    </row>
    <row r="27" spans="2:81" ht="15" customHeight="1">
      <c r="B27" s="187"/>
      <c r="C27" s="187"/>
      <c r="D27" s="187"/>
      <c r="E27" s="187"/>
      <c r="F27" s="187"/>
      <c r="G27" s="187"/>
      <c r="H27" s="187"/>
      <c r="I27" s="187"/>
      <c r="J27" s="187"/>
      <c r="K27" s="187"/>
      <c r="L27" s="187"/>
      <c r="M27" s="187"/>
      <c r="N27" s="187"/>
      <c r="O27" s="187"/>
      <c r="P27" s="187"/>
      <c r="Q27" s="187"/>
      <c r="R27" s="187"/>
      <c r="S27" s="187"/>
      <c r="T27" s="187"/>
      <c r="U27" s="187"/>
      <c r="V27" s="187"/>
      <c r="W27" s="187"/>
      <c r="X27" s="187"/>
      <c r="Y27" s="187"/>
      <c r="Z27" s="187"/>
      <c r="AA27" s="187"/>
      <c r="AB27" s="187"/>
      <c r="AC27" s="187"/>
      <c r="AD27" s="187"/>
      <c r="AE27" s="187"/>
      <c r="AF27" s="187"/>
      <c r="AG27" s="187"/>
      <c r="AH27" s="187"/>
      <c r="AI27" s="187"/>
      <c r="AJ27" s="187"/>
      <c r="AK27" s="187"/>
      <c r="AL27" s="187"/>
      <c r="AM27" s="187"/>
      <c r="AN27" s="187"/>
      <c r="AO27" s="187"/>
      <c r="AP27" s="187"/>
      <c r="AQ27" s="187"/>
      <c r="AR27" s="187"/>
      <c r="AS27" s="187"/>
      <c r="AT27" s="187"/>
      <c r="AU27" s="187"/>
      <c r="AV27" s="187"/>
      <c r="AW27" s="187"/>
      <c r="AX27" s="187"/>
      <c r="AY27" s="187"/>
      <c r="AZ27" s="187"/>
      <c r="BA27" s="187"/>
      <c r="BB27" s="187"/>
      <c r="BC27" s="187"/>
      <c r="BD27" s="187"/>
      <c r="BE27" s="187"/>
      <c r="BF27" s="187"/>
      <c r="BG27" s="187"/>
      <c r="BH27" s="187"/>
      <c r="BI27" s="638" t="s">
        <v>319</v>
      </c>
      <c r="BJ27" s="638">
        <v>1</v>
      </c>
      <c r="BK27" s="638" t="s">
        <v>320</v>
      </c>
      <c r="BL27" s="670">
        <f t="shared" ref="BL27:BL38" si="4">BN27*BM27</f>
        <v>0</v>
      </c>
      <c r="BM27" s="671"/>
      <c r="BN27" s="663"/>
      <c r="BO27" s="289">
        <f>IF(SUM(BM27:BM29=0),0,SUM(BL27:BL29)/SUM(BM27:BM29))</f>
        <v>0</v>
      </c>
      <c r="BP27" s="668">
        <v>2</v>
      </c>
      <c r="BQ27" s="672">
        <f t="shared" ref="BQ27:BQ38" si="5">BS27*BR27*1000</f>
        <v>0</v>
      </c>
      <c r="BR27" s="671"/>
      <c r="BS27" s="663"/>
      <c r="BT27" s="289">
        <f>IF(SUM(BR27:BR29=0),0,SUM(BQ27:BQ29)/SUM(BR27:BR29)/1000)</f>
        <v>0</v>
      </c>
      <c r="BU27" s="668">
        <v>2</v>
      </c>
      <c r="BW27" s="248"/>
      <c r="BX27" s="791" t="str">
        <f t="shared" ref="BX27:BX39" si="6">TEXT(CONCATENATE(CC27,"/01/20",CB27),"MMM")</f>
        <v>Oct</v>
      </c>
      <c r="BY27" s="792">
        <f>IF(CB27=$CB39,SUMIF($BI27:$BI38,$BX27,$BR27:$BR38),SUMIF($BI27:$BI38,$BX27,$BM27:$BM38))</f>
        <v>0</v>
      </c>
      <c r="BZ27" s="793">
        <f>IF(IF(CB27=CB39,SUMIF(BI27:BI38,$BX27,BU27:BU38),SUMIF(BI27:BI38,$BX27,BP27:BP38))=0,NA(),IF(CB27=CB39,SUMIF(BI27:BI38,$BX27,BU27:BU38),SUMIF(BI27:BI38,$BX27,BP27:BP38)))</f>
        <v>2</v>
      </c>
      <c r="CA27" s="797" t="e">
        <f>IF(IF(CB27=CB39,SUMIF(BI27:BI38,$BX27,BS27:BS38),SUMIF(BI27:BI38,$BX27,BN27:BN38))=0,NA(),IF(CB27=CB39,SUMIF(BI27:BI38,$BX27,BS27:BS38),SUMIF(BI27:BI38,$BX27,BN27:BN38)))</f>
        <v>#N/A</v>
      </c>
      <c r="CB27" s="645">
        <f t="shared" ref="CB27:CB39" si="7">CB7</f>
        <v>23</v>
      </c>
      <c r="CC27" s="795">
        <f t="shared" ref="CC27:CC38" si="8">IF(CC28-1&lt;1,CC28+11,CC28-1)</f>
        <v>10</v>
      </c>
    </row>
    <row r="28" spans="2:81" ht="15" customHeight="1">
      <c r="B28" s="187"/>
      <c r="C28" s="187"/>
      <c r="D28" s="187"/>
      <c r="E28" s="187"/>
      <c r="F28" s="187"/>
      <c r="G28" s="187"/>
      <c r="H28" s="187"/>
      <c r="I28" s="187"/>
      <c r="J28" s="187"/>
      <c r="K28" s="187"/>
      <c r="L28" s="187"/>
      <c r="M28" s="187"/>
      <c r="N28" s="187"/>
      <c r="O28" s="187"/>
      <c r="P28" s="187"/>
      <c r="Q28" s="187"/>
      <c r="R28" s="187"/>
      <c r="S28" s="187"/>
      <c r="T28" s="187"/>
      <c r="U28" s="187"/>
      <c r="V28" s="187"/>
      <c r="W28" s="187"/>
      <c r="X28" s="187"/>
      <c r="Y28" s="187"/>
      <c r="Z28" s="187"/>
      <c r="AA28" s="187"/>
      <c r="AB28" s="187"/>
      <c r="AC28" s="187"/>
      <c r="AD28" s="187"/>
      <c r="AE28" s="187"/>
      <c r="AF28" s="187"/>
      <c r="AG28" s="187"/>
      <c r="AH28" s="187"/>
      <c r="AI28" s="187"/>
      <c r="AJ28" s="187"/>
      <c r="AK28" s="187"/>
      <c r="AL28" s="187"/>
      <c r="AM28" s="187"/>
      <c r="AN28" s="187"/>
      <c r="AO28" s="187"/>
      <c r="AP28" s="187"/>
      <c r="AQ28" s="187"/>
      <c r="AR28" s="187"/>
      <c r="AS28" s="187"/>
      <c r="AT28" s="187"/>
      <c r="AU28" s="187"/>
      <c r="AV28" s="187"/>
      <c r="AW28" s="187"/>
      <c r="AX28" s="187"/>
      <c r="AY28" s="187"/>
      <c r="AZ28" s="187"/>
      <c r="BA28" s="187"/>
      <c r="BB28" s="187"/>
      <c r="BC28" s="187"/>
      <c r="BD28" s="187"/>
      <c r="BE28" s="187"/>
      <c r="BF28" s="187"/>
      <c r="BG28" s="187"/>
      <c r="BH28" s="187"/>
      <c r="BI28" s="638" t="s">
        <v>321</v>
      </c>
      <c r="BJ28" s="638">
        <v>2</v>
      </c>
      <c r="BK28" s="638" t="s">
        <v>320</v>
      </c>
      <c r="BL28" s="670">
        <f t="shared" si="4"/>
        <v>0</v>
      </c>
      <c r="BM28" s="671"/>
      <c r="BN28" s="663"/>
      <c r="BO28" s="290"/>
      <c r="BP28" s="668">
        <v>2</v>
      </c>
      <c r="BQ28" s="672">
        <f t="shared" si="5"/>
        <v>0</v>
      </c>
      <c r="BR28" s="671"/>
      <c r="BS28" s="663"/>
      <c r="BT28" s="290"/>
      <c r="BU28" s="668">
        <v>2</v>
      </c>
      <c r="BW28" s="248"/>
      <c r="BX28" s="791" t="str">
        <f t="shared" si="6"/>
        <v>Nov</v>
      </c>
      <c r="BY28" s="792">
        <f>IF(CB28=$CB39,SUMIF($BI27:$BI38,$BX28,$BR27:$BR38),SUMIF($BI27:$BI38,$BX28,$BM27:$BM38))</f>
        <v>0</v>
      </c>
      <c r="BZ28" s="793">
        <f>IF(IF(CB28=CB39,SUMIF(BI27:BI38,$BX28,BU27:BU38),SUMIF(BI27:BI38,$BX28,BP27:BP38))=0,NA(),IF(CB28=CB39,SUMIF(BI27:BI38,$BX28,BU27:BU38),SUMIF(BI27:BI38,$BX28,BP27:BP38)))</f>
        <v>2</v>
      </c>
      <c r="CA28" s="797" t="e">
        <f>IF(IF(CB28=CB39,SUMIF(BI27:BI38,$BX28,BS27:BS38),SUMIF(BI27:BI38,$BX28,BN27:BN38))=0,NA(),IF(CB28=CB39,SUMIF(BI27:BI38,$BX28,BS27:BS38),SUMIF(BI27:BI38,$BX28,BN27:BN38)))</f>
        <v>#N/A</v>
      </c>
      <c r="CB28" s="645">
        <f t="shared" si="7"/>
        <v>23</v>
      </c>
      <c r="CC28" s="795">
        <f t="shared" si="8"/>
        <v>11</v>
      </c>
    </row>
    <row r="29" spans="2:81" ht="15" customHeight="1">
      <c r="B29" s="187"/>
      <c r="C29" s="187"/>
      <c r="D29" s="187"/>
      <c r="E29" s="187"/>
      <c r="F29" s="187"/>
      <c r="G29" s="187"/>
      <c r="H29" s="187"/>
      <c r="I29" s="187"/>
      <c r="J29" s="187"/>
      <c r="K29" s="187"/>
      <c r="L29" s="187"/>
      <c r="M29" s="187"/>
      <c r="N29" s="187"/>
      <c r="O29" s="187"/>
      <c r="P29" s="187"/>
      <c r="Q29" s="187"/>
      <c r="R29" s="187"/>
      <c r="S29" s="187"/>
      <c r="T29" s="187"/>
      <c r="U29" s="187"/>
      <c r="V29" s="187"/>
      <c r="W29" s="187"/>
      <c r="X29" s="187"/>
      <c r="Y29" s="187"/>
      <c r="Z29" s="187"/>
      <c r="AA29" s="187"/>
      <c r="AB29" s="187"/>
      <c r="AC29" s="187"/>
      <c r="AD29" s="187"/>
      <c r="AE29" s="187"/>
      <c r="AF29" s="187"/>
      <c r="AG29" s="187"/>
      <c r="AH29" s="187"/>
      <c r="AI29" s="187"/>
      <c r="AJ29" s="187"/>
      <c r="AK29" s="187"/>
      <c r="AL29" s="187"/>
      <c r="AM29" s="187"/>
      <c r="AN29" s="187"/>
      <c r="AO29" s="187"/>
      <c r="AP29" s="187"/>
      <c r="AQ29" s="187"/>
      <c r="AR29" s="187"/>
      <c r="AS29" s="187"/>
      <c r="AT29" s="187"/>
      <c r="AU29" s="187"/>
      <c r="AV29" s="187"/>
      <c r="AW29" s="187"/>
      <c r="AX29" s="187"/>
      <c r="AY29" s="187"/>
      <c r="AZ29" s="187"/>
      <c r="BA29" s="187"/>
      <c r="BB29" s="187"/>
      <c r="BC29" s="187"/>
      <c r="BD29" s="187"/>
      <c r="BE29" s="187"/>
      <c r="BF29" s="187"/>
      <c r="BG29" s="187"/>
      <c r="BH29" s="187"/>
      <c r="BI29" s="638" t="s">
        <v>322</v>
      </c>
      <c r="BJ29" s="638">
        <v>3</v>
      </c>
      <c r="BK29" s="638" t="s">
        <v>320</v>
      </c>
      <c r="BL29" s="670">
        <f t="shared" si="4"/>
        <v>0</v>
      </c>
      <c r="BM29" s="671"/>
      <c r="BN29" s="663"/>
      <c r="BO29" s="290"/>
      <c r="BP29" s="668">
        <v>2</v>
      </c>
      <c r="BQ29" s="672">
        <f t="shared" si="5"/>
        <v>0</v>
      </c>
      <c r="BR29" s="671"/>
      <c r="BS29" s="663"/>
      <c r="BT29" s="290"/>
      <c r="BU29" s="668">
        <v>2</v>
      </c>
      <c r="BW29" s="248"/>
      <c r="BX29" s="791" t="str">
        <f t="shared" si="6"/>
        <v>Dec</v>
      </c>
      <c r="BY29" s="792">
        <f>IF(CB29=$CB39,SUMIF($BI27:$BI38,$BX29,$BR27:$BR38),SUMIF($BI27:$BI38,$BX29,$BM27:$BM38))</f>
        <v>0</v>
      </c>
      <c r="BZ29" s="793">
        <f>IF(IF(CB29=CB39,SUMIF(BI27:BI38,$BX29,BU27:BU38),SUMIF(BI27:BI38,$BX29,BP27:BP38))=0,NA(),IF(CB29=CB39,SUMIF(BI27:BI38,$BX29,BU27:BU38),SUMIF(BI27:BI38,$BX29,BP27:BP38)))</f>
        <v>2</v>
      </c>
      <c r="CA29" s="797" t="e">
        <f>IF(IF(CB29=CB39,SUMIF(BI27:BI38,$BX29,BS27:BS38),SUMIF(BI27:BI38,$BX29,BN27:BN38))=0,NA(),IF(CB29=CB39,SUMIF(BI27:BI38,$BX29,BS27:BS38),SUMIF(BI27:BI38,$BX29,BN27:BN38)))</f>
        <v>#N/A</v>
      </c>
      <c r="CB29" s="645">
        <f t="shared" si="7"/>
        <v>23</v>
      </c>
      <c r="CC29" s="795">
        <f t="shared" si="8"/>
        <v>12</v>
      </c>
    </row>
    <row r="30" spans="2:81" ht="15" customHeight="1">
      <c r="B30" s="187"/>
      <c r="C30" s="187"/>
      <c r="D30" s="187"/>
      <c r="E30" s="187"/>
      <c r="F30" s="187"/>
      <c r="G30" s="187"/>
      <c r="H30" s="187"/>
      <c r="I30" s="187"/>
      <c r="J30" s="187"/>
      <c r="K30" s="187"/>
      <c r="L30" s="187"/>
      <c r="M30" s="187"/>
      <c r="N30" s="187"/>
      <c r="O30" s="187"/>
      <c r="P30" s="187"/>
      <c r="Q30" s="187"/>
      <c r="R30" s="187"/>
      <c r="S30" s="187"/>
      <c r="T30" s="187"/>
      <c r="U30" s="187"/>
      <c r="V30" s="187"/>
      <c r="W30" s="187"/>
      <c r="X30" s="187"/>
      <c r="Y30" s="187"/>
      <c r="Z30" s="187"/>
      <c r="AA30" s="187"/>
      <c r="AB30" s="187"/>
      <c r="AC30" s="187"/>
      <c r="AD30" s="187"/>
      <c r="AE30" s="187"/>
      <c r="AF30" s="187"/>
      <c r="AG30" s="187"/>
      <c r="AH30" s="187"/>
      <c r="AI30" s="187"/>
      <c r="AJ30" s="187"/>
      <c r="AK30" s="187"/>
      <c r="AL30" s="187"/>
      <c r="AM30" s="187"/>
      <c r="AN30" s="187"/>
      <c r="AO30" s="187"/>
      <c r="AP30" s="187"/>
      <c r="AQ30" s="187"/>
      <c r="AR30" s="187"/>
      <c r="AS30" s="187"/>
      <c r="AT30" s="187"/>
      <c r="AU30" s="187"/>
      <c r="AV30" s="187"/>
      <c r="AW30" s="187"/>
      <c r="AX30" s="187"/>
      <c r="AY30" s="187"/>
      <c r="AZ30" s="187"/>
      <c r="BA30" s="187"/>
      <c r="BB30" s="187"/>
      <c r="BC30" s="187"/>
      <c r="BD30" s="187"/>
      <c r="BE30" s="187"/>
      <c r="BF30" s="187"/>
      <c r="BG30" s="187"/>
      <c r="BH30" s="187"/>
      <c r="BI30" s="638" t="s">
        <v>323</v>
      </c>
      <c r="BJ30" s="638">
        <v>4</v>
      </c>
      <c r="BK30" s="638" t="s">
        <v>324</v>
      </c>
      <c r="BL30" s="670">
        <f t="shared" si="4"/>
        <v>0</v>
      </c>
      <c r="BM30" s="671"/>
      <c r="BN30" s="663"/>
      <c r="BO30" s="289">
        <f>IF(SUM(BM30:BM32=0),0,SUM(BL30:BL32)/SUM(BM30:BM32))</f>
        <v>0</v>
      </c>
      <c r="BP30" s="668">
        <v>2</v>
      </c>
      <c r="BQ30" s="672">
        <f t="shared" si="5"/>
        <v>0</v>
      </c>
      <c r="BR30" s="671"/>
      <c r="BS30" s="663"/>
      <c r="BT30" s="289">
        <f>IF(SUM(BR30:BR32=0),0,SUM(BQ30:BQ32)/SUM(BR30:BR32)/1000)</f>
        <v>0</v>
      </c>
      <c r="BU30" s="668">
        <v>2</v>
      </c>
      <c r="BW30" s="248"/>
      <c r="BX30" s="791" t="str">
        <f t="shared" si="6"/>
        <v>Jan</v>
      </c>
      <c r="BY30" s="792">
        <f>IF(CB30=$CB39,SUMIF($BI27:$BI38,$BX30,$BR27:$BR38),SUMIF($BI27:$BI38,$BX30,$BM27:$BM38))</f>
        <v>0</v>
      </c>
      <c r="BZ30" s="793">
        <f>IF(IF(CB30=CB39,SUMIF(BI27:BI38,$BX30,BU27:BU38),SUMIF(BI27:BI38,$BX30,BP27:BP38))=0,NA(),IF(CB30=CB39,SUMIF(BI27:BI38,$BX30,BU27:BU38),SUMIF(BI27:BI38,$BX30,BP27:BP38)))</f>
        <v>2</v>
      </c>
      <c r="CA30" s="797" t="e">
        <f>IF(IF(CB30=CB39,SUMIF(BI27:BI38,$BX30,BS27:BS38),SUMIF(BI27:BI38,$BX30,BN27:BN38))=0,NA(),IF(CB30=CB39,SUMIF(BI27:BI38,$BX30,BS27:BS38),SUMIF(BI27:BI38,$BX30,BN27:BN38)))</f>
        <v>#N/A</v>
      </c>
      <c r="CB30" s="645">
        <f t="shared" si="7"/>
        <v>23</v>
      </c>
      <c r="CC30" s="795">
        <f t="shared" si="8"/>
        <v>1</v>
      </c>
    </row>
    <row r="31" spans="2:81" ht="15" customHeight="1">
      <c r="B31" s="187"/>
      <c r="C31" s="187"/>
      <c r="D31" s="187"/>
      <c r="E31" s="187"/>
      <c r="F31" s="187"/>
      <c r="G31" s="187"/>
      <c r="H31" s="187"/>
      <c r="I31" s="187"/>
      <c r="J31" s="187"/>
      <c r="K31" s="187"/>
      <c r="L31" s="187"/>
      <c r="M31" s="187"/>
      <c r="N31" s="187"/>
      <c r="O31" s="187"/>
      <c r="P31" s="187"/>
      <c r="Q31" s="187"/>
      <c r="R31" s="187"/>
      <c r="S31" s="187"/>
      <c r="T31" s="187"/>
      <c r="U31" s="187"/>
      <c r="V31" s="187"/>
      <c r="W31" s="187"/>
      <c r="X31" s="187"/>
      <c r="Y31" s="187"/>
      <c r="Z31" s="187"/>
      <c r="AA31" s="187"/>
      <c r="AB31" s="187"/>
      <c r="AC31" s="187"/>
      <c r="AD31" s="187"/>
      <c r="AE31" s="187"/>
      <c r="AF31" s="187"/>
      <c r="AG31" s="187"/>
      <c r="AH31" s="187"/>
      <c r="AI31" s="187"/>
      <c r="AJ31" s="187"/>
      <c r="AK31" s="187"/>
      <c r="AL31" s="187"/>
      <c r="AM31" s="187"/>
      <c r="AN31" s="187"/>
      <c r="AO31" s="187"/>
      <c r="AP31" s="187"/>
      <c r="AQ31" s="187"/>
      <c r="AR31" s="187"/>
      <c r="AS31" s="187"/>
      <c r="AT31" s="187"/>
      <c r="AU31" s="187"/>
      <c r="AV31" s="187"/>
      <c r="AW31" s="187"/>
      <c r="AX31" s="187"/>
      <c r="AY31" s="187"/>
      <c r="AZ31" s="187"/>
      <c r="BA31" s="187"/>
      <c r="BB31" s="187"/>
      <c r="BC31" s="187"/>
      <c r="BD31" s="187"/>
      <c r="BE31" s="187"/>
      <c r="BF31" s="187"/>
      <c r="BG31" s="187"/>
      <c r="BH31" s="187"/>
      <c r="BI31" s="638" t="s">
        <v>325</v>
      </c>
      <c r="BJ31" s="638">
        <v>5</v>
      </c>
      <c r="BK31" s="638" t="s">
        <v>324</v>
      </c>
      <c r="BL31" s="670">
        <f t="shared" si="4"/>
        <v>0</v>
      </c>
      <c r="BM31" s="671"/>
      <c r="BN31" s="663"/>
      <c r="BO31" s="290"/>
      <c r="BP31" s="668">
        <v>2</v>
      </c>
      <c r="BQ31" s="672">
        <f t="shared" si="5"/>
        <v>0</v>
      </c>
      <c r="BR31" s="671"/>
      <c r="BS31" s="663"/>
      <c r="BT31" s="290"/>
      <c r="BU31" s="668">
        <v>2</v>
      </c>
      <c r="BW31" s="248"/>
      <c r="BX31" s="791" t="str">
        <f t="shared" si="6"/>
        <v>Feb</v>
      </c>
      <c r="BY31" s="792">
        <f>IF(CB31=$CB39,SUMIF($BI27:$BI38,$BX31,$BR27:$BR38),SUMIF($BI27:$BI38,$BX31,$BM27:$BM38))</f>
        <v>0</v>
      </c>
      <c r="BZ31" s="793">
        <f>IF(IF(CB31=CB39,SUMIF(BI27:BI38,$BX31,BU27:BU38),SUMIF(BI27:BI38,$BX31,BP27:BP38))=0,NA(),IF(CB31=CB39,SUMIF(BI27:BI38,$BX31,BU27:BU38),SUMIF(BI27:BI38,$BX31,BP27:BP38)))</f>
        <v>2</v>
      </c>
      <c r="CA31" s="797" t="e">
        <f>IF(IF(CB31=CB39,SUMIF(BI27:BI38,$BX31,BS27:BS38),SUMIF(BI27:BI38,$BX31,BN27:BN38))=0,NA(),IF(CB31=CB39,SUMIF(BI27:BI38,$BX31,BS27:BS38),SUMIF(BI27:BI38,$BX31,BN27:BN38)))</f>
        <v>#N/A</v>
      </c>
      <c r="CB31" s="645">
        <f t="shared" si="7"/>
        <v>23</v>
      </c>
      <c r="CC31" s="795">
        <f t="shared" si="8"/>
        <v>2</v>
      </c>
    </row>
    <row r="32" spans="2:81" ht="15" customHeight="1">
      <c r="B32" s="187"/>
      <c r="C32" s="187"/>
      <c r="D32" s="187"/>
      <c r="E32" s="187"/>
      <c r="F32" s="187"/>
      <c r="G32" s="187"/>
      <c r="H32" s="187"/>
      <c r="I32" s="187"/>
      <c r="J32" s="187"/>
      <c r="K32" s="187"/>
      <c r="L32" s="187"/>
      <c r="M32" s="187"/>
      <c r="N32" s="187"/>
      <c r="O32" s="187"/>
      <c r="P32" s="187"/>
      <c r="Q32" s="187"/>
      <c r="R32" s="187"/>
      <c r="S32" s="187"/>
      <c r="T32" s="187"/>
      <c r="U32" s="187"/>
      <c r="V32" s="187"/>
      <c r="W32" s="187"/>
      <c r="X32" s="187"/>
      <c r="Y32" s="187"/>
      <c r="Z32" s="187"/>
      <c r="AA32" s="187"/>
      <c r="AB32" s="187"/>
      <c r="AC32" s="187"/>
      <c r="AD32" s="187"/>
      <c r="AE32" s="187"/>
      <c r="AF32" s="187"/>
      <c r="AG32" s="187"/>
      <c r="AH32" s="187"/>
      <c r="AI32" s="187"/>
      <c r="AJ32" s="187"/>
      <c r="AK32" s="187"/>
      <c r="AL32" s="187"/>
      <c r="AM32" s="187"/>
      <c r="AN32" s="187"/>
      <c r="AO32" s="187"/>
      <c r="AP32" s="187"/>
      <c r="AQ32" s="187"/>
      <c r="AR32" s="187"/>
      <c r="AS32" s="187"/>
      <c r="AT32" s="187"/>
      <c r="AU32" s="187"/>
      <c r="AV32" s="187"/>
      <c r="AW32" s="187"/>
      <c r="AX32" s="187"/>
      <c r="AY32" s="187"/>
      <c r="AZ32" s="187"/>
      <c r="BA32" s="187"/>
      <c r="BB32" s="187"/>
      <c r="BC32" s="187"/>
      <c r="BD32" s="187"/>
      <c r="BE32" s="187"/>
      <c r="BF32" s="187"/>
      <c r="BG32" s="187"/>
      <c r="BH32" s="187"/>
      <c r="BI32" s="638" t="s">
        <v>326</v>
      </c>
      <c r="BJ32" s="638">
        <v>6</v>
      </c>
      <c r="BK32" s="638" t="s">
        <v>324</v>
      </c>
      <c r="BL32" s="670">
        <f t="shared" si="4"/>
        <v>0</v>
      </c>
      <c r="BM32" s="673"/>
      <c r="BN32" s="661"/>
      <c r="BO32" s="290"/>
      <c r="BP32" s="668">
        <v>2</v>
      </c>
      <c r="BQ32" s="672">
        <f t="shared" si="5"/>
        <v>0</v>
      </c>
      <c r="BR32" s="673"/>
      <c r="BS32" s="663"/>
      <c r="BT32" s="290"/>
      <c r="BU32" s="668">
        <v>2</v>
      </c>
      <c r="BW32" s="248"/>
      <c r="BX32" s="791" t="str">
        <f t="shared" si="6"/>
        <v>Mar</v>
      </c>
      <c r="BY32" s="792">
        <f>IF(CB32=$CB39,SUMIF($BI27:$BI38,$BX32,$BR27:$BR38),SUMIF($BI27:$BI38,$BX32,$BM27:$BM38))</f>
        <v>0</v>
      </c>
      <c r="BZ32" s="793">
        <f>IF(IF(CB32=CB39,SUMIF(BI27:BI38,$BX32,BU27:BU38),SUMIF(BI27:BI38,$BX32,BP27:BP38))=0,NA(),IF(CB32=CB39,SUMIF(BI27:BI38,$BX32,BU27:BU38),SUMIF(BI27:BI38,$BX32,BP27:BP38)))</f>
        <v>2</v>
      </c>
      <c r="CA32" s="797" t="e">
        <f>IF(IF(CB32=CB39,SUMIF(BI27:BI38,$BX32,BS27:BS38),SUMIF(BI27:BI38,$BX32,BN27:BN38))=0,NA(),IF(CB32=CB39,SUMIF(BI27:BI38,$BX32,BS27:BS38),SUMIF(BI27:BI38,$BX32,BN27:BN38)))</f>
        <v>#N/A</v>
      </c>
      <c r="CB32" s="645">
        <f t="shared" si="7"/>
        <v>23</v>
      </c>
      <c r="CC32" s="795">
        <f t="shared" si="8"/>
        <v>3</v>
      </c>
    </row>
    <row r="33" spans="2:81" ht="15" customHeight="1">
      <c r="B33" s="187"/>
      <c r="C33" s="187"/>
      <c r="D33" s="187"/>
      <c r="E33" s="187"/>
      <c r="F33" s="187"/>
      <c r="G33" s="187"/>
      <c r="H33" s="187"/>
      <c r="I33" s="187"/>
      <c r="J33" s="187"/>
      <c r="K33" s="187"/>
      <c r="L33" s="187"/>
      <c r="M33" s="187"/>
      <c r="N33" s="187"/>
      <c r="O33" s="187"/>
      <c r="P33" s="187"/>
      <c r="Q33" s="187"/>
      <c r="R33" s="187"/>
      <c r="S33" s="187"/>
      <c r="T33" s="187"/>
      <c r="U33" s="187"/>
      <c r="V33" s="187"/>
      <c r="W33" s="187"/>
      <c r="X33" s="187"/>
      <c r="Y33" s="187"/>
      <c r="Z33" s="187"/>
      <c r="AA33" s="187"/>
      <c r="AB33" s="187"/>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7"/>
      <c r="BF33" s="187"/>
      <c r="BG33" s="187"/>
      <c r="BH33" s="187"/>
      <c r="BI33" s="638" t="s">
        <v>327</v>
      </c>
      <c r="BJ33" s="638">
        <v>7</v>
      </c>
      <c r="BK33" s="638" t="s">
        <v>328</v>
      </c>
      <c r="BL33" s="670">
        <f t="shared" si="4"/>
        <v>0</v>
      </c>
      <c r="BM33" s="639"/>
      <c r="BN33" s="674"/>
      <c r="BO33" s="289">
        <f>IF(SUM(BM33:BM35=0),0,SUM(BL33:BL35)/SUM(BM33:BM35))</f>
        <v>0</v>
      </c>
      <c r="BP33" s="668">
        <v>2</v>
      </c>
      <c r="BQ33" s="672">
        <f t="shared" si="5"/>
        <v>0</v>
      </c>
      <c r="BR33" s="639"/>
      <c r="BS33" s="674"/>
      <c r="BT33" s="289">
        <f>IF(SUM(BR33:BR35=0),0,SUM(BQ33:BQ35)/SUM(BR33:BR35)/1000)</f>
        <v>0</v>
      </c>
      <c r="BU33" s="668">
        <v>2</v>
      </c>
      <c r="BW33" s="248"/>
      <c r="BX33" s="791" t="str">
        <f t="shared" si="6"/>
        <v>Apr</v>
      </c>
      <c r="BY33" s="792">
        <f>IF(CB33=$CB39,SUMIF($BI27:$BI38,$BX33,$BR27:$BR38),SUMIF($BI27:$BI38,$BX33,$BM27:$BM38))</f>
        <v>0</v>
      </c>
      <c r="BZ33" s="793">
        <f>IF(IF(CB33=CB39,SUMIF(BI27:BI38,$BX33,BU27:BU38),SUMIF(BI27:BI38,$BX33,BP27:BP38))=0,NA(),IF(CB33=CB39,SUMIF(BI27:BI38,$BX33,BU27:BU38),SUMIF(BI27:BI38,$BX33,BP27:BP38)))</f>
        <v>2</v>
      </c>
      <c r="CA33" s="797" t="e">
        <f>IF(IF(CB33=CB39,SUMIF(BI27:BI38,$BX33,BS27:BS38),SUMIF(BI27:BI38,$BX33,BN27:BN38))=0,NA(),IF(CB33=CB39,SUMIF(BI27:BI38,$BX33,BS27:BS38),SUMIF(BI27:BI38,$BX33,BN27:BN38)))</f>
        <v>#N/A</v>
      </c>
      <c r="CB33" s="645">
        <f t="shared" si="7"/>
        <v>23</v>
      </c>
      <c r="CC33" s="795">
        <f t="shared" si="8"/>
        <v>4</v>
      </c>
    </row>
    <row r="34" spans="2:81" ht="15" customHeight="1">
      <c r="B34" s="187"/>
      <c r="C34" s="187"/>
      <c r="D34" s="187"/>
      <c r="E34" s="187"/>
      <c r="F34" s="187"/>
      <c r="G34" s="187"/>
      <c r="H34" s="187"/>
      <c r="I34" s="187"/>
      <c r="J34" s="187"/>
      <c r="K34" s="187"/>
      <c r="L34" s="187"/>
      <c r="M34" s="187"/>
      <c r="N34" s="187"/>
      <c r="O34" s="187"/>
      <c r="P34" s="187"/>
      <c r="Q34" s="187"/>
      <c r="R34" s="187"/>
      <c r="S34" s="187"/>
      <c r="T34" s="187"/>
      <c r="U34" s="187"/>
      <c r="V34" s="187"/>
      <c r="W34" s="187"/>
      <c r="X34" s="187"/>
      <c r="Y34" s="187"/>
      <c r="Z34" s="187"/>
      <c r="AA34" s="187"/>
      <c r="AB34" s="187"/>
      <c r="AC34" s="187"/>
      <c r="AD34" s="187"/>
      <c r="AE34" s="187"/>
      <c r="AF34" s="187"/>
      <c r="AG34" s="187"/>
      <c r="AH34" s="187"/>
      <c r="AI34" s="187"/>
      <c r="AJ34" s="187"/>
      <c r="AK34" s="187"/>
      <c r="AL34" s="187"/>
      <c r="AM34" s="187"/>
      <c r="AN34" s="187"/>
      <c r="AO34" s="187"/>
      <c r="AP34" s="187"/>
      <c r="AQ34" s="187"/>
      <c r="AR34" s="187"/>
      <c r="AS34" s="187"/>
      <c r="AT34" s="187"/>
      <c r="AU34" s="187"/>
      <c r="AV34" s="187"/>
      <c r="AW34" s="187"/>
      <c r="AX34" s="187"/>
      <c r="AY34" s="187"/>
      <c r="AZ34" s="187"/>
      <c r="BA34" s="187"/>
      <c r="BB34" s="187"/>
      <c r="BC34" s="187"/>
      <c r="BD34" s="187"/>
      <c r="BE34" s="187"/>
      <c r="BF34" s="187"/>
      <c r="BG34" s="187"/>
      <c r="BH34" s="187"/>
      <c r="BI34" s="638" t="s">
        <v>329</v>
      </c>
      <c r="BJ34" s="638">
        <v>8</v>
      </c>
      <c r="BK34" s="638" t="s">
        <v>328</v>
      </c>
      <c r="BL34" s="670">
        <f t="shared" si="4"/>
        <v>0</v>
      </c>
      <c r="BM34" s="639"/>
      <c r="BN34" s="661"/>
      <c r="BO34" s="290"/>
      <c r="BP34" s="668">
        <v>2</v>
      </c>
      <c r="BQ34" s="672">
        <f t="shared" si="5"/>
        <v>0</v>
      </c>
      <c r="BR34" s="639"/>
      <c r="BS34" s="661"/>
      <c r="BT34" s="290"/>
      <c r="BU34" s="668">
        <v>2</v>
      </c>
      <c r="BW34" s="248"/>
      <c r="BX34" s="791" t="str">
        <f t="shared" si="6"/>
        <v>May</v>
      </c>
      <c r="BY34" s="792">
        <f>IF(CB34=$CB39,SUMIF($BI27:$BI38,$BX34,$BR27:$BR38),SUMIF($BI27:$BI38,$BX34,$BM27:$BM38))</f>
        <v>0</v>
      </c>
      <c r="BZ34" s="793">
        <f>IF(IF(CB34=CB39,SUMIF(BI27:BI38,$BX34,BU27:BU38),SUMIF(BI27:BI38,$BX34,BP27:BP38))=0,NA(),IF(CB34=CB39,SUMIF(BI27:BI38,$BX34,BU27:BU38),SUMIF(BI27:BI38,$BX34,BP27:BP38)))</f>
        <v>2</v>
      </c>
      <c r="CA34" s="797" t="e">
        <f>IF(IF(CB34=CB39,SUMIF(BI27:BI38,$BX34,BS27:BS38),SUMIF(BI27:BI38,$BX34,BN27:BN38))=0,NA(),IF(CB34=CB39,SUMIF(BI27:BI38,$BX34,BS27:BS38),SUMIF(BI27:BI38,$BX34,BN27:BN38)))</f>
        <v>#N/A</v>
      </c>
      <c r="CB34" s="645">
        <f t="shared" si="7"/>
        <v>23</v>
      </c>
      <c r="CC34" s="795">
        <f t="shared" si="8"/>
        <v>5</v>
      </c>
    </row>
    <row r="35" spans="2:81" ht="15" customHeight="1">
      <c r="B35" s="187"/>
      <c r="C35" s="187"/>
      <c r="D35" s="187"/>
      <c r="E35" s="187"/>
      <c r="F35" s="187"/>
      <c r="G35" s="187"/>
      <c r="H35" s="187"/>
      <c r="I35" s="187"/>
      <c r="J35" s="187"/>
      <c r="K35" s="187"/>
      <c r="L35" s="187"/>
      <c r="M35" s="187"/>
      <c r="N35" s="187"/>
      <c r="O35" s="187"/>
      <c r="P35" s="187"/>
      <c r="Q35" s="187"/>
      <c r="R35" s="187"/>
      <c r="S35" s="187"/>
      <c r="T35" s="187"/>
      <c r="U35" s="187"/>
      <c r="V35" s="187"/>
      <c r="W35" s="187"/>
      <c r="X35" s="187"/>
      <c r="Y35" s="187"/>
      <c r="Z35" s="187"/>
      <c r="AA35" s="187"/>
      <c r="AB35" s="187"/>
      <c r="AC35" s="187"/>
      <c r="AD35" s="187"/>
      <c r="AE35" s="187"/>
      <c r="AF35" s="187"/>
      <c r="AG35" s="187"/>
      <c r="AH35" s="187"/>
      <c r="AI35" s="187"/>
      <c r="AJ35" s="187"/>
      <c r="AK35" s="187"/>
      <c r="AL35" s="187"/>
      <c r="AM35" s="187"/>
      <c r="AN35" s="187"/>
      <c r="AO35" s="187"/>
      <c r="AP35" s="187"/>
      <c r="AQ35" s="187"/>
      <c r="AR35" s="187"/>
      <c r="AS35" s="187"/>
      <c r="AT35" s="187"/>
      <c r="AU35" s="187"/>
      <c r="AV35" s="187"/>
      <c r="AW35" s="187"/>
      <c r="AX35" s="187"/>
      <c r="AY35" s="187"/>
      <c r="AZ35" s="187"/>
      <c r="BA35" s="187"/>
      <c r="BB35" s="187"/>
      <c r="BC35" s="187"/>
      <c r="BD35" s="187"/>
      <c r="BE35" s="187"/>
      <c r="BF35" s="187"/>
      <c r="BG35" s="187"/>
      <c r="BH35" s="187"/>
      <c r="BI35" s="638" t="s">
        <v>331</v>
      </c>
      <c r="BJ35" s="638">
        <v>9</v>
      </c>
      <c r="BK35" s="638" t="s">
        <v>328</v>
      </c>
      <c r="BL35" s="670">
        <f t="shared" si="4"/>
        <v>0</v>
      </c>
      <c r="BM35" s="639"/>
      <c r="BN35" s="661"/>
      <c r="BO35" s="290"/>
      <c r="BP35" s="668">
        <v>2</v>
      </c>
      <c r="BQ35" s="672">
        <f t="shared" si="5"/>
        <v>0</v>
      </c>
      <c r="BR35" s="639"/>
      <c r="BS35" s="661"/>
      <c r="BT35" s="290"/>
      <c r="BU35" s="668">
        <v>2</v>
      </c>
      <c r="BW35" s="248"/>
      <c r="BX35" s="791" t="str">
        <f t="shared" si="6"/>
        <v>Jun</v>
      </c>
      <c r="BY35" s="792">
        <f>IF(CB35=$CB39,SUMIF($BI27:$BI38,$BX35,$BR27:$BR38),SUMIF($BI27:$BI38,$BX35,$BM27:$BM38))</f>
        <v>0</v>
      </c>
      <c r="BZ35" s="793">
        <f>IF(IF(CB35=CB39,SUMIF(BI27:BI38,$BX35,BU27:BU38),SUMIF(BI27:BI38,$BX35,BP27:BP38))=0,NA(),IF(CB35=CB39,SUMIF(BI27:BI38,$BX35,BU27:BU38),SUMIF(BI27:BI38,$BX35,BP27:BP38)))</f>
        <v>2</v>
      </c>
      <c r="CA35" s="797" t="e">
        <f>IF(IF(CB35=CB39,SUMIF(BI27:BI38,$BX35,BS27:BS38),SUMIF(BI27:BI38,$BX35,BN27:BN38))=0,NA(),IF(CB35=CB39,SUMIF(BI27:BI38,$BX35,BS27:BS38),SUMIF(BI27:BI38,$BX35,BN27:BN38)))</f>
        <v>#N/A</v>
      </c>
      <c r="CB35" s="645">
        <f t="shared" si="7"/>
        <v>23</v>
      </c>
      <c r="CC35" s="795">
        <f t="shared" si="8"/>
        <v>6</v>
      </c>
    </row>
    <row r="36" spans="2:81" ht="15" customHeight="1">
      <c r="B36" s="187"/>
      <c r="C36" s="187"/>
      <c r="D36" s="187"/>
      <c r="E36" s="187"/>
      <c r="F36" s="187"/>
      <c r="G36" s="187"/>
      <c r="H36" s="187"/>
      <c r="I36" s="187"/>
      <c r="J36" s="187"/>
      <c r="K36" s="187"/>
      <c r="L36" s="187"/>
      <c r="M36" s="187"/>
      <c r="N36" s="187"/>
      <c r="O36" s="187"/>
      <c r="P36" s="187"/>
      <c r="Q36" s="187"/>
      <c r="R36" s="187"/>
      <c r="S36" s="187"/>
      <c r="T36" s="187"/>
      <c r="U36" s="187"/>
      <c r="V36" s="187"/>
      <c r="W36" s="187"/>
      <c r="X36" s="187"/>
      <c r="Y36" s="187"/>
      <c r="Z36" s="187"/>
      <c r="AA36" s="187"/>
      <c r="AB36" s="187"/>
      <c r="AC36" s="187"/>
      <c r="AD36" s="187"/>
      <c r="AE36" s="187"/>
      <c r="AF36" s="187"/>
      <c r="AG36" s="187"/>
      <c r="AH36" s="187"/>
      <c r="AI36" s="187"/>
      <c r="AJ36" s="187"/>
      <c r="AK36" s="187"/>
      <c r="AL36" s="187"/>
      <c r="AM36" s="187"/>
      <c r="AN36" s="187"/>
      <c r="AO36" s="187"/>
      <c r="AP36" s="187"/>
      <c r="AQ36" s="187"/>
      <c r="AR36" s="187"/>
      <c r="AS36" s="187"/>
      <c r="AT36" s="187"/>
      <c r="AU36" s="187"/>
      <c r="AV36" s="187"/>
      <c r="AW36" s="187"/>
      <c r="AX36" s="187"/>
      <c r="AY36" s="187"/>
      <c r="AZ36" s="187"/>
      <c r="BA36" s="187"/>
      <c r="BB36" s="187"/>
      <c r="BC36" s="187"/>
      <c r="BD36" s="187"/>
      <c r="BE36" s="187"/>
      <c r="BF36" s="187"/>
      <c r="BG36" s="187"/>
      <c r="BH36" s="187"/>
      <c r="BI36" s="638" t="s">
        <v>337</v>
      </c>
      <c r="BJ36" s="638">
        <v>10</v>
      </c>
      <c r="BK36" s="638" t="s">
        <v>338</v>
      </c>
      <c r="BL36" s="670">
        <f t="shared" si="4"/>
        <v>0</v>
      </c>
      <c r="BM36" s="639"/>
      <c r="BN36" s="661"/>
      <c r="BO36" s="289">
        <f>IF(SUM(BM36:BM38=0),0,SUM(BL36:BL38)/SUM(BM36:BM38))</f>
        <v>0</v>
      </c>
      <c r="BP36" s="668">
        <v>2</v>
      </c>
      <c r="BQ36" s="672">
        <f t="shared" si="5"/>
        <v>0</v>
      </c>
      <c r="BR36" s="639"/>
      <c r="BS36" s="661"/>
      <c r="BT36" s="289">
        <f>IF(SUM(BR36:BR38=0),0,SUM(BQ36:BQ38)/SUM(BR36:BR38)/1000)</f>
        <v>0</v>
      </c>
      <c r="BU36" s="668">
        <v>2</v>
      </c>
      <c r="BW36" s="248"/>
      <c r="BX36" s="791" t="str">
        <f t="shared" si="6"/>
        <v>Jul</v>
      </c>
      <c r="BY36" s="792">
        <f>IF(CB36=$CB39,SUMIF($BI27:$BI38,$BX36,$BR27:$BR38),SUMIF($BI27:$BI38,$BX36,$BM27:$BM38))</f>
        <v>0</v>
      </c>
      <c r="BZ36" s="793">
        <f>IF(IF(CB36=CB39,SUMIF(BI27:BI38,$BX36,BU27:BU38),SUMIF(BI27:BI38,$BX36,BP27:BP38))=0,NA(),IF(CB36=CB39,SUMIF(BI27:BI38,$BX36,BU27:BU38),SUMIF(BI27:BI38,$BX36,BP27:BP38)))</f>
        <v>2</v>
      </c>
      <c r="CA36" s="797" t="e">
        <f>IF(IF(CB36=CB39,SUMIF(BI27:BI38,$BX36,BS27:BS38),SUMIF(BI27:BI38,$BX36,BN27:BN38))=0,NA(),IF(CB36=CB39,SUMIF(BI27:BI38,$BX36,BS27:BS38),SUMIF(BI27:BI38,$BX36,BN27:BN38)))</f>
        <v>#N/A</v>
      </c>
      <c r="CB36" s="645">
        <f t="shared" si="7"/>
        <v>23</v>
      </c>
      <c r="CC36" s="795">
        <f t="shared" si="8"/>
        <v>7</v>
      </c>
    </row>
    <row r="37" spans="2:81" ht="15" customHeight="1">
      <c r="B37" s="187"/>
      <c r="C37" s="187"/>
      <c r="D37" s="187"/>
      <c r="E37" s="187"/>
      <c r="F37" s="187"/>
      <c r="G37" s="187"/>
      <c r="H37" s="187"/>
      <c r="I37" s="187"/>
      <c r="J37" s="187"/>
      <c r="K37" s="187"/>
      <c r="L37" s="187"/>
      <c r="M37" s="187"/>
      <c r="N37" s="187"/>
      <c r="O37" s="187"/>
      <c r="P37" s="187"/>
      <c r="Q37" s="187"/>
      <c r="R37" s="187"/>
      <c r="S37" s="187"/>
      <c r="T37" s="187"/>
      <c r="U37" s="187"/>
      <c r="V37" s="187"/>
      <c r="W37" s="187"/>
      <c r="X37" s="187"/>
      <c r="Y37" s="187"/>
      <c r="Z37" s="187"/>
      <c r="AA37" s="187"/>
      <c r="AB37" s="187"/>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7"/>
      <c r="BF37" s="187"/>
      <c r="BG37" s="187"/>
      <c r="BH37" s="187"/>
      <c r="BI37" s="638" t="s">
        <v>343</v>
      </c>
      <c r="BJ37" s="638">
        <v>11</v>
      </c>
      <c r="BK37" s="638" t="s">
        <v>338</v>
      </c>
      <c r="BL37" s="670">
        <f t="shared" si="4"/>
        <v>0</v>
      </c>
      <c r="BM37" s="639"/>
      <c r="BN37" s="661"/>
      <c r="BO37" s="290"/>
      <c r="BP37" s="668">
        <v>2</v>
      </c>
      <c r="BQ37" s="672">
        <f t="shared" si="5"/>
        <v>0</v>
      </c>
      <c r="BR37" s="639"/>
      <c r="BS37" s="661"/>
      <c r="BT37" s="290"/>
      <c r="BU37" s="668">
        <v>2</v>
      </c>
      <c r="BW37" s="248"/>
      <c r="BX37" s="791" t="str">
        <f t="shared" si="6"/>
        <v>Aug</v>
      </c>
      <c r="BY37" s="792">
        <f>IF(CB37=$CB39,SUMIF($BI27:$BI38,$BX37,$BR27:$BR38),SUMIF($BI27:$BI38,$BX37,$BM27:$BM38))</f>
        <v>0</v>
      </c>
      <c r="BZ37" s="793">
        <f>IF(IF(CB37=CB39,SUMIF(BI27:BI38,$BX37,BU27:BU38),SUMIF(BI27:BI38,$BX37,BP27:BP38))=0,NA(),IF(CB37=CB39,SUMIF(BI27:BI38,$BX37,BU27:BU38),SUMIF(BI27:BI38,$BX37,BP27:BP38)))</f>
        <v>2</v>
      </c>
      <c r="CA37" s="797" t="e">
        <f>IF(IF(CB37=CB39,SUMIF(BI27:BI38,$BX37,BS27:BS38),SUMIF(BI27:BI38,$BX37,BN27:BN38))=0,NA(),IF(CB37=CB39,SUMIF(BI27:BI38,$BX37,BS27:BS38),SUMIF(BI27:BI38,$BX37,BN27:BN38)))</f>
        <v>#N/A</v>
      </c>
      <c r="CB37" s="645">
        <f t="shared" si="7"/>
        <v>23</v>
      </c>
      <c r="CC37" s="795">
        <f t="shared" si="8"/>
        <v>8</v>
      </c>
    </row>
    <row r="38" spans="2:81" ht="15" customHeight="1">
      <c r="B38" s="187"/>
      <c r="C38" s="187"/>
      <c r="D38" s="187"/>
      <c r="E38" s="187"/>
      <c r="F38" s="187"/>
      <c r="G38" s="187"/>
      <c r="H38" s="187"/>
      <c r="I38" s="187"/>
      <c r="J38" s="187"/>
      <c r="K38" s="187"/>
      <c r="L38" s="187"/>
      <c r="M38" s="187"/>
      <c r="N38" s="187"/>
      <c r="O38" s="187"/>
      <c r="P38" s="187"/>
      <c r="Q38" s="187"/>
      <c r="R38" s="187"/>
      <c r="S38" s="187"/>
      <c r="T38" s="187"/>
      <c r="U38" s="187"/>
      <c r="V38" s="187"/>
      <c r="W38" s="187"/>
      <c r="X38" s="187"/>
      <c r="Y38" s="187"/>
      <c r="Z38" s="187"/>
      <c r="AA38" s="187"/>
      <c r="AB38" s="187"/>
      <c r="AC38" s="187"/>
      <c r="AD38" s="187"/>
      <c r="AE38" s="187"/>
      <c r="AF38" s="187"/>
      <c r="AG38" s="187"/>
      <c r="AH38" s="187"/>
      <c r="AI38" s="187"/>
      <c r="AJ38" s="187"/>
      <c r="AK38" s="187"/>
      <c r="AL38" s="187"/>
      <c r="AM38" s="187"/>
      <c r="AN38" s="187"/>
      <c r="AO38" s="187"/>
      <c r="AP38" s="187"/>
      <c r="AQ38" s="187"/>
      <c r="AR38" s="187"/>
      <c r="AS38" s="187"/>
      <c r="AT38" s="187"/>
      <c r="AU38" s="187"/>
      <c r="AV38" s="187"/>
      <c r="AW38" s="187"/>
      <c r="AX38" s="187"/>
      <c r="AY38" s="187"/>
      <c r="AZ38" s="187"/>
      <c r="BA38" s="187"/>
      <c r="BB38" s="187"/>
      <c r="BC38" s="187"/>
      <c r="BD38" s="187"/>
      <c r="BE38" s="187"/>
      <c r="BF38" s="187"/>
      <c r="BG38" s="187"/>
      <c r="BH38" s="187"/>
      <c r="BI38" s="638" t="s">
        <v>344</v>
      </c>
      <c r="BJ38" s="638">
        <v>12</v>
      </c>
      <c r="BK38" s="638" t="s">
        <v>338</v>
      </c>
      <c r="BL38" s="670">
        <f t="shared" si="4"/>
        <v>0</v>
      </c>
      <c r="BM38" s="639"/>
      <c r="BN38" s="661"/>
      <c r="BO38" s="290"/>
      <c r="BP38" s="668">
        <v>2</v>
      </c>
      <c r="BQ38" s="672">
        <f t="shared" si="5"/>
        <v>0</v>
      </c>
      <c r="BR38" s="639"/>
      <c r="BS38" s="661"/>
      <c r="BT38" s="290"/>
      <c r="BU38" s="668">
        <v>2</v>
      </c>
      <c r="BW38" s="248"/>
      <c r="BX38" s="791" t="str">
        <f t="shared" si="6"/>
        <v>Sep</v>
      </c>
      <c r="BY38" s="792">
        <f>IF(CB38=$CB39,SUMIF($BI27:$BI38,$BX38,$BR27:$BR38),SUMIF($BI27:$BI38,$BX38,$BM27:$BM38))</f>
        <v>0</v>
      </c>
      <c r="BZ38" s="793">
        <f>IF(IF(CB38=CB39,SUMIF(BI27:BI38,$BX38,BU27:BU38),SUMIF(BI27:BI38,$BX38,BP27:BP38))=0,NA(),IF(CB38=CB39,SUMIF(BI27:BI38,$BX38,BU27:BU38),SUMIF(BI27:BI38,$BX38,BP27:BP38)))</f>
        <v>2</v>
      </c>
      <c r="CA38" s="797" t="e">
        <f>IF(IF(CB38=CB39,SUMIF(BI27:BI38,$BX38,BS27:BS38),SUMIF(BI27:BI38,$BX38,BN27:BN38))=0,NA(),IF(CB38=CB39,SUMIF(BI27:BI38,$BX38,BS27:BS38),SUMIF(BI27:BI38,$BX38,BN27:BN38)))</f>
        <v>#N/A</v>
      </c>
      <c r="CB38" s="645">
        <f t="shared" si="7"/>
        <v>23</v>
      </c>
      <c r="CC38" s="795">
        <f t="shared" si="8"/>
        <v>9</v>
      </c>
    </row>
    <row r="39" spans="2:81" ht="15" customHeight="1">
      <c r="B39" s="187"/>
      <c r="C39" s="187"/>
      <c r="D39" s="187"/>
      <c r="E39" s="187"/>
      <c r="F39" s="187"/>
      <c r="G39" s="187"/>
      <c r="H39" s="187"/>
      <c r="I39" s="187"/>
      <c r="J39" s="187"/>
      <c r="K39" s="187"/>
      <c r="L39" s="187"/>
      <c r="M39" s="187"/>
      <c r="N39" s="187"/>
      <c r="O39" s="187"/>
      <c r="P39" s="187"/>
      <c r="Q39" s="187"/>
      <c r="R39" s="187"/>
      <c r="S39" s="187"/>
      <c r="T39" s="187"/>
      <c r="U39" s="187"/>
      <c r="V39" s="187"/>
      <c r="W39" s="187"/>
      <c r="X39" s="187"/>
      <c r="Y39" s="187"/>
      <c r="Z39" s="187"/>
      <c r="AA39" s="187"/>
      <c r="AB39" s="187"/>
      <c r="AC39" s="187"/>
      <c r="AD39" s="187"/>
      <c r="AE39" s="187"/>
      <c r="AF39" s="187"/>
      <c r="AG39" s="187"/>
      <c r="AH39" s="187"/>
      <c r="AI39" s="187"/>
      <c r="AJ39" s="187"/>
      <c r="AK39" s="187"/>
      <c r="AL39" s="187"/>
      <c r="AM39" s="187"/>
      <c r="AN39" s="187"/>
      <c r="AO39" s="187"/>
      <c r="AP39" s="187"/>
      <c r="AQ39" s="187"/>
      <c r="AR39" s="187"/>
      <c r="AS39" s="187"/>
      <c r="AT39" s="187"/>
      <c r="AU39" s="187"/>
      <c r="AV39" s="187"/>
      <c r="AW39" s="187"/>
      <c r="AX39" s="187"/>
      <c r="AY39" s="187"/>
      <c r="AZ39" s="187"/>
      <c r="BA39" s="187"/>
      <c r="BB39" s="187"/>
      <c r="BC39" s="187"/>
      <c r="BD39" s="187"/>
      <c r="BE39" s="187"/>
      <c r="BF39" s="187"/>
      <c r="BG39" s="187"/>
      <c r="BH39" s="187"/>
      <c r="BJ39" s="257"/>
      <c r="BK39" s="257"/>
      <c r="BL39" s="257"/>
      <c r="BM39" s="257"/>
      <c r="BN39" s="257"/>
      <c r="BO39" s="257"/>
      <c r="BP39" s="257"/>
      <c r="BQ39" s="257"/>
      <c r="BR39" s="257"/>
      <c r="BS39" s="257"/>
      <c r="BT39" s="257"/>
      <c r="BW39" s="796" t="str">
        <f>Cover!$M$34</f>
        <v>OCT FY-24</v>
      </c>
      <c r="BX39" s="791" t="str">
        <f t="shared" si="6"/>
        <v>Oct</v>
      </c>
      <c r="BY39" s="792">
        <f>SUMIF($BI27:$BI38,$BX39,$BR27:$BR38)</f>
        <v>0</v>
      </c>
      <c r="BZ39" s="793">
        <f>IF(IF(CB39=CB39,SUMIF(BI27:BI38,$BX39,BU27:BU38),SUMIF(BI27:BI38,$BX39,BP27:BP38))=0,NA(),IF(CB39=CB39,SUMIF(BI27:BI38,$BX39,BU27:BU38),SUMIF(BI27:BI38,$BX39,BP27:BP38)))</f>
        <v>2</v>
      </c>
      <c r="CA39" s="797" t="e">
        <f>IF(SUMIF($BI27:$BI38,$BX39,$BS27:$BS38)=0,NA(),SUMIF($BI27:$BI38,$BX39,$BS27:$BS38))</f>
        <v>#N/A</v>
      </c>
      <c r="CB39" s="645">
        <f t="shared" si="7"/>
        <v>24</v>
      </c>
      <c r="CC39" s="795">
        <f>MONTH(DATEVALUE(LEFT(BW39,3)&amp;" 1"))</f>
        <v>10</v>
      </c>
    </row>
    <row r="40" spans="2:81" ht="15" customHeight="1">
      <c r="B40" s="187"/>
      <c r="C40" s="187"/>
      <c r="D40" s="187"/>
      <c r="E40" s="187"/>
      <c r="F40" s="187"/>
      <c r="G40" s="187"/>
      <c r="H40" s="187"/>
      <c r="I40" s="187"/>
      <c r="J40" s="187"/>
      <c r="K40" s="187"/>
      <c r="L40" s="187"/>
      <c r="M40" s="187"/>
      <c r="N40" s="187"/>
      <c r="O40" s="187"/>
      <c r="P40" s="187"/>
      <c r="Q40" s="187"/>
      <c r="R40" s="187"/>
      <c r="S40" s="187"/>
      <c r="T40" s="187"/>
      <c r="U40" s="187"/>
      <c r="V40" s="187"/>
      <c r="W40" s="187"/>
      <c r="X40" s="187"/>
      <c r="Y40" s="187"/>
      <c r="Z40" s="187"/>
      <c r="AA40" s="187"/>
      <c r="AB40" s="187"/>
      <c r="AC40" s="187"/>
      <c r="AD40" s="187"/>
      <c r="AE40" s="187"/>
      <c r="AF40" s="187"/>
      <c r="AG40" s="187"/>
      <c r="AH40" s="187"/>
      <c r="AI40" s="187"/>
      <c r="AJ40" s="187"/>
      <c r="AK40" s="187"/>
      <c r="AL40" s="187"/>
      <c r="AM40" s="187"/>
      <c r="AN40" s="187"/>
      <c r="AO40" s="187"/>
      <c r="AP40" s="187"/>
      <c r="AQ40" s="187"/>
      <c r="AR40" s="187"/>
      <c r="AS40" s="187"/>
      <c r="AT40" s="187"/>
      <c r="AU40" s="187"/>
      <c r="AV40" s="187"/>
      <c r="AW40" s="187"/>
      <c r="AX40" s="187"/>
      <c r="AY40" s="187"/>
      <c r="AZ40" s="187"/>
      <c r="BA40" s="187"/>
      <c r="BB40" s="187"/>
      <c r="BC40" s="187"/>
      <c r="BD40" s="187"/>
      <c r="BE40" s="187"/>
      <c r="BF40" s="187"/>
      <c r="BG40" s="187"/>
      <c r="BH40" s="187"/>
      <c r="BW40" s="248"/>
      <c r="BX40" s="248"/>
      <c r="BY40" s="248"/>
      <c r="BZ40" s="248"/>
      <c r="CA40" s="248"/>
      <c r="CB40" s="248"/>
      <c r="CC40" s="248"/>
    </row>
    <row r="41" spans="2:81" ht="15" customHeight="1">
      <c r="B41" s="187"/>
      <c r="C41" s="187"/>
      <c r="D41" s="187"/>
      <c r="E41" s="187"/>
      <c r="F41" s="187"/>
      <c r="G41" s="187"/>
      <c r="H41" s="187"/>
      <c r="I41" s="187"/>
      <c r="J41" s="187"/>
      <c r="K41" s="187"/>
      <c r="L41" s="187"/>
      <c r="M41" s="187"/>
      <c r="N41" s="187"/>
      <c r="O41" s="187"/>
      <c r="P41" s="187"/>
      <c r="Q41" s="187"/>
      <c r="R41" s="187"/>
      <c r="S41" s="187"/>
      <c r="T41" s="187"/>
      <c r="U41" s="187"/>
      <c r="V41" s="187"/>
      <c r="W41" s="187"/>
      <c r="X41" s="187"/>
      <c r="Y41" s="187"/>
      <c r="Z41" s="187"/>
      <c r="AA41" s="187"/>
      <c r="AB41" s="187"/>
      <c r="AC41" s="187"/>
      <c r="AD41" s="187"/>
      <c r="AE41" s="187"/>
      <c r="AF41" s="187"/>
      <c r="AG41" s="187"/>
      <c r="AH41" s="187"/>
      <c r="AI41" s="187"/>
      <c r="AJ41" s="187"/>
      <c r="AK41" s="187"/>
      <c r="AL41" s="187"/>
      <c r="AM41" s="187"/>
      <c r="AN41" s="187"/>
      <c r="AO41" s="187"/>
      <c r="AP41" s="187"/>
      <c r="AQ41" s="187"/>
      <c r="AR41" s="187"/>
      <c r="AS41" s="187"/>
      <c r="AT41" s="187"/>
      <c r="AU41" s="187"/>
      <c r="AV41" s="187"/>
      <c r="AW41" s="187"/>
      <c r="AX41" s="187"/>
      <c r="AY41" s="187"/>
      <c r="AZ41" s="187"/>
      <c r="BA41" s="187"/>
      <c r="BB41" s="187"/>
      <c r="BC41" s="187"/>
      <c r="BD41" s="187"/>
      <c r="BE41" s="187"/>
      <c r="BF41" s="187"/>
      <c r="BG41" s="187"/>
      <c r="BH41" s="187"/>
      <c r="BI41" s="247" t="s">
        <v>292</v>
      </c>
      <c r="BJ41" s="1723" t="s">
        <v>500</v>
      </c>
      <c r="BK41" s="1723"/>
      <c r="BL41" s="1723"/>
      <c r="BM41" s="1723"/>
      <c r="BN41" s="1723"/>
      <c r="BO41" s="1723"/>
      <c r="BP41" s="1723"/>
      <c r="BQ41" s="1723"/>
      <c r="BR41" s="1723"/>
      <c r="BS41" s="1723"/>
      <c r="BT41" s="1723"/>
      <c r="BU41" s="1723"/>
      <c r="BW41" s="248"/>
      <c r="BX41" s="248"/>
    </row>
    <row r="42" spans="2:81" ht="15" customHeight="1">
      <c r="B42" s="187"/>
      <c r="C42" s="187"/>
      <c r="D42" s="187"/>
      <c r="E42" s="187"/>
      <c r="F42" s="187"/>
      <c r="G42" s="187"/>
      <c r="H42" s="187"/>
      <c r="I42" s="187"/>
      <c r="J42" s="187"/>
      <c r="K42" s="187"/>
      <c r="L42" s="187"/>
      <c r="M42" s="187"/>
      <c r="N42" s="187"/>
      <c r="O42" s="187"/>
      <c r="P42" s="187"/>
      <c r="Q42" s="187"/>
      <c r="R42" s="187"/>
      <c r="S42" s="187"/>
      <c r="T42" s="187"/>
      <c r="U42" s="187"/>
      <c r="V42" s="187"/>
      <c r="W42" s="187"/>
      <c r="X42" s="187"/>
      <c r="Y42" s="187"/>
      <c r="Z42" s="187"/>
      <c r="AA42" s="187"/>
      <c r="AB42" s="187"/>
      <c r="AC42" s="187"/>
      <c r="AD42" s="187"/>
      <c r="AE42" s="187"/>
      <c r="AF42" s="187"/>
      <c r="AG42" s="187"/>
      <c r="AH42" s="187"/>
      <c r="AI42" s="187"/>
      <c r="AJ42" s="187"/>
      <c r="AK42" s="187"/>
      <c r="AL42" s="187"/>
      <c r="AM42" s="187"/>
      <c r="AN42" s="187"/>
      <c r="AO42" s="187"/>
      <c r="AP42" s="187"/>
      <c r="AQ42" s="187"/>
      <c r="AR42" s="187"/>
      <c r="AS42" s="187"/>
      <c r="AT42" s="187"/>
      <c r="AU42" s="187"/>
      <c r="AV42" s="187"/>
      <c r="AW42" s="187"/>
      <c r="AX42" s="187"/>
      <c r="AY42" s="187"/>
      <c r="AZ42" s="187"/>
      <c r="BA42" s="187"/>
      <c r="BB42" s="187"/>
      <c r="BC42" s="187"/>
      <c r="BD42" s="187"/>
      <c r="BE42" s="187"/>
      <c r="BF42" s="187"/>
      <c r="BG42" s="187"/>
      <c r="BH42" s="187"/>
      <c r="BI42" s="247" t="s">
        <v>296</v>
      </c>
      <c r="BJ42" s="1723" t="s">
        <v>500</v>
      </c>
      <c r="BK42" s="1723"/>
      <c r="BL42" s="1723"/>
      <c r="BM42" s="1723"/>
      <c r="BN42" s="1723"/>
      <c r="BO42" s="1723"/>
      <c r="BP42" s="1723"/>
      <c r="BQ42" s="1723"/>
      <c r="BR42" s="1723"/>
      <c r="BS42" s="1723"/>
      <c r="BT42" s="1723"/>
      <c r="BU42" s="1723"/>
      <c r="BY42" s="248"/>
      <c r="BZ42" s="248"/>
      <c r="CA42" s="248"/>
      <c r="CB42" s="248"/>
      <c r="CC42" s="248"/>
    </row>
    <row r="43" spans="2:81" ht="15" customHeight="1" thickBot="1">
      <c r="B43" s="187"/>
      <c r="C43" s="187"/>
      <c r="D43" s="187"/>
      <c r="E43" s="187"/>
      <c r="F43" s="187"/>
      <c r="G43" s="187"/>
      <c r="H43" s="187"/>
      <c r="I43" s="187"/>
      <c r="J43" s="187"/>
      <c r="K43" s="187"/>
      <c r="L43" s="187"/>
      <c r="M43" s="187"/>
      <c r="N43" s="187"/>
      <c r="O43" s="187"/>
      <c r="P43" s="187"/>
      <c r="Q43" s="187"/>
      <c r="R43" s="187"/>
      <c r="S43" s="187"/>
      <c r="T43" s="187"/>
      <c r="U43" s="187"/>
      <c r="V43" s="187"/>
      <c r="W43" s="187"/>
      <c r="X43" s="187"/>
      <c r="Y43" s="187"/>
      <c r="Z43" s="187"/>
      <c r="AA43" s="187"/>
      <c r="AB43" s="187"/>
      <c r="AC43" s="187"/>
      <c r="AD43" s="187"/>
      <c r="AE43" s="187"/>
      <c r="AF43" s="187"/>
      <c r="AG43" s="187"/>
      <c r="AH43" s="187"/>
      <c r="AI43" s="187"/>
      <c r="AJ43" s="187"/>
      <c r="AK43" s="187"/>
      <c r="AL43" s="187"/>
      <c r="AM43" s="187"/>
      <c r="AN43" s="187"/>
      <c r="AO43" s="187"/>
      <c r="AP43" s="187"/>
      <c r="AQ43" s="187"/>
      <c r="AR43" s="187"/>
      <c r="AS43" s="187"/>
      <c r="AT43" s="187"/>
      <c r="AU43" s="187"/>
      <c r="AV43" s="187"/>
      <c r="AW43" s="187"/>
      <c r="AX43" s="187"/>
      <c r="AY43" s="187"/>
      <c r="AZ43" s="187"/>
      <c r="BA43" s="187"/>
      <c r="BB43" s="187"/>
      <c r="BC43" s="187"/>
      <c r="BD43" s="187"/>
      <c r="BE43" s="187"/>
      <c r="BF43" s="187"/>
      <c r="BG43" s="187"/>
      <c r="BH43" s="187"/>
      <c r="BI43" s="247" t="s">
        <v>300</v>
      </c>
      <c r="BJ43" s="578" t="s">
        <v>646</v>
      </c>
      <c r="BK43" s="578"/>
      <c r="BL43" s="578"/>
      <c r="BM43" s="578"/>
      <c r="BN43" s="578"/>
      <c r="BO43" s="578"/>
      <c r="BP43" s="578"/>
      <c r="BQ43" s="578"/>
      <c r="BR43" s="578"/>
      <c r="BS43" s="578"/>
      <c r="BT43" s="578"/>
      <c r="BU43" s="578"/>
      <c r="BW43" s="248"/>
      <c r="BX43" s="248"/>
    </row>
    <row r="44" spans="2:81" ht="15" customHeight="1" thickBot="1">
      <c r="B44" s="187"/>
      <c r="C44" s="187"/>
      <c r="D44" s="187"/>
      <c r="E44" s="187"/>
      <c r="F44" s="187"/>
      <c r="G44" s="187"/>
      <c r="H44" s="187"/>
      <c r="I44" s="187"/>
      <c r="J44" s="187"/>
      <c r="K44" s="187"/>
      <c r="L44" s="187"/>
      <c r="M44" s="187"/>
      <c r="N44" s="187"/>
      <c r="O44" s="187"/>
      <c r="P44" s="187"/>
      <c r="Q44" s="187"/>
      <c r="R44" s="187"/>
      <c r="S44" s="187"/>
      <c r="T44" s="187"/>
      <c r="U44" s="187"/>
      <c r="V44" s="187"/>
      <c r="W44" s="187"/>
      <c r="X44" s="187"/>
      <c r="Y44" s="187"/>
      <c r="Z44" s="187"/>
      <c r="AA44" s="187"/>
      <c r="AB44" s="187"/>
      <c r="AC44" s="187"/>
      <c r="AD44" s="187"/>
      <c r="AE44" s="187"/>
      <c r="AF44" s="187"/>
      <c r="AG44" s="187"/>
      <c r="AH44" s="187"/>
      <c r="AI44" s="187"/>
      <c r="AJ44" s="187"/>
      <c r="AK44" s="187"/>
      <c r="AL44" s="187"/>
      <c r="AM44" s="187"/>
      <c r="AN44" s="187"/>
      <c r="AO44" s="187"/>
      <c r="AP44" s="187"/>
      <c r="AQ44" s="187"/>
      <c r="AR44" s="187"/>
      <c r="AS44" s="187"/>
      <c r="AT44" s="187"/>
      <c r="AU44" s="187"/>
      <c r="AV44" s="187"/>
      <c r="AW44" s="187"/>
      <c r="AX44" s="187"/>
      <c r="AY44" s="187"/>
      <c r="AZ44" s="187"/>
      <c r="BA44" s="187"/>
      <c r="BB44" s="187"/>
      <c r="BC44" s="187"/>
      <c r="BD44" s="187"/>
      <c r="BE44" s="187"/>
      <c r="BF44" s="187"/>
      <c r="BG44" s="187"/>
      <c r="BH44" s="187"/>
      <c r="BI44" s="1716" t="s">
        <v>170</v>
      </c>
      <c r="BJ44" s="1717"/>
      <c r="BK44" s="1718"/>
      <c r="BL44" s="1717" t="s">
        <v>302</v>
      </c>
      <c r="BM44" s="1717"/>
      <c r="BN44" s="1717"/>
      <c r="BO44" s="1717"/>
      <c r="BP44" s="1729"/>
      <c r="BQ44" s="1716" t="s">
        <v>719</v>
      </c>
      <c r="BR44" s="1717"/>
      <c r="BS44" s="1717"/>
      <c r="BT44" s="1717"/>
      <c r="BU44" s="1718"/>
      <c r="BW44" s="1716" t="s">
        <v>303</v>
      </c>
      <c r="BX44" s="1717"/>
      <c r="BY44" s="1717"/>
      <c r="BZ44" s="1717"/>
      <c r="CA44" s="1717"/>
      <c r="CB44" s="1717"/>
      <c r="CC44" s="1718"/>
    </row>
    <row r="45" spans="2:81" ht="15" customHeight="1">
      <c r="B45" s="187"/>
      <c r="C45" s="187"/>
      <c r="D45" s="187"/>
      <c r="E45" s="187"/>
      <c r="F45" s="187"/>
      <c r="G45" s="187"/>
      <c r="H45" s="187"/>
      <c r="I45" s="187"/>
      <c r="J45" s="187"/>
      <c r="K45" s="187"/>
      <c r="L45" s="187"/>
      <c r="M45" s="187"/>
      <c r="N45" s="187"/>
      <c r="O45" s="187"/>
      <c r="P45" s="187"/>
      <c r="Q45" s="187"/>
      <c r="R45" s="187"/>
      <c r="S45" s="187"/>
      <c r="T45" s="187"/>
      <c r="U45" s="187"/>
      <c r="V45" s="187"/>
      <c r="W45" s="187"/>
      <c r="X45" s="187"/>
      <c r="Y45" s="187"/>
      <c r="Z45" s="187"/>
      <c r="AA45" s="187"/>
      <c r="AB45" s="187"/>
      <c r="AC45" s="187"/>
      <c r="AD45" s="187"/>
      <c r="AE45" s="187"/>
      <c r="AF45" s="187"/>
      <c r="AG45" s="187"/>
      <c r="AH45" s="187"/>
      <c r="AI45" s="187"/>
      <c r="AJ45" s="187"/>
      <c r="AK45" s="187"/>
      <c r="AL45" s="187"/>
      <c r="AM45" s="187"/>
      <c r="AN45" s="187"/>
      <c r="AO45" s="187"/>
      <c r="AP45" s="187"/>
      <c r="AQ45" s="187"/>
      <c r="AR45" s="187"/>
      <c r="AS45" s="187"/>
      <c r="AT45" s="187"/>
      <c r="AU45" s="187"/>
      <c r="AV45" s="187"/>
      <c r="AW45" s="187"/>
      <c r="AX45" s="187"/>
      <c r="AY45" s="187"/>
      <c r="AZ45" s="187"/>
      <c r="BA45" s="187"/>
      <c r="BB45" s="187"/>
      <c r="BC45" s="187"/>
      <c r="BD45" s="187"/>
      <c r="BE45" s="187"/>
      <c r="BF45" s="187"/>
      <c r="BG45" s="187"/>
      <c r="BH45" s="187"/>
      <c r="BI45" s="253" t="s">
        <v>23</v>
      </c>
      <c r="BJ45" s="253" t="s">
        <v>37</v>
      </c>
      <c r="BK45" s="253" t="s">
        <v>304</v>
      </c>
      <c r="BL45" s="688" t="s">
        <v>305</v>
      </c>
      <c r="BM45" s="688" t="s">
        <v>310</v>
      </c>
      <c r="BN45" s="688" t="s">
        <v>311</v>
      </c>
      <c r="BO45" s="254" t="s">
        <v>312</v>
      </c>
      <c r="BP45" s="688" t="s">
        <v>313</v>
      </c>
      <c r="BQ45" s="688" t="s">
        <v>305</v>
      </c>
      <c r="BR45" s="688" t="s">
        <v>715</v>
      </c>
      <c r="BS45" s="688" t="s">
        <v>716</v>
      </c>
      <c r="BT45" s="254" t="s">
        <v>717</v>
      </c>
      <c r="BU45" s="688" t="s">
        <v>718</v>
      </c>
      <c r="BW45" s="253" t="s">
        <v>314</v>
      </c>
      <c r="BX45" s="253" t="s">
        <v>23</v>
      </c>
      <c r="BY45" s="255" t="s">
        <v>315</v>
      </c>
      <c r="BZ45" s="253" t="s">
        <v>122</v>
      </c>
      <c r="CA45" s="253" t="s">
        <v>316</v>
      </c>
      <c r="CB45" s="253" t="s">
        <v>317</v>
      </c>
      <c r="CC45" s="253" t="s">
        <v>318</v>
      </c>
    </row>
    <row r="46" spans="2:81" ht="15" customHeight="1">
      <c r="B46" s="187"/>
      <c r="C46" s="187"/>
      <c r="D46" s="187"/>
      <c r="E46" s="187"/>
      <c r="F46" s="187"/>
      <c r="G46" s="187"/>
      <c r="H46" s="187"/>
      <c r="I46" s="187"/>
      <c r="J46" s="187"/>
      <c r="K46" s="187"/>
      <c r="L46" s="187"/>
      <c r="M46" s="187"/>
      <c r="N46" s="187"/>
      <c r="O46" s="187"/>
      <c r="P46" s="187"/>
      <c r="Q46" s="187"/>
      <c r="R46" s="187"/>
      <c r="S46" s="187"/>
      <c r="T46" s="187"/>
      <c r="U46" s="187"/>
      <c r="V46" s="187"/>
      <c r="W46" s="187"/>
      <c r="X46" s="187"/>
      <c r="Y46" s="187"/>
      <c r="Z46" s="187"/>
      <c r="AA46" s="187"/>
      <c r="AB46" s="187"/>
      <c r="AC46" s="187"/>
      <c r="AD46" s="187"/>
      <c r="AE46" s="187"/>
      <c r="AF46" s="187"/>
      <c r="AG46" s="187"/>
      <c r="AH46" s="187"/>
      <c r="AI46" s="187"/>
      <c r="AJ46" s="187"/>
      <c r="AK46" s="187"/>
      <c r="AL46" s="187"/>
      <c r="AM46" s="187"/>
      <c r="AN46" s="187"/>
      <c r="AO46" s="187"/>
      <c r="AP46" s="187"/>
      <c r="AQ46" s="187"/>
      <c r="AR46" s="187"/>
      <c r="AS46" s="187"/>
      <c r="AT46" s="187"/>
      <c r="AU46" s="187"/>
      <c r="AV46" s="187"/>
      <c r="AW46" s="187"/>
      <c r="AX46" s="187"/>
      <c r="AY46" s="187"/>
      <c r="AZ46" s="187"/>
      <c r="BA46" s="187"/>
      <c r="BB46" s="187"/>
      <c r="BC46" s="187"/>
      <c r="BD46" s="187"/>
      <c r="BE46" s="187"/>
      <c r="BF46" s="187"/>
      <c r="BG46" s="187"/>
      <c r="BH46" s="187"/>
      <c r="BI46" s="638" t="s">
        <v>319</v>
      </c>
      <c r="BJ46" s="638">
        <v>1</v>
      </c>
      <c r="BK46" s="638" t="s">
        <v>320</v>
      </c>
      <c r="BL46" s="691">
        <f t="shared" ref="BL46:BL57" si="9">BM46*BN46</f>
        <v>0</v>
      </c>
      <c r="BM46" s="679"/>
      <c r="BN46" s="712"/>
      <c r="BO46" s="284">
        <f>IF(SUM(BM46:BM48=0),0,SUM(BL46:BL48)/SUM(BM46:BM48))</f>
        <v>0</v>
      </c>
      <c r="BP46" s="692">
        <v>6.9444444444444447E-4</v>
      </c>
      <c r="BQ46" s="691">
        <f t="shared" ref="BQ46:BQ57" si="10">BR46*BS46</f>
        <v>0</v>
      </c>
      <c r="BR46" s="679"/>
      <c r="BS46" s="712"/>
      <c r="BT46" s="284">
        <f>IF(SUM(BR46:BR48=0),0,SUM(BQ46:BQ48)/SUM(BR46:BR48))</f>
        <v>0</v>
      </c>
      <c r="BU46" s="692">
        <v>6.9444444444444447E-4</v>
      </c>
      <c r="BW46" s="248"/>
      <c r="BX46" s="791" t="str">
        <f t="shared" ref="BX46:BX58" si="11">TEXT(CONCATENATE(CC46,"/01/20",CB46),"MMM")</f>
        <v>Oct</v>
      </c>
      <c r="BY46" s="792">
        <f>IF(CB46=$CB58,SUMIF($BI46:$BI57,$BX46,$BR46:$BR57),SUMIF($BI46:$BI57,$BX46,$BM46:$BM57))</f>
        <v>0</v>
      </c>
      <c r="BZ46" s="691">
        <f>IF(IF(CB46=CB58,SUMIF(BI46:BI57,$BX46,BU46:BU57),SUMIF(BI46:BI57,$BX46,BP46:BP57))=0,NA(),IF(CB46=CB58,SUMIF(BI46:BI57,$BX46,BU46:BU57),SUMIF(BI46:BI57,$BX46,BP46:BP57)))</f>
        <v>6.9444444444444447E-4</v>
      </c>
      <c r="CA46" s="797" t="e">
        <f>IF(IF(CB46=CB58,SUMIF(BI46:BI57,$BX46,BS46:BS57),SUMIF(BI46:BI57,$BX46,BN46:BN57))=0,NA(),IF(CB46=CB58,SUMIF(BI46:BI57,$BX46,BS46:BS57),SUMIF(BI46:BI57,$BX46,BN46:BN57)))</f>
        <v>#N/A</v>
      </c>
      <c r="CB46" s="645">
        <f t="shared" ref="CB46:CB58" si="12">CB27</f>
        <v>23</v>
      </c>
      <c r="CC46" s="795">
        <f t="shared" ref="CC46:CC57" si="13">IF(CC47-1&lt;1,CC47+11,CC47-1)</f>
        <v>10</v>
      </c>
    </row>
    <row r="47" spans="2:81" ht="15" customHeight="1">
      <c r="B47" s="187"/>
      <c r="C47" s="187"/>
      <c r="D47" s="187"/>
      <c r="E47" s="187"/>
      <c r="F47" s="187"/>
      <c r="G47" s="187"/>
      <c r="H47" s="187"/>
      <c r="I47" s="187"/>
      <c r="J47" s="187"/>
      <c r="K47" s="187"/>
      <c r="L47" s="187"/>
      <c r="M47" s="187"/>
      <c r="N47" s="187"/>
      <c r="O47" s="187"/>
      <c r="P47" s="187"/>
      <c r="Q47" s="187"/>
      <c r="R47" s="187"/>
      <c r="S47" s="187"/>
      <c r="T47" s="187"/>
      <c r="U47" s="187"/>
      <c r="V47" s="187"/>
      <c r="W47" s="187"/>
      <c r="X47" s="187"/>
      <c r="Y47" s="187"/>
      <c r="Z47" s="187"/>
      <c r="AA47" s="187"/>
      <c r="AB47" s="187"/>
      <c r="AC47" s="187"/>
      <c r="AD47" s="187"/>
      <c r="AE47" s="187"/>
      <c r="AF47" s="187"/>
      <c r="AG47" s="187"/>
      <c r="AH47" s="187"/>
      <c r="AI47" s="187"/>
      <c r="AJ47" s="187"/>
      <c r="AK47" s="187"/>
      <c r="AL47" s="187"/>
      <c r="AM47" s="187"/>
      <c r="AN47" s="187"/>
      <c r="AO47" s="187"/>
      <c r="AP47" s="187"/>
      <c r="AQ47" s="187"/>
      <c r="AR47" s="187"/>
      <c r="AS47" s="187"/>
      <c r="AT47" s="187"/>
      <c r="AU47" s="187"/>
      <c r="AV47" s="187"/>
      <c r="AW47" s="187"/>
      <c r="AX47" s="187"/>
      <c r="AY47" s="187"/>
      <c r="AZ47" s="187"/>
      <c r="BA47" s="187"/>
      <c r="BB47" s="187"/>
      <c r="BC47" s="187"/>
      <c r="BD47" s="187"/>
      <c r="BE47" s="187"/>
      <c r="BF47" s="187"/>
      <c r="BG47" s="187"/>
      <c r="BH47" s="187"/>
      <c r="BI47" s="638" t="s">
        <v>321</v>
      </c>
      <c r="BJ47" s="638">
        <v>2</v>
      </c>
      <c r="BK47" s="638" t="s">
        <v>320</v>
      </c>
      <c r="BL47" s="691">
        <f t="shared" si="9"/>
        <v>0</v>
      </c>
      <c r="BM47" s="679"/>
      <c r="BN47" s="712"/>
      <c r="BO47" s="285"/>
      <c r="BP47" s="692">
        <v>6.9444444444444447E-4</v>
      </c>
      <c r="BQ47" s="691">
        <f t="shared" si="10"/>
        <v>0</v>
      </c>
      <c r="BR47" s="679"/>
      <c r="BS47" s="712"/>
      <c r="BT47" s="285"/>
      <c r="BU47" s="692">
        <v>6.9444444444444447E-4</v>
      </c>
      <c r="BW47" s="248"/>
      <c r="BX47" s="791" t="str">
        <f t="shared" si="11"/>
        <v>Nov</v>
      </c>
      <c r="BY47" s="792">
        <f>IF(CB47=$CB58,SUMIF($BI46:$BI57,$BX47,$BR46:$BR57),SUMIF($BI46:$BI57,$BX47,$BM46:$BM57))</f>
        <v>0</v>
      </c>
      <c r="BZ47" s="691">
        <f>IF(IF(CB47=CB58,SUMIF(BI46:BI57,$BX47,BU46:BU57),SUMIF(BI46:BI57,$BX47,BP46:BP57))=0,NA(),IF(CB47=CB58,SUMIF(BI46:BI57,$BX47,BU46:BU57),SUMIF(BI46:BI57,$BX47,BP46:BP57)))</f>
        <v>6.9444444444444447E-4</v>
      </c>
      <c r="CA47" s="797" t="e">
        <f>IF(IF(CB47=CB58,SUMIF(BI46:BI57,$BX47,BS46:BS57),SUMIF(BI46:BI57,$BX47,BN46:BN57))=0,NA(),IF(CB47=CB58,SUMIF(BI46:BI57,$BX47,BS46:BS57),SUMIF(BI46:BI57,$BX47,BN46:BN57)))</f>
        <v>#N/A</v>
      </c>
      <c r="CB47" s="645">
        <f t="shared" si="12"/>
        <v>23</v>
      </c>
      <c r="CC47" s="795">
        <f t="shared" si="13"/>
        <v>11</v>
      </c>
    </row>
    <row r="48" spans="2:81" ht="15" customHeight="1">
      <c r="B48" s="187"/>
      <c r="C48" s="187"/>
      <c r="D48" s="187"/>
      <c r="E48" s="187"/>
      <c r="F48" s="187"/>
      <c r="G48" s="187"/>
      <c r="H48" s="187"/>
      <c r="I48" s="187"/>
      <c r="J48" s="187"/>
      <c r="K48" s="187"/>
      <c r="L48" s="187"/>
      <c r="M48" s="187"/>
      <c r="N48" s="187"/>
      <c r="O48" s="187"/>
      <c r="P48" s="187"/>
      <c r="Q48" s="187"/>
      <c r="R48" s="187"/>
      <c r="S48" s="187"/>
      <c r="T48" s="187"/>
      <c r="U48" s="187"/>
      <c r="V48" s="187"/>
      <c r="W48" s="187"/>
      <c r="X48" s="187"/>
      <c r="Y48" s="187"/>
      <c r="Z48" s="187"/>
      <c r="AA48" s="187"/>
      <c r="AB48" s="187"/>
      <c r="AC48" s="187"/>
      <c r="AD48" s="187"/>
      <c r="AE48" s="187"/>
      <c r="AF48" s="187"/>
      <c r="AG48" s="187"/>
      <c r="AH48" s="187"/>
      <c r="AI48" s="187"/>
      <c r="AJ48" s="187"/>
      <c r="AK48" s="187"/>
      <c r="AL48" s="187"/>
      <c r="AM48" s="187"/>
      <c r="AN48" s="187"/>
      <c r="AO48" s="187"/>
      <c r="AP48" s="187"/>
      <c r="AQ48" s="187"/>
      <c r="AR48" s="187"/>
      <c r="AS48" s="187"/>
      <c r="AT48" s="187"/>
      <c r="AU48" s="187"/>
      <c r="AV48" s="187"/>
      <c r="AW48" s="187"/>
      <c r="AX48" s="187"/>
      <c r="AY48" s="187"/>
      <c r="AZ48" s="187"/>
      <c r="BA48" s="187"/>
      <c r="BB48" s="187"/>
      <c r="BC48" s="187"/>
      <c r="BD48" s="187"/>
      <c r="BE48" s="187"/>
      <c r="BF48" s="187"/>
      <c r="BG48" s="187"/>
      <c r="BH48" s="187"/>
      <c r="BI48" s="638" t="s">
        <v>322</v>
      </c>
      <c r="BJ48" s="638">
        <v>3</v>
      </c>
      <c r="BK48" s="638" t="s">
        <v>320</v>
      </c>
      <c r="BL48" s="691">
        <f t="shared" si="9"/>
        <v>0</v>
      </c>
      <c r="BM48" s="679"/>
      <c r="BN48" s="712"/>
      <c r="BO48" s="285"/>
      <c r="BP48" s="692">
        <v>6.9444444444444447E-4</v>
      </c>
      <c r="BQ48" s="691">
        <f t="shared" si="10"/>
        <v>0</v>
      </c>
      <c r="BR48" s="679"/>
      <c r="BS48" s="712"/>
      <c r="BT48" s="285"/>
      <c r="BU48" s="692">
        <v>6.9444444444444447E-4</v>
      </c>
      <c r="BW48" s="248"/>
      <c r="BX48" s="791" t="str">
        <f t="shared" si="11"/>
        <v>Dec</v>
      </c>
      <c r="BY48" s="792">
        <f>IF(CB48=$CB58,SUMIF($BI46:$BI57,$BX48,$BR46:$BR57),SUMIF($BI46:$BI57,$BX48,$BM46:$BM57))</f>
        <v>0</v>
      </c>
      <c r="BZ48" s="691">
        <f>IF(IF(CB48=CB58,SUMIF(BI46:BI57,$BX48,BU46:BU57),SUMIF(BI46:BI57,$BX48,BP46:BP57))=0,NA(),IF(CB48=CB58,SUMIF(BI46:BI57,$BX48,BU46:BU57),SUMIF(BI46:BI57,$BX48,BP46:BP57)))</f>
        <v>6.9444444444444447E-4</v>
      </c>
      <c r="CA48" s="797" t="e">
        <f>IF(IF(CB48=CB58,SUMIF(BI46:BI57,$BX48,BS46:BS57),SUMIF(BI46:BI57,$BX48,BN46:BN57))=0,NA(),IF(CB48=CB58,SUMIF(BI46:BI57,$BX48,BS46:BS57),SUMIF(BI46:BI57,$BX48,BN46:BN57)))</f>
        <v>#N/A</v>
      </c>
      <c r="CB48" s="645">
        <f t="shared" si="12"/>
        <v>23</v>
      </c>
      <c r="CC48" s="795">
        <f t="shared" si="13"/>
        <v>12</v>
      </c>
    </row>
    <row r="49" spans="2:81" ht="15" customHeight="1">
      <c r="B49" s="187"/>
      <c r="C49" s="187"/>
      <c r="D49" s="187"/>
      <c r="E49" s="187"/>
      <c r="F49" s="187"/>
      <c r="G49" s="187"/>
      <c r="H49" s="187"/>
      <c r="I49" s="187"/>
      <c r="J49" s="187"/>
      <c r="K49" s="187"/>
      <c r="L49" s="187"/>
      <c r="M49" s="187"/>
      <c r="N49" s="187"/>
      <c r="O49" s="187"/>
      <c r="P49" s="187"/>
      <c r="Q49" s="187"/>
      <c r="R49" s="187"/>
      <c r="S49" s="187"/>
      <c r="T49" s="187"/>
      <c r="U49" s="187"/>
      <c r="V49" s="187"/>
      <c r="W49" s="187"/>
      <c r="X49" s="187"/>
      <c r="Y49" s="187"/>
      <c r="Z49" s="187"/>
      <c r="AA49" s="187"/>
      <c r="AB49" s="187"/>
      <c r="AC49" s="187"/>
      <c r="AD49" s="187"/>
      <c r="AE49" s="187"/>
      <c r="AF49" s="187"/>
      <c r="AG49" s="187"/>
      <c r="AH49" s="187"/>
      <c r="AI49" s="187"/>
      <c r="AJ49" s="187"/>
      <c r="AK49" s="187"/>
      <c r="AL49" s="187"/>
      <c r="AM49" s="187"/>
      <c r="AN49" s="187"/>
      <c r="AO49" s="187"/>
      <c r="AP49" s="187"/>
      <c r="AQ49" s="187"/>
      <c r="AR49" s="187"/>
      <c r="AS49" s="187"/>
      <c r="AT49" s="187"/>
      <c r="AU49" s="187"/>
      <c r="AV49" s="187"/>
      <c r="AW49" s="187"/>
      <c r="AX49" s="187"/>
      <c r="AY49" s="187"/>
      <c r="AZ49" s="187"/>
      <c r="BA49" s="187"/>
      <c r="BB49" s="187"/>
      <c r="BC49" s="187"/>
      <c r="BD49" s="187"/>
      <c r="BE49" s="187"/>
      <c r="BF49" s="187"/>
      <c r="BG49" s="187"/>
      <c r="BH49" s="187"/>
      <c r="BI49" s="638" t="s">
        <v>323</v>
      </c>
      <c r="BJ49" s="638">
        <v>4</v>
      </c>
      <c r="BK49" s="638" t="s">
        <v>324</v>
      </c>
      <c r="BL49" s="691">
        <f t="shared" si="9"/>
        <v>0</v>
      </c>
      <c r="BM49" s="679"/>
      <c r="BN49" s="712"/>
      <c r="BO49" s="284">
        <f>IF(SUM(BM49:BM51=0),0,SUM(BL49:BL51)/SUM(BM49:BM51))</f>
        <v>0</v>
      </c>
      <c r="BP49" s="692">
        <v>6.9444444444444447E-4</v>
      </c>
      <c r="BQ49" s="691">
        <f t="shared" si="10"/>
        <v>0</v>
      </c>
      <c r="BR49" s="679"/>
      <c r="BS49" s="712"/>
      <c r="BT49" s="284">
        <f>IF(SUM(BR49:BR51=0),0,SUM(BQ49:BQ51)/SUM(BR49:BR51))</f>
        <v>0</v>
      </c>
      <c r="BU49" s="692">
        <v>6.9444444444444447E-4</v>
      </c>
      <c r="BW49" s="248"/>
      <c r="BX49" s="791" t="str">
        <f t="shared" si="11"/>
        <v>Jan</v>
      </c>
      <c r="BY49" s="792">
        <f>IF(CB49=$CB58,SUMIF($BI46:$BI57,$BX49,$BR46:$BR57),SUMIF($BI46:$BI57,$BX49,$BM46:$BM57))</f>
        <v>0</v>
      </c>
      <c r="BZ49" s="691">
        <f>IF(IF(CB49=CB58,SUMIF(BI46:BI57,$BX49,BU46:BU57),SUMIF(BI46:BI57,$BX49,BP46:BP57))=0,NA(),IF(CB49=CB58,SUMIF(BI46:BI57,$BX49,BU46:BU57),SUMIF(BI46:BI57,$BX49,BP46:BP57)))</f>
        <v>6.9444444444444447E-4</v>
      </c>
      <c r="CA49" s="797" t="e">
        <f>IF(IF(CB49=CB58,SUMIF(BI46:BI57,$BX49,BS46:BS57),SUMIF(BI46:BI57,$BX49,BN46:BN57))=0,NA(),IF(CB49=CB58,SUMIF(BI46:BI57,$BX49,BS46:BS57),SUMIF(BI46:BI57,$BX49,BN46:BN57)))</f>
        <v>#N/A</v>
      </c>
      <c r="CB49" s="645">
        <f t="shared" si="12"/>
        <v>23</v>
      </c>
      <c r="CC49" s="795">
        <f t="shared" si="13"/>
        <v>1</v>
      </c>
    </row>
    <row r="50" spans="2:81" ht="15" customHeight="1">
      <c r="B50" s="187"/>
      <c r="C50" s="187"/>
      <c r="D50" s="187"/>
      <c r="E50" s="187"/>
      <c r="F50" s="187"/>
      <c r="G50" s="187"/>
      <c r="H50" s="187"/>
      <c r="I50" s="187"/>
      <c r="J50" s="187"/>
      <c r="K50" s="187"/>
      <c r="L50" s="187"/>
      <c r="M50" s="187"/>
      <c r="N50" s="187"/>
      <c r="O50" s="187"/>
      <c r="P50" s="187"/>
      <c r="Q50" s="187"/>
      <c r="R50" s="187"/>
      <c r="S50" s="187"/>
      <c r="T50" s="187"/>
      <c r="U50" s="187"/>
      <c r="V50" s="187"/>
      <c r="W50" s="187"/>
      <c r="X50" s="187"/>
      <c r="Y50" s="187"/>
      <c r="Z50" s="187"/>
      <c r="AA50" s="187"/>
      <c r="AB50" s="187"/>
      <c r="AC50" s="187"/>
      <c r="AD50" s="187"/>
      <c r="AE50" s="187"/>
      <c r="AF50" s="187"/>
      <c r="AG50" s="187"/>
      <c r="AH50" s="187"/>
      <c r="AI50" s="187"/>
      <c r="AJ50" s="187"/>
      <c r="AK50" s="187"/>
      <c r="AL50" s="187"/>
      <c r="AM50" s="187"/>
      <c r="AN50" s="187"/>
      <c r="AO50" s="187"/>
      <c r="AP50" s="187"/>
      <c r="AQ50" s="187"/>
      <c r="AR50" s="187"/>
      <c r="AS50" s="187"/>
      <c r="AT50" s="187"/>
      <c r="AU50" s="187"/>
      <c r="AV50" s="187"/>
      <c r="AW50" s="187"/>
      <c r="AX50" s="187"/>
      <c r="AY50" s="187"/>
      <c r="AZ50" s="187"/>
      <c r="BA50" s="187"/>
      <c r="BB50" s="187"/>
      <c r="BC50" s="187"/>
      <c r="BD50" s="187"/>
      <c r="BE50" s="187"/>
      <c r="BF50" s="187"/>
      <c r="BG50" s="187"/>
      <c r="BH50" s="187"/>
      <c r="BI50" s="638" t="s">
        <v>325</v>
      </c>
      <c r="BJ50" s="638">
        <v>5</v>
      </c>
      <c r="BK50" s="638" t="s">
        <v>324</v>
      </c>
      <c r="BL50" s="691">
        <f t="shared" si="9"/>
        <v>0</v>
      </c>
      <c r="BM50" s="680"/>
      <c r="BN50" s="712"/>
      <c r="BO50" s="285"/>
      <c r="BP50" s="692">
        <v>6.9444444444444447E-4</v>
      </c>
      <c r="BQ50" s="691">
        <f t="shared" si="10"/>
        <v>0</v>
      </c>
      <c r="BR50" s="680"/>
      <c r="BS50" s="712"/>
      <c r="BT50" s="285"/>
      <c r="BU50" s="692">
        <v>6.9444444444444447E-4</v>
      </c>
      <c r="BW50" s="248"/>
      <c r="BX50" s="791" t="str">
        <f t="shared" si="11"/>
        <v>Feb</v>
      </c>
      <c r="BY50" s="792">
        <f>IF(CB50=$CB58,SUMIF($BI46:$BI57,$BX50,$BR46:$BR57),SUMIF($BI46:$BI57,$BX50,$BM46:$BM57))</f>
        <v>0</v>
      </c>
      <c r="BZ50" s="691">
        <f>IF(IF(CB50=CB58,SUMIF(BI46:BI57,$BX50,BU46:BU57),SUMIF(BI46:BI57,$BX50,BP46:BP57))=0,NA(),IF(CB50=CB58,SUMIF(BI46:BI57,$BX50,BU46:BU57),SUMIF(BI46:BI57,$BX50,BP46:BP57)))</f>
        <v>6.9444444444444447E-4</v>
      </c>
      <c r="CA50" s="797" t="e">
        <f>IF(IF(CB50=CB58,SUMIF(BI46:BI57,$BX50,BS46:BS57),SUMIF(BI46:BI57,$BX50,BN46:BN57))=0,NA(),IF(CB50=CB58,SUMIF(BI46:BI57,$BX50,BS46:BS57),SUMIF(BI46:BI57,$BX50,BN46:BN57)))</f>
        <v>#N/A</v>
      </c>
      <c r="CB50" s="645">
        <f t="shared" si="12"/>
        <v>23</v>
      </c>
      <c r="CC50" s="795">
        <f t="shared" si="13"/>
        <v>2</v>
      </c>
    </row>
    <row r="51" spans="2:81" ht="15" customHeight="1">
      <c r="B51" s="187"/>
      <c r="C51" s="187"/>
      <c r="D51" s="187"/>
      <c r="E51" s="187"/>
      <c r="F51" s="187"/>
      <c r="G51" s="187"/>
      <c r="H51" s="187"/>
      <c r="I51" s="187"/>
      <c r="J51" s="187"/>
      <c r="K51" s="187"/>
      <c r="L51" s="187"/>
      <c r="M51" s="187"/>
      <c r="N51" s="187"/>
      <c r="O51" s="187"/>
      <c r="P51" s="187"/>
      <c r="Q51" s="187"/>
      <c r="R51" s="187"/>
      <c r="S51" s="187"/>
      <c r="T51" s="187"/>
      <c r="U51" s="187"/>
      <c r="V51" s="187"/>
      <c r="W51" s="187"/>
      <c r="X51" s="187"/>
      <c r="Y51" s="187"/>
      <c r="Z51" s="187"/>
      <c r="AA51" s="187"/>
      <c r="AB51" s="187"/>
      <c r="AC51" s="187"/>
      <c r="AD51" s="187"/>
      <c r="AE51" s="187"/>
      <c r="AF51" s="187"/>
      <c r="AG51" s="187"/>
      <c r="AH51" s="187"/>
      <c r="AI51" s="187"/>
      <c r="AJ51" s="187"/>
      <c r="AK51" s="187"/>
      <c r="AL51" s="187"/>
      <c r="AM51" s="187"/>
      <c r="AN51" s="187"/>
      <c r="AO51" s="187"/>
      <c r="AP51" s="187"/>
      <c r="AQ51" s="187"/>
      <c r="AR51" s="187"/>
      <c r="AS51" s="187"/>
      <c r="AT51" s="187"/>
      <c r="AU51" s="187"/>
      <c r="AV51" s="187"/>
      <c r="AW51" s="187"/>
      <c r="AX51" s="187"/>
      <c r="AY51" s="187"/>
      <c r="AZ51" s="187"/>
      <c r="BA51" s="187"/>
      <c r="BB51" s="187"/>
      <c r="BC51" s="187"/>
      <c r="BD51" s="187"/>
      <c r="BE51" s="187"/>
      <c r="BF51" s="187"/>
      <c r="BG51" s="187"/>
      <c r="BH51" s="187"/>
      <c r="BI51" s="638" t="s">
        <v>326</v>
      </c>
      <c r="BJ51" s="638">
        <v>6</v>
      </c>
      <c r="BK51" s="638" t="s">
        <v>324</v>
      </c>
      <c r="BL51" s="691">
        <f t="shared" si="9"/>
        <v>0</v>
      </c>
      <c r="BM51" s="680"/>
      <c r="BN51" s="712"/>
      <c r="BO51" s="285"/>
      <c r="BP51" s="692">
        <v>6.9444444444444447E-4</v>
      </c>
      <c r="BQ51" s="691">
        <f t="shared" si="10"/>
        <v>0</v>
      </c>
      <c r="BR51" s="680"/>
      <c r="BS51" s="712"/>
      <c r="BT51" s="285"/>
      <c r="BU51" s="692">
        <v>6.9444444444444447E-4</v>
      </c>
      <c r="BW51" s="248"/>
      <c r="BX51" s="791" t="str">
        <f t="shared" si="11"/>
        <v>Mar</v>
      </c>
      <c r="BY51" s="792">
        <f>IF(CB51=$CB58,SUMIF($BI46:$BI57,$BX51,$BR46:$BR57),SUMIF($BI46:$BI57,$BX51,$BM46:$BM57))</f>
        <v>0</v>
      </c>
      <c r="BZ51" s="691">
        <f>IF(IF(CB51=CB58,SUMIF(BI46:BI57,$BX51,BU46:BU57),SUMIF(BI46:BI57,$BX51,BP46:BP57))=0,NA(),IF(CB51=CB58,SUMIF(BI46:BI57,$BX51,BU46:BU57),SUMIF(BI46:BI57,$BX51,BP46:BP57)))</f>
        <v>6.9444444444444447E-4</v>
      </c>
      <c r="CA51" s="797" t="e">
        <f>IF(IF(CB51=CB58,SUMIF(BI46:BI57,$BX51,BS46:BS57),SUMIF(BI46:BI57,$BX51,BN46:BN57))=0,NA(),IF(CB51=CB58,SUMIF(BI46:BI57,$BX51,BS46:BS57),SUMIF(BI46:BI57,$BX51,BN46:BN57)))</f>
        <v>#N/A</v>
      </c>
      <c r="CB51" s="645">
        <f t="shared" si="12"/>
        <v>23</v>
      </c>
      <c r="CC51" s="795">
        <f t="shared" si="13"/>
        <v>3</v>
      </c>
    </row>
    <row r="52" spans="2:81" ht="15" customHeight="1">
      <c r="B52" s="187"/>
      <c r="C52" s="187"/>
      <c r="D52" s="187"/>
      <c r="E52" s="187"/>
      <c r="F52" s="187"/>
      <c r="G52" s="187"/>
      <c r="H52" s="187"/>
      <c r="I52" s="187"/>
      <c r="J52" s="187"/>
      <c r="K52" s="187"/>
      <c r="L52" s="187"/>
      <c r="M52" s="187"/>
      <c r="N52" s="187"/>
      <c r="O52" s="187"/>
      <c r="P52" s="187"/>
      <c r="Q52" s="187"/>
      <c r="R52" s="187"/>
      <c r="S52" s="187"/>
      <c r="T52" s="187"/>
      <c r="U52" s="187"/>
      <c r="V52" s="187"/>
      <c r="W52" s="187"/>
      <c r="X52" s="187"/>
      <c r="Y52" s="187"/>
      <c r="Z52" s="187"/>
      <c r="AA52" s="187"/>
      <c r="AB52" s="187"/>
      <c r="AC52" s="187"/>
      <c r="AD52" s="187"/>
      <c r="AE52" s="187"/>
      <c r="AF52" s="187"/>
      <c r="AG52" s="187"/>
      <c r="AH52" s="187"/>
      <c r="AI52" s="187"/>
      <c r="AJ52" s="187"/>
      <c r="AK52" s="187"/>
      <c r="AL52" s="187"/>
      <c r="AM52" s="187"/>
      <c r="AN52" s="187"/>
      <c r="AO52" s="187"/>
      <c r="AP52" s="187"/>
      <c r="AQ52" s="187"/>
      <c r="AR52" s="187"/>
      <c r="AS52" s="187"/>
      <c r="AT52" s="187"/>
      <c r="AU52" s="187"/>
      <c r="AV52" s="187"/>
      <c r="AW52" s="187"/>
      <c r="AX52" s="187"/>
      <c r="AY52" s="187"/>
      <c r="AZ52" s="187"/>
      <c r="BA52" s="187"/>
      <c r="BB52" s="187"/>
      <c r="BC52" s="187"/>
      <c r="BD52" s="187"/>
      <c r="BE52" s="187"/>
      <c r="BF52" s="187"/>
      <c r="BG52" s="187"/>
      <c r="BH52" s="187"/>
      <c r="BI52" s="638" t="s">
        <v>327</v>
      </c>
      <c r="BJ52" s="638">
        <v>7</v>
      </c>
      <c r="BK52" s="638" t="s">
        <v>328</v>
      </c>
      <c r="BL52" s="691">
        <f t="shared" si="9"/>
        <v>0</v>
      </c>
      <c r="BM52" s="680"/>
      <c r="BN52" s="786"/>
      <c r="BO52" s="284">
        <f>IF(SUM(BM52:BM54=0),0,SUM(BL52:BL54)/SUM(BM52:BM54))</f>
        <v>0</v>
      </c>
      <c r="BP52" s="692">
        <v>6.9444444444444447E-4</v>
      </c>
      <c r="BQ52" s="691">
        <f t="shared" si="10"/>
        <v>0</v>
      </c>
      <c r="BR52" s="680"/>
      <c r="BS52" s="786"/>
      <c r="BT52" s="284">
        <f>IF(SUM(BR52:BR54=0),0,SUM(BQ52:BQ54)/SUM(BR52:BR54))</f>
        <v>0</v>
      </c>
      <c r="BU52" s="692">
        <v>6.9444444444444447E-4</v>
      </c>
      <c r="BW52" s="248"/>
      <c r="BX52" s="791" t="str">
        <f t="shared" si="11"/>
        <v>Apr</v>
      </c>
      <c r="BY52" s="792">
        <f>IF(CB52=$CB58,SUMIF($BI46:$BI57,$BX52,$BR46:$BR57),SUMIF($BI46:$BI57,$BX52,$BM46:$BM57))</f>
        <v>0</v>
      </c>
      <c r="BZ52" s="691">
        <f>IF(IF(CB52=CB58,SUMIF(BI46:BI57,$BX52,BU46:BU57),SUMIF(BI46:BI57,$BX52,BP46:BP57))=0,NA(),IF(CB52=CB58,SUMIF(BI46:BI57,$BX52,BU46:BU57),SUMIF(BI46:BI57,$BX52,BP46:BP57)))</f>
        <v>6.9444444444444447E-4</v>
      </c>
      <c r="CA52" s="797" t="e">
        <f>IF(IF(CB52=CB58,SUMIF(BI46:BI57,$BX52,BS46:BS57),SUMIF(BI46:BI57,$BX52,BN46:BN57))=0,NA(),IF(CB52=CB58,SUMIF(BI46:BI57,$BX52,BS46:BS57),SUMIF(BI46:BI57,$BX52,BN46:BN57)))</f>
        <v>#N/A</v>
      </c>
      <c r="CB52" s="645">
        <f t="shared" si="12"/>
        <v>23</v>
      </c>
      <c r="CC52" s="795">
        <f t="shared" si="13"/>
        <v>4</v>
      </c>
    </row>
    <row r="53" spans="2:81" ht="15" customHeight="1">
      <c r="B53" s="187"/>
      <c r="C53" s="187"/>
      <c r="D53" s="187"/>
      <c r="E53" s="187"/>
      <c r="F53" s="187"/>
      <c r="G53" s="187"/>
      <c r="H53" s="187"/>
      <c r="I53" s="187"/>
      <c r="J53" s="187"/>
      <c r="K53" s="187"/>
      <c r="L53" s="187"/>
      <c r="M53" s="187"/>
      <c r="N53" s="187"/>
      <c r="O53" s="187"/>
      <c r="P53" s="187"/>
      <c r="Q53" s="187"/>
      <c r="R53" s="187"/>
      <c r="S53" s="187"/>
      <c r="T53" s="187"/>
      <c r="U53" s="187"/>
      <c r="V53" s="187"/>
      <c r="W53" s="187"/>
      <c r="X53" s="187"/>
      <c r="Y53" s="187"/>
      <c r="Z53" s="187"/>
      <c r="AA53" s="187"/>
      <c r="AB53" s="187"/>
      <c r="AC53" s="187"/>
      <c r="AD53" s="187"/>
      <c r="AE53" s="187"/>
      <c r="AF53" s="187"/>
      <c r="AG53" s="187"/>
      <c r="AH53" s="187"/>
      <c r="AI53" s="187"/>
      <c r="AJ53" s="187"/>
      <c r="AK53" s="187"/>
      <c r="AL53" s="187"/>
      <c r="AM53" s="187"/>
      <c r="AN53" s="187"/>
      <c r="AO53" s="187"/>
      <c r="AP53" s="187"/>
      <c r="AQ53" s="187"/>
      <c r="AR53" s="187"/>
      <c r="AS53" s="187"/>
      <c r="AT53" s="187"/>
      <c r="AU53" s="187"/>
      <c r="AV53" s="187"/>
      <c r="AW53" s="187"/>
      <c r="AX53" s="187"/>
      <c r="AY53" s="187"/>
      <c r="AZ53" s="187"/>
      <c r="BA53" s="187"/>
      <c r="BB53" s="187"/>
      <c r="BC53" s="187"/>
      <c r="BD53" s="187"/>
      <c r="BE53" s="187"/>
      <c r="BF53" s="187"/>
      <c r="BG53" s="187"/>
      <c r="BH53" s="187"/>
      <c r="BI53" s="638" t="s">
        <v>329</v>
      </c>
      <c r="BJ53" s="638">
        <v>8</v>
      </c>
      <c r="BK53" s="638" t="s">
        <v>328</v>
      </c>
      <c r="BL53" s="691">
        <f t="shared" si="9"/>
        <v>0</v>
      </c>
      <c r="BM53" s="680"/>
      <c r="BN53" s="786"/>
      <c r="BO53" s="404"/>
      <c r="BP53" s="692">
        <v>6.9444444444444447E-4</v>
      </c>
      <c r="BQ53" s="691">
        <f t="shared" si="10"/>
        <v>0</v>
      </c>
      <c r="BR53" s="680"/>
      <c r="BS53" s="786"/>
      <c r="BT53" s="404"/>
      <c r="BU53" s="692">
        <v>6.9444444444444447E-4</v>
      </c>
      <c r="BW53" s="248"/>
      <c r="BX53" s="791" t="str">
        <f t="shared" si="11"/>
        <v>May</v>
      </c>
      <c r="BY53" s="792">
        <f>IF(CB53=$CB58,SUMIF($BI46:$BI57,$BX53,$BR46:$BR57),SUMIF($BI46:$BI57,$BX53,$BM46:$BM57))</f>
        <v>0</v>
      </c>
      <c r="BZ53" s="691">
        <f>IF(IF(CB53=CB58,SUMIF(BI46:BI57,$BX53,BU46:BU57),SUMIF(BI46:BI57,$BX53,BP46:BP57))=0,NA(),IF(CB53=CB58,SUMIF(BI46:BI57,$BX53,BU46:BU57),SUMIF(BI46:BI57,$BX53,BP46:BP57)))</f>
        <v>6.9444444444444447E-4</v>
      </c>
      <c r="CA53" s="797" t="e">
        <f>IF(IF(CB53=CB58,SUMIF(BI46:BI57,$BX53,BS46:BS57),SUMIF(BI46:BI57,$BX53,BN46:BN57))=0,NA(),IF(CB53=CB58,SUMIF(BI46:BI57,$BX53,BS46:BS57),SUMIF(BI46:BI57,$BX53,BN46:BN57)))</f>
        <v>#N/A</v>
      </c>
      <c r="CB53" s="645">
        <f t="shared" si="12"/>
        <v>23</v>
      </c>
      <c r="CC53" s="795">
        <f t="shared" si="13"/>
        <v>5</v>
      </c>
    </row>
    <row r="54" spans="2:81" ht="15" customHeight="1">
      <c r="B54" s="187"/>
      <c r="C54" s="187"/>
      <c r="D54" s="187"/>
      <c r="E54" s="187"/>
      <c r="F54" s="187"/>
      <c r="G54" s="187"/>
      <c r="H54" s="187"/>
      <c r="I54" s="187"/>
      <c r="J54" s="187"/>
      <c r="K54" s="187"/>
      <c r="L54" s="187"/>
      <c r="M54" s="187"/>
      <c r="N54" s="187"/>
      <c r="O54" s="187"/>
      <c r="P54" s="187"/>
      <c r="Q54" s="187"/>
      <c r="R54" s="187"/>
      <c r="S54" s="187"/>
      <c r="T54" s="187"/>
      <c r="U54" s="187"/>
      <c r="V54" s="187"/>
      <c r="W54" s="187"/>
      <c r="X54" s="187"/>
      <c r="Y54" s="187"/>
      <c r="Z54" s="187"/>
      <c r="AA54" s="187"/>
      <c r="AB54" s="187"/>
      <c r="AC54" s="187"/>
      <c r="AD54" s="187"/>
      <c r="AE54" s="187"/>
      <c r="AF54" s="187"/>
      <c r="AG54" s="187"/>
      <c r="AH54" s="187"/>
      <c r="AI54" s="187"/>
      <c r="AJ54" s="187"/>
      <c r="AK54" s="187"/>
      <c r="AL54" s="187"/>
      <c r="AM54" s="187"/>
      <c r="AN54" s="187"/>
      <c r="AO54" s="187"/>
      <c r="AP54" s="187"/>
      <c r="AQ54" s="187"/>
      <c r="AR54" s="187"/>
      <c r="AS54" s="187"/>
      <c r="AT54" s="187"/>
      <c r="AU54" s="187"/>
      <c r="AV54" s="187"/>
      <c r="AW54" s="187"/>
      <c r="AX54" s="187"/>
      <c r="AY54" s="187"/>
      <c r="AZ54" s="187"/>
      <c r="BA54" s="187"/>
      <c r="BB54" s="187"/>
      <c r="BC54" s="187"/>
      <c r="BD54" s="187"/>
      <c r="BE54" s="187"/>
      <c r="BF54" s="187"/>
      <c r="BG54" s="187"/>
      <c r="BH54" s="187"/>
      <c r="BI54" s="638" t="s">
        <v>331</v>
      </c>
      <c r="BJ54" s="638">
        <v>9</v>
      </c>
      <c r="BK54" s="638" t="s">
        <v>328</v>
      </c>
      <c r="BL54" s="691">
        <f t="shared" si="9"/>
        <v>0</v>
      </c>
      <c r="BM54" s="680"/>
      <c r="BN54" s="786"/>
      <c r="BO54" s="285"/>
      <c r="BP54" s="692">
        <v>6.9444444444444447E-4</v>
      </c>
      <c r="BQ54" s="691">
        <f t="shared" si="10"/>
        <v>0</v>
      </c>
      <c r="BR54" s="680"/>
      <c r="BS54" s="786"/>
      <c r="BT54" s="285"/>
      <c r="BU54" s="692">
        <v>6.9444444444444447E-4</v>
      </c>
      <c r="BW54" s="248"/>
      <c r="BX54" s="791" t="str">
        <f t="shared" si="11"/>
        <v>Jun</v>
      </c>
      <c r="BY54" s="792">
        <f>IF(CB54=$CB58,SUMIF($BI46:$BI57,$BX54,$BR46:$BR57),SUMIF($BI46:$BI57,$BX54,$BM46:$BM57))</f>
        <v>0</v>
      </c>
      <c r="BZ54" s="691">
        <f>IF(IF(CB54=CB58,SUMIF(BI46:BI57,$BX54,BU46:BU57),SUMIF(BI46:BI57,$BX54,BP46:BP57))=0,NA(),IF(CB54=CB58,SUMIF(BI46:BI57,$BX54,BU46:BU57),SUMIF(BI46:BI57,$BX54,BP46:BP57)))</f>
        <v>6.9444444444444447E-4</v>
      </c>
      <c r="CA54" s="797" t="e">
        <f>IF(IF(CB54=CB58,SUMIF(BI46:BI57,$BX54,BS46:BS57),SUMIF(BI46:BI57,$BX54,BN46:BN57))=0,NA(),IF(CB54=CB58,SUMIF(BI46:BI57,$BX54,BS46:BS57),SUMIF(BI46:BI57,$BX54,BN46:BN57)))</f>
        <v>#N/A</v>
      </c>
      <c r="CB54" s="645">
        <f t="shared" si="12"/>
        <v>23</v>
      </c>
      <c r="CC54" s="795">
        <f t="shared" si="13"/>
        <v>6</v>
      </c>
    </row>
    <row r="55" spans="2:81" ht="15" customHeight="1">
      <c r="B55" s="187"/>
      <c r="C55" s="187"/>
      <c r="D55" s="187"/>
      <c r="E55" s="187"/>
      <c r="F55" s="187"/>
      <c r="G55" s="187"/>
      <c r="H55" s="187"/>
      <c r="I55" s="187"/>
      <c r="J55" s="187"/>
      <c r="K55" s="187"/>
      <c r="L55" s="187"/>
      <c r="M55" s="187"/>
      <c r="N55" s="187"/>
      <c r="O55" s="187"/>
      <c r="P55" s="187"/>
      <c r="Q55" s="187"/>
      <c r="R55" s="187"/>
      <c r="S55" s="187"/>
      <c r="T55" s="187"/>
      <c r="U55" s="187"/>
      <c r="V55" s="187"/>
      <c r="W55" s="187"/>
      <c r="X55" s="187"/>
      <c r="Y55" s="187"/>
      <c r="Z55" s="187"/>
      <c r="AA55" s="187"/>
      <c r="AB55" s="187"/>
      <c r="AC55" s="187"/>
      <c r="AD55" s="187"/>
      <c r="AE55" s="187"/>
      <c r="AF55" s="187"/>
      <c r="AG55" s="187"/>
      <c r="AH55" s="187"/>
      <c r="AI55" s="187"/>
      <c r="AJ55" s="187"/>
      <c r="AK55" s="187"/>
      <c r="AL55" s="187"/>
      <c r="AM55" s="187"/>
      <c r="AN55" s="187"/>
      <c r="AO55" s="187"/>
      <c r="AP55" s="187"/>
      <c r="AQ55" s="187"/>
      <c r="AR55" s="187"/>
      <c r="AS55" s="187"/>
      <c r="AT55" s="187"/>
      <c r="AU55" s="187"/>
      <c r="AV55" s="187"/>
      <c r="AW55" s="187"/>
      <c r="AX55" s="187"/>
      <c r="AY55" s="187"/>
      <c r="AZ55" s="187"/>
      <c r="BA55" s="187"/>
      <c r="BB55" s="187"/>
      <c r="BC55" s="187"/>
      <c r="BD55" s="187"/>
      <c r="BE55" s="187"/>
      <c r="BF55" s="187"/>
      <c r="BG55" s="187"/>
      <c r="BH55" s="187"/>
      <c r="BI55" s="638" t="s">
        <v>337</v>
      </c>
      <c r="BJ55" s="638">
        <v>10</v>
      </c>
      <c r="BK55" s="638" t="s">
        <v>338</v>
      </c>
      <c r="BL55" s="691">
        <f t="shared" si="9"/>
        <v>0</v>
      </c>
      <c r="BM55" s="680"/>
      <c r="BN55" s="786"/>
      <c r="BO55" s="284">
        <f>IF(SUM(BM55:BM57=0),0,SUM(BL55:BL57)/SUM(BM55:BM57))</f>
        <v>0</v>
      </c>
      <c r="BP55" s="692">
        <v>6.9444444444444447E-4</v>
      </c>
      <c r="BQ55" s="691">
        <f t="shared" si="10"/>
        <v>0</v>
      </c>
      <c r="BR55" s="680"/>
      <c r="BS55" s="786"/>
      <c r="BT55" s="284">
        <f>IF(SUM(BR55:BR57=0),0,SUM(BQ55:BQ57)/SUM(BR55:BR57))</f>
        <v>0</v>
      </c>
      <c r="BU55" s="692">
        <v>6.9444444444444447E-4</v>
      </c>
      <c r="BW55" s="248"/>
      <c r="BX55" s="791" t="str">
        <f t="shared" si="11"/>
        <v>Jul</v>
      </c>
      <c r="BY55" s="792">
        <f>IF(CB55=$CB58,SUMIF($BI46:$BI57,$BX55,$BR46:$BR57),SUMIF($BI46:$BI57,$BX55,$BM46:$BM57))</f>
        <v>0</v>
      </c>
      <c r="BZ55" s="691">
        <f>IF(IF(CB55=CB58,SUMIF(BI46:BI57,$BX55,BU46:BU57),SUMIF(BI46:BI57,$BX55,BP46:BP57))=0,NA(),IF(CB55=CB58,SUMIF(BI46:BI57,$BX55,BU46:BU57),SUMIF(BI46:BI57,$BX55,BP46:BP57)))</f>
        <v>6.9444444444444447E-4</v>
      </c>
      <c r="CA55" s="797" t="e">
        <f>IF(IF(CB55=CB58,SUMIF(BI46:BI57,$BX55,BS46:BS57),SUMIF(BI46:BI57,$BX55,BN46:BN57))=0,NA(),IF(CB55=CB58,SUMIF(BI46:BI57,$BX55,BS46:BS57),SUMIF(BI46:BI57,$BX55,BN46:BN57)))</f>
        <v>#N/A</v>
      </c>
      <c r="CB55" s="645">
        <f t="shared" si="12"/>
        <v>23</v>
      </c>
      <c r="CC55" s="795">
        <f t="shared" si="13"/>
        <v>7</v>
      </c>
    </row>
    <row r="56" spans="2:81" ht="15" customHeight="1">
      <c r="B56" s="187"/>
      <c r="C56" s="187"/>
      <c r="D56" s="187"/>
      <c r="E56" s="187"/>
      <c r="F56" s="187"/>
      <c r="G56" s="187"/>
      <c r="H56" s="187"/>
      <c r="I56" s="187"/>
      <c r="J56" s="187"/>
      <c r="K56" s="187"/>
      <c r="L56" s="187"/>
      <c r="M56" s="187"/>
      <c r="N56" s="187"/>
      <c r="O56" s="187"/>
      <c r="P56" s="187"/>
      <c r="Q56" s="187"/>
      <c r="R56" s="187"/>
      <c r="S56" s="187"/>
      <c r="T56" s="187"/>
      <c r="U56" s="187"/>
      <c r="V56" s="187"/>
      <c r="W56" s="187"/>
      <c r="X56" s="187"/>
      <c r="Y56" s="187"/>
      <c r="Z56" s="187"/>
      <c r="AA56" s="187"/>
      <c r="AB56" s="187"/>
      <c r="AC56" s="187"/>
      <c r="AD56" s="187"/>
      <c r="AE56" s="187"/>
      <c r="AF56" s="187"/>
      <c r="AG56" s="187"/>
      <c r="AH56" s="187"/>
      <c r="AI56" s="187"/>
      <c r="AJ56" s="187"/>
      <c r="AK56" s="187"/>
      <c r="AL56" s="187"/>
      <c r="AM56" s="187"/>
      <c r="AN56" s="187"/>
      <c r="AO56" s="187"/>
      <c r="AP56" s="187"/>
      <c r="AQ56" s="187"/>
      <c r="AR56" s="187"/>
      <c r="AS56" s="187"/>
      <c r="AT56" s="187"/>
      <c r="AU56" s="187"/>
      <c r="AV56" s="187"/>
      <c r="AW56" s="187"/>
      <c r="AX56" s="187"/>
      <c r="AY56" s="187"/>
      <c r="AZ56" s="187"/>
      <c r="BA56" s="187"/>
      <c r="BB56" s="187"/>
      <c r="BC56" s="187"/>
      <c r="BD56" s="187"/>
      <c r="BE56" s="187"/>
      <c r="BF56" s="187"/>
      <c r="BG56" s="187"/>
      <c r="BH56" s="187"/>
      <c r="BI56" s="638" t="s">
        <v>343</v>
      </c>
      <c r="BJ56" s="638">
        <v>11</v>
      </c>
      <c r="BK56" s="638" t="s">
        <v>338</v>
      </c>
      <c r="BL56" s="691">
        <f t="shared" si="9"/>
        <v>0</v>
      </c>
      <c r="BM56" s="680"/>
      <c r="BN56" s="786"/>
      <c r="BO56" s="404"/>
      <c r="BP56" s="692">
        <v>6.9444444444444447E-4</v>
      </c>
      <c r="BQ56" s="691">
        <f t="shared" si="10"/>
        <v>0</v>
      </c>
      <c r="BR56" s="680"/>
      <c r="BS56" s="786"/>
      <c r="BT56" s="404"/>
      <c r="BU56" s="692">
        <v>6.9444444444444447E-4</v>
      </c>
      <c r="BW56" s="248"/>
      <c r="BX56" s="791" t="str">
        <f t="shared" si="11"/>
        <v>Aug</v>
      </c>
      <c r="BY56" s="792">
        <f>IF(CB56=$CB58,SUMIF($BI46:$BI57,$BX56,$BR46:$BR57),SUMIF($BI46:$BI57,$BX56,$BM46:$BM57))</f>
        <v>0</v>
      </c>
      <c r="BZ56" s="691">
        <f>IF(IF(CB56=CB58,SUMIF(BI46:BI57,$BX56,BU46:BU57),SUMIF(BI46:BI57,$BX56,BP46:BP57))=0,NA(),IF(CB56=CB58,SUMIF(BI46:BI57,$BX56,BU46:BU57),SUMIF(BI46:BI57,$BX56,BP46:BP57)))</f>
        <v>6.9444444444444447E-4</v>
      </c>
      <c r="CA56" s="797" t="e">
        <f>IF(IF(CB56=CB58,SUMIF(BI46:BI57,$BX56,BS46:BS57),SUMIF(BI46:BI57,$BX56,BN46:BN57))=0,NA(),IF(CB56=CB58,SUMIF(BI46:BI57,$BX56,BS46:BS57),SUMIF(BI46:BI57,$BX56,BN46:BN57)))</f>
        <v>#N/A</v>
      </c>
      <c r="CB56" s="645">
        <f t="shared" si="12"/>
        <v>23</v>
      </c>
      <c r="CC56" s="795">
        <f t="shared" si="13"/>
        <v>8</v>
      </c>
    </row>
    <row r="57" spans="2:81" ht="15" customHeight="1">
      <c r="B57" s="187"/>
      <c r="C57" s="187"/>
      <c r="D57" s="187"/>
      <c r="E57" s="187"/>
      <c r="F57" s="187"/>
      <c r="G57" s="187"/>
      <c r="H57" s="187"/>
      <c r="I57" s="187"/>
      <c r="J57" s="187"/>
      <c r="K57" s="187"/>
      <c r="L57" s="187"/>
      <c r="M57" s="187"/>
      <c r="N57" s="187"/>
      <c r="O57" s="187"/>
      <c r="P57" s="187"/>
      <c r="Q57" s="187"/>
      <c r="R57" s="187"/>
      <c r="S57" s="187"/>
      <c r="T57" s="187"/>
      <c r="U57" s="187"/>
      <c r="V57" s="187"/>
      <c r="W57" s="187"/>
      <c r="X57" s="187"/>
      <c r="Y57" s="187"/>
      <c r="Z57" s="187"/>
      <c r="AA57" s="187"/>
      <c r="AB57" s="187"/>
      <c r="AC57" s="187"/>
      <c r="AD57" s="187"/>
      <c r="AE57" s="187"/>
      <c r="AF57" s="187"/>
      <c r="AG57" s="187"/>
      <c r="AH57" s="187"/>
      <c r="AI57" s="187"/>
      <c r="AJ57" s="187"/>
      <c r="AK57" s="187"/>
      <c r="AL57" s="187"/>
      <c r="AM57" s="187"/>
      <c r="AN57" s="187"/>
      <c r="AO57" s="187"/>
      <c r="AP57" s="187"/>
      <c r="AQ57" s="187"/>
      <c r="AR57" s="187"/>
      <c r="AS57" s="187"/>
      <c r="AT57" s="187"/>
      <c r="AU57" s="187"/>
      <c r="AV57" s="187"/>
      <c r="AW57" s="187"/>
      <c r="AX57" s="187"/>
      <c r="AY57" s="187"/>
      <c r="AZ57" s="187"/>
      <c r="BA57" s="187"/>
      <c r="BB57" s="187"/>
      <c r="BC57" s="187"/>
      <c r="BD57" s="187"/>
      <c r="BE57" s="187"/>
      <c r="BF57" s="187"/>
      <c r="BG57" s="187"/>
      <c r="BH57" s="187"/>
      <c r="BI57" s="638" t="s">
        <v>344</v>
      </c>
      <c r="BJ57" s="638">
        <v>12</v>
      </c>
      <c r="BK57" s="638" t="s">
        <v>338</v>
      </c>
      <c r="BL57" s="691">
        <f t="shared" si="9"/>
        <v>0</v>
      </c>
      <c r="BM57" s="680"/>
      <c r="BN57" s="786"/>
      <c r="BO57" s="285"/>
      <c r="BP57" s="692">
        <v>6.9444444444444447E-4</v>
      </c>
      <c r="BQ57" s="691">
        <f t="shared" si="10"/>
        <v>0</v>
      </c>
      <c r="BR57" s="680"/>
      <c r="BS57" s="786"/>
      <c r="BT57" s="285"/>
      <c r="BU57" s="692">
        <v>6.9444444444444447E-4</v>
      </c>
      <c r="BW57" s="248"/>
      <c r="BX57" s="791" t="str">
        <f t="shared" si="11"/>
        <v>Sep</v>
      </c>
      <c r="BY57" s="792">
        <f>IF(CB57=$CB58,SUMIF($BI46:$BI57,$BX57,$BR46:$BR57),SUMIF($BI46:$BI57,$BX57,$BM46:$BM57))</f>
        <v>0</v>
      </c>
      <c r="BZ57" s="691">
        <f>IF(IF(CB57=CB58,SUMIF(BI46:BI57,$BX57,BU46:BU57),SUMIF(BI46:BI57,$BX57,BP46:BP57))=0,NA(),IF(CB57=CB58,SUMIF(BI46:BI57,$BX57,BU46:BU57),SUMIF(BI46:BI57,$BX57,BP46:BP57)))</f>
        <v>6.9444444444444447E-4</v>
      </c>
      <c r="CA57" s="797" t="e">
        <f>IF(IF(CB57=CB58,SUMIF(BI46:BI57,$BX57,BS46:BS57),SUMIF(BI46:BI57,$BX57,BN46:BN57))=0,NA(),IF(CB57=CB58,SUMIF(BI46:BI57,$BX57,BS46:BS57),SUMIF(BI46:BI57,$BX57,BN46:BN57)))</f>
        <v>#N/A</v>
      </c>
      <c r="CB57" s="645">
        <f t="shared" si="12"/>
        <v>23</v>
      </c>
      <c r="CC57" s="795">
        <f t="shared" si="13"/>
        <v>9</v>
      </c>
    </row>
    <row r="58" spans="2:81" ht="15" customHeight="1">
      <c r="B58" s="187"/>
      <c r="C58" s="187"/>
      <c r="D58" s="187"/>
      <c r="E58" s="187"/>
      <c r="F58" s="187"/>
      <c r="G58" s="187"/>
      <c r="H58" s="187"/>
      <c r="I58" s="187"/>
      <c r="J58" s="187"/>
      <c r="K58" s="187"/>
      <c r="L58" s="187"/>
      <c r="M58" s="187"/>
      <c r="N58" s="187"/>
      <c r="O58" s="187"/>
      <c r="P58" s="187"/>
      <c r="Q58" s="187"/>
      <c r="R58" s="187"/>
      <c r="S58" s="187"/>
      <c r="T58" s="187"/>
      <c r="U58" s="187"/>
      <c r="V58" s="187"/>
      <c r="W58" s="187"/>
      <c r="X58" s="187"/>
      <c r="Y58" s="187"/>
      <c r="Z58" s="187"/>
      <c r="AA58" s="187"/>
      <c r="AB58" s="187"/>
      <c r="AC58" s="187"/>
      <c r="AD58" s="187"/>
      <c r="AE58" s="187"/>
      <c r="AF58" s="187"/>
      <c r="AG58" s="187"/>
      <c r="AH58" s="187"/>
      <c r="AI58" s="187"/>
      <c r="AJ58" s="187"/>
      <c r="AK58" s="187"/>
      <c r="AL58" s="187"/>
      <c r="AM58" s="187"/>
      <c r="AN58" s="187"/>
      <c r="AO58" s="187"/>
      <c r="AP58" s="187"/>
      <c r="AQ58" s="187"/>
      <c r="AR58" s="187"/>
      <c r="AS58" s="187"/>
      <c r="AT58" s="187"/>
      <c r="AU58" s="187"/>
      <c r="AV58" s="187"/>
      <c r="AW58" s="187"/>
      <c r="AX58" s="187"/>
      <c r="AY58" s="187"/>
      <c r="AZ58" s="187"/>
      <c r="BA58" s="187"/>
      <c r="BB58" s="187"/>
      <c r="BC58" s="187"/>
      <c r="BD58" s="187"/>
      <c r="BE58" s="187"/>
      <c r="BF58" s="187"/>
      <c r="BG58" s="187"/>
      <c r="BH58" s="187"/>
      <c r="BJ58" s="257"/>
      <c r="BK58" s="257"/>
      <c r="BL58" s="257"/>
      <c r="BM58" s="258"/>
      <c r="BN58" s="257"/>
      <c r="BO58" s="257"/>
      <c r="BP58" s="257"/>
      <c r="BQ58" s="257"/>
      <c r="BR58" s="257"/>
      <c r="BS58" s="257"/>
      <c r="BT58" s="257"/>
      <c r="BW58" s="796" t="str">
        <f>Cover!$M$34</f>
        <v>OCT FY-24</v>
      </c>
      <c r="BX58" s="791" t="str">
        <f t="shared" si="11"/>
        <v>Oct</v>
      </c>
      <c r="BY58" s="792">
        <f>SUMIF($BI46:$BI57,$BX58,$BR46:$BR57)</f>
        <v>0</v>
      </c>
      <c r="BZ58" s="691">
        <f>IF(IF(CB58=CB58,SUMIF(BI46:BI57,$BX58,BU46:BU57),SUMIF(BI46:BI57,$BX58,BP46:BP57))=0,NA(),IF(CB58=CB58,SUMIF(BI46:BI57,$BX58,BU46:BU57),SUMIF(BI46:BI57,$BX58,BP46:BP57)))</f>
        <v>6.9444444444444447E-4</v>
      </c>
      <c r="CA58" s="797" t="e">
        <f>IF(SUMIF($BI46:$BI57,$BX58,$BS46:$BS57)=0,NA(),SUMIF($BI46:$BI57,$BX58,$BS46:$BS57))</f>
        <v>#N/A</v>
      </c>
      <c r="CB58" s="645">
        <f t="shared" si="12"/>
        <v>24</v>
      </c>
      <c r="CC58" s="795">
        <f>MONTH(DATEVALUE(LEFT(BW58,3)&amp;" 1"))</f>
        <v>10</v>
      </c>
    </row>
    <row r="59" spans="2:81" ht="15" customHeight="1">
      <c r="B59" s="187"/>
      <c r="C59" s="187"/>
      <c r="D59" s="187"/>
      <c r="E59" s="187"/>
      <c r="F59" s="187"/>
      <c r="G59" s="187"/>
      <c r="H59" s="187"/>
      <c r="I59" s="187"/>
      <c r="J59" s="187"/>
      <c r="K59" s="187"/>
      <c r="L59" s="187"/>
      <c r="M59" s="187"/>
      <c r="N59" s="187"/>
      <c r="O59" s="187"/>
      <c r="P59" s="187"/>
      <c r="Q59" s="187"/>
      <c r="R59" s="187"/>
      <c r="S59" s="187"/>
      <c r="T59" s="187"/>
      <c r="U59" s="187"/>
      <c r="V59" s="187"/>
      <c r="W59" s="187"/>
      <c r="X59" s="187"/>
      <c r="Y59" s="187"/>
      <c r="Z59" s="187"/>
      <c r="AA59" s="187"/>
      <c r="AB59" s="187"/>
      <c r="AC59" s="187"/>
      <c r="AD59" s="187"/>
      <c r="AE59" s="187"/>
      <c r="AF59" s="187"/>
      <c r="AG59" s="187"/>
      <c r="AH59" s="187"/>
      <c r="AI59" s="187"/>
      <c r="AJ59" s="187"/>
      <c r="AK59" s="187"/>
      <c r="AL59" s="187"/>
      <c r="AM59" s="187"/>
      <c r="AN59" s="187"/>
      <c r="AO59" s="187"/>
      <c r="AP59" s="187"/>
      <c r="AQ59" s="187"/>
      <c r="AR59" s="187"/>
      <c r="AS59" s="187"/>
      <c r="AT59" s="187"/>
      <c r="AU59" s="187"/>
      <c r="AV59" s="187"/>
      <c r="AW59" s="187"/>
      <c r="AX59" s="187"/>
      <c r="AY59" s="187"/>
      <c r="AZ59" s="187"/>
      <c r="BA59" s="187"/>
      <c r="BB59" s="187"/>
      <c r="BC59" s="187"/>
      <c r="BD59" s="187"/>
      <c r="BE59" s="187"/>
      <c r="BF59" s="187"/>
      <c r="BG59" s="187"/>
      <c r="BH59" s="187"/>
      <c r="BI59" s="248"/>
      <c r="BJ59" s="248"/>
      <c r="BK59" s="248"/>
      <c r="BL59" s="248"/>
      <c r="BM59" s="248"/>
      <c r="BN59" s="248"/>
      <c r="BO59" s="248"/>
      <c r="BP59" s="248"/>
      <c r="BQ59" s="248"/>
      <c r="BR59" s="248"/>
      <c r="BS59" s="248"/>
      <c r="BT59" s="248"/>
      <c r="BU59" s="248"/>
      <c r="BW59" s="248"/>
      <c r="BX59" s="248"/>
      <c r="BY59" s="248"/>
      <c r="BZ59" s="248"/>
      <c r="CA59" s="248"/>
      <c r="CB59" s="248"/>
      <c r="CC59" s="248"/>
    </row>
    <row r="60" spans="2:81" ht="15" customHeight="1">
      <c r="B60" s="187"/>
      <c r="C60" s="187"/>
      <c r="D60" s="187"/>
      <c r="E60" s="187"/>
      <c r="F60" s="187"/>
      <c r="G60" s="187"/>
      <c r="H60" s="187"/>
      <c r="I60" s="187"/>
      <c r="J60" s="187"/>
      <c r="K60" s="187"/>
      <c r="L60" s="187"/>
      <c r="M60" s="187"/>
      <c r="N60" s="187"/>
      <c r="O60" s="187"/>
      <c r="P60" s="187"/>
      <c r="Q60" s="187"/>
      <c r="R60" s="187"/>
      <c r="S60" s="187"/>
      <c r="T60" s="187"/>
      <c r="U60" s="187"/>
      <c r="V60" s="187"/>
      <c r="W60" s="187"/>
      <c r="X60" s="187"/>
      <c r="Y60" s="187"/>
      <c r="Z60" s="187"/>
      <c r="AA60" s="187"/>
      <c r="AB60" s="187"/>
      <c r="AC60" s="187"/>
      <c r="AD60" s="187"/>
      <c r="AE60" s="187"/>
      <c r="AF60" s="187"/>
      <c r="AG60" s="187"/>
      <c r="AH60" s="187"/>
      <c r="AI60" s="187"/>
      <c r="AJ60" s="187"/>
      <c r="AK60" s="187"/>
      <c r="AL60" s="187"/>
      <c r="AM60" s="187"/>
      <c r="AN60" s="187"/>
      <c r="AO60" s="187"/>
      <c r="AP60" s="187"/>
      <c r="AQ60" s="187"/>
      <c r="AR60" s="187"/>
      <c r="AS60" s="187"/>
      <c r="AT60" s="187"/>
      <c r="AU60" s="187"/>
      <c r="AV60" s="187"/>
      <c r="AW60" s="187"/>
      <c r="AX60" s="187"/>
      <c r="AY60" s="187"/>
      <c r="AZ60" s="187"/>
      <c r="BA60" s="187"/>
      <c r="BB60" s="187"/>
      <c r="BC60" s="187"/>
      <c r="BD60" s="187"/>
      <c r="BE60" s="187"/>
      <c r="BF60" s="187"/>
      <c r="BG60" s="187"/>
      <c r="BH60" s="187"/>
      <c r="BI60" s="247" t="s">
        <v>292</v>
      </c>
      <c r="BJ60" s="579" t="s">
        <v>501</v>
      </c>
      <c r="BK60" s="579"/>
      <c r="BL60" s="579"/>
      <c r="BM60" s="579"/>
      <c r="BN60" s="579"/>
      <c r="BO60" s="579"/>
      <c r="BP60" s="579"/>
      <c r="BQ60" s="579"/>
      <c r="BR60" s="579"/>
      <c r="BS60" s="579"/>
      <c r="BT60" s="579"/>
      <c r="BU60" s="579"/>
      <c r="BW60" s="248"/>
      <c r="BX60" s="248"/>
      <c r="BY60" s="248"/>
      <c r="BZ60" s="248"/>
      <c r="CA60" s="248"/>
      <c r="CB60" s="248"/>
      <c r="CC60" s="248"/>
    </row>
    <row r="61" spans="2:81" ht="15" customHeight="1">
      <c r="B61" s="187"/>
      <c r="C61" s="187"/>
      <c r="D61" s="187"/>
      <c r="E61" s="187"/>
      <c r="F61" s="187"/>
      <c r="G61" s="187"/>
      <c r="H61" s="187"/>
      <c r="I61" s="187"/>
      <c r="J61" s="187"/>
      <c r="K61" s="187"/>
      <c r="L61" s="187"/>
      <c r="M61" s="187"/>
      <c r="N61" s="187"/>
      <c r="O61" s="187"/>
      <c r="P61" s="187"/>
      <c r="Q61" s="187"/>
      <c r="R61" s="187"/>
      <c r="S61" s="187"/>
      <c r="T61" s="187"/>
      <c r="U61" s="187"/>
      <c r="V61" s="187"/>
      <c r="W61" s="187"/>
      <c r="X61" s="187"/>
      <c r="Y61" s="187"/>
      <c r="Z61" s="187"/>
      <c r="AA61" s="187"/>
      <c r="AB61" s="187"/>
      <c r="AC61" s="187"/>
      <c r="AD61" s="187"/>
      <c r="AE61" s="187"/>
      <c r="AF61" s="187"/>
      <c r="AG61" s="187"/>
      <c r="AH61" s="187"/>
      <c r="AI61" s="187"/>
      <c r="AJ61" s="187"/>
      <c r="AK61" s="187"/>
      <c r="AL61" s="187"/>
      <c r="AM61" s="187"/>
      <c r="AN61" s="187"/>
      <c r="AO61" s="187"/>
      <c r="AP61" s="187"/>
      <c r="AQ61" s="187"/>
      <c r="AR61" s="187"/>
      <c r="AS61" s="187"/>
      <c r="AT61" s="187"/>
      <c r="AU61" s="187"/>
      <c r="AV61" s="187"/>
      <c r="AW61" s="187"/>
      <c r="AX61" s="187"/>
      <c r="AY61" s="187"/>
      <c r="AZ61" s="187"/>
      <c r="BA61" s="187"/>
      <c r="BB61" s="187"/>
      <c r="BC61" s="187"/>
      <c r="BD61" s="187"/>
      <c r="BE61" s="187"/>
      <c r="BF61" s="187"/>
      <c r="BG61" s="187"/>
      <c r="BH61" s="187"/>
      <c r="BI61" s="247" t="s">
        <v>296</v>
      </c>
      <c r="BJ61" s="579" t="s">
        <v>501</v>
      </c>
      <c r="BK61" s="578"/>
      <c r="BL61" s="578"/>
      <c r="BM61" s="578"/>
      <c r="BN61" s="578"/>
      <c r="BO61" s="578"/>
      <c r="BP61" s="578"/>
      <c r="BQ61" s="578"/>
      <c r="BR61" s="578"/>
      <c r="BS61" s="578"/>
      <c r="BT61" s="578"/>
      <c r="BU61" s="578"/>
      <c r="BW61" s="248"/>
      <c r="BX61" s="248"/>
      <c r="BY61" s="248"/>
      <c r="BZ61" s="248"/>
      <c r="CA61" s="248"/>
      <c r="CB61" s="248"/>
      <c r="CC61" s="248"/>
    </row>
    <row r="62" spans="2:81" ht="15" customHeight="1" thickBot="1">
      <c r="B62" s="187"/>
      <c r="C62" s="187"/>
      <c r="D62" s="187"/>
      <c r="E62" s="187"/>
      <c r="F62" s="187"/>
      <c r="G62" s="187"/>
      <c r="H62" s="187"/>
      <c r="I62" s="187"/>
      <c r="J62" s="187"/>
      <c r="K62" s="187"/>
      <c r="L62" s="187"/>
      <c r="M62" s="187"/>
      <c r="N62" s="187"/>
      <c r="O62" s="187"/>
      <c r="P62" s="187"/>
      <c r="Q62" s="187"/>
      <c r="R62" s="187"/>
      <c r="S62" s="187"/>
      <c r="T62" s="187"/>
      <c r="U62" s="187"/>
      <c r="V62" s="187"/>
      <c r="W62" s="187"/>
      <c r="X62" s="187"/>
      <c r="Y62" s="187"/>
      <c r="Z62" s="187"/>
      <c r="AA62" s="187"/>
      <c r="AB62" s="187"/>
      <c r="AC62" s="187"/>
      <c r="AD62" s="187"/>
      <c r="AE62" s="187"/>
      <c r="AF62" s="187"/>
      <c r="AG62" s="187"/>
      <c r="AH62" s="187"/>
      <c r="AI62" s="187"/>
      <c r="AJ62" s="187"/>
      <c r="AK62" s="187"/>
      <c r="AL62" s="187"/>
      <c r="AM62" s="187"/>
      <c r="AN62" s="187"/>
      <c r="AO62" s="187"/>
      <c r="AP62" s="187"/>
      <c r="AQ62" s="187"/>
      <c r="AR62" s="187"/>
      <c r="AS62" s="187"/>
      <c r="AT62" s="187"/>
      <c r="AU62" s="187"/>
      <c r="AV62" s="187"/>
      <c r="AW62" s="187"/>
      <c r="AX62" s="187"/>
      <c r="AY62" s="187"/>
      <c r="AZ62" s="187"/>
      <c r="BA62" s="187"/>
      <c r="BB62" s="187"/>
      <c r="BC62" s="187"/>
      <c r="BD62" s="187"/>
      <c r="BE62" s="187"/>
      <c r="BF62" s="187"/>
      <c r="BG62" s="187"/>
      <c r="BH62" s="187"/>
      <c r="BI62" s="247" t="s">
        <v>300</v>
      </c>
      <c r="BJ62" s="578" t="s">
        <v>647</v>
      </c>
      <c r="BK62" s="578"/>
      <c r="BL62" s="578"/>
      <c r="BM62" s="578"/>
      <c r="BN62" s="578"/>
      <c r="BO62" s="578"/>
      <c r="BP62" s="578"/>
      <c r="BQ62" s="578"/>
      <c r="BR62" s="578"/>
      <c r="BS62" s="578"/>
      <c r="BT62" s="578"/>
      <c r="BU62" s="578"/>
      <c r="BW62" s="248"/>
      <c r="BX62" s="248"/>
      <c r="BY62" s="248"/>
      <c r="BZ62" s="248"/>
      <c r="CA62" s="248"/>
      <c r="CB62" s="248"/>
      <c r="CC62" s="248"/>
    </row>
    <row r="63" spans="2:81" ht="15" customHeight="1" thickBot="1">
      <c r="B63" s="187"/>
      <c r="C63" s="187"/>
      <c r="D63" s="187"/>
      <c r="E63" s="187"/>
      <c r="F63" s="187"/>
      <c r="G63" s="187"/>
      <c r="H63" s="187"/>
      <c r="I63" s="187"/>
      <c r="J63" s="187"/>
      <c r="K63" s="187"/>
      <c r="L63" s="187"/>
      <c r="M63" s="187"/>
      <c r="N63" s="187"/>
      <c r="O63" s="187"/>
      <c r="P63" s="187"/>
      <c r="Q63" s="187"/>
      <c r="R63" s="187"/>
      <c r="S63" s="187"/>
      <c r="T63" s="187"/>
      <c r="U63" s="187"/>
      <c r="V63" s="187"/>
      <c r="W63" s="187"/>
      <c r="X63" s="187"/>
      <c r="Y63" s="187"/>
      <c r="Z63" s="187"/>
      <c r="AA63" s="187"/>
      <c r="AB63" s="187"/>
      <c r="AC63" s="187"/>
      <c r="AD63" s="187"/>
      <c r="AE63" s="187"/>
      <c r="AF63" s="187"/>
      <c r="AG63" s="187"/>
      <c r="AH63" s="187"/>
      <c r="AI63" s="187"/>
      <c r="AJ63" s="187"/>
      <c r="AK63" s="187"/>
      <c r="AL63" s="187"/>
      <c r="AM63" s="187"/>
      <c r="AN63" s="187"/>
      <c r="AO63" s="187"/>
      <c r="AP63" s="187"/>
      <c r="AQ63" s="187"/>
      <c r="AR63" s="187"/>
      <c r="AS63" s="187"/>
      <c r="AT63" s="187"/>
      <c r="AU63" s="187"/>
      <c r="AV63" s="187"/>
      <c r="AW63" s="187"/>
      <c r="AX63" s="187"/>
      <c r="AY63" s="187"/>
      <c r="AZ63" s="187"/>
      <c r="BA63" s="187"/>
      <c r="BB63" s="187"/>
      <c r="BC63" s="187"/>
      <c r="BD63" s="187"/>
      <c r="BE63" s="187"/>
      <c r="BF63" s="187"/>
      <c r="BG63" s="187"/>
      <c r="BH63" s="187"/>
      <c r="BI63" s="1716" t="s">
        <v>170</v>
      </c>
      <c r="BJ63" s="1717"/>
      <c r="BK63" s="1718"/>
      <c r="BL63" s="1717" t="s">
        <v>302</v>
      </c>
      <c r="BM63" s="1717"/>
      <c r="BN63" s="1717"/>
      <c r="BO63" s="1717"/>
      <c r="BP63" s="1729"/>
      <c r="BQ63" s="1716" t="s">
        <v>719</v>
      </c>
      <c r="BR63" s="1717"/>
      <c r="BS63" s="1717"/>
      <c r="BT63" s="1717"/>
      <c r="BU63" s="1718"/>
      <c r="BW63" s="1716" t="s">
        <v>303</v>
      </c>
      <c r="BX63" s="1717"/>
      <c r="BY63" s="1717"/>
      <c r="BZ63" s="1717"/>
      <c r="CA63" s="1717"/>
      <c r="CB63" s="1717"/>
      <c r="CC63" s="1718"/>
    </row>
    <row r="64" spans="2:81" ht="15" customHeight="1">
      <c r="B64" s="187"/>
      <c r="C64" s="187"/>
      <c r="D64" s="187"/>
      <c r="E64" s="187"/>
      <c r="F64" s="187"/>
      <c r="G64" s="187"/>
      <c r="H64" s="187"/>
      <c r="I64" s="187"/>
      <c r="J64" s="187"/>
      <c r="K64" s="187"/>
      <c r="L64" s="187"/>
      <c r="M64" s="187"/>
      <c r="N64" s="187"/>
      <c r="O64" s="187"/>
      <c r="P64" s="187"/>
      <c r="Q64" s="187"/>
      <c r="R64" s="187"/>
      <c r="S64" s="187"/>
      <c r="T64" s="187"/>
      <c r="U64" s="187"/>
      <c r="V64" s="187"/>
      <c r="W64" s="187"/>
      <c r="X64" s="187"/>
      <c r="Y64" s="187"/>
      <c r="Z64" s="187"/>
      <c r="AA64" s="187"/>
      <c r="AB64" s="187"/>
      <c r="AC64" s="187"/>
      <c r="AD64" s="187"/>
      <c r="AE64" s="187"/>
      <c r="AF64" s="187"/>
      <c r="AG64" s="187"/>
      <c r="AH64" s="187"/>
      <c r="AI64" s="187"/>
      <c r="AJ64" s="187"/>
      <c r="AK64" s="187"/>
      <c r="AL64" s="187"/>
      <c r="AM64" s="187"/>
      <c r="AN64" s="187"/>
      <c r="AO64" s="187"/>
      <c r="AP64" s="187"/>
      <c r="AQ64" s="187"/>
      <c r="AR64" s="187"/>
      <c r="AS64" s="187"/>
      <c r="AT64" s="187"/>
      <c r="AU64" s="187"/>
      <c r="AV64" s="187"/>
      <c r="AW64" s="187"/>
      <c r="AX64" s="187"/>
      <c r="AY64" s="187"/>
      <c r="AZ64" s="187"/>
      <c r="BA64" s="187"/>
      <c r="BB64" s="187"/>
      <c r="BC64" s="187"/>
      <c r="BD64" s="187"/>
      <c r="BE64" s="187"/>
      <c r="BF64" s="187"/>
      <c r="BG64" s="187"/>
      <c r="BH64" s="187"/>
      <c r="BI64" s="253" t="s">
        <v>23</v>
      </c>
      <c r="BJ64" s="253" t="s">
        <v>37</v>
      </c>
      <c r="BK64" s="253" t="s">
        <v>304</v>
      </c>
      <c r="BL64" s="688" t="s">
        <v>305</v>
      </c>
      <c r="BM64" s="688" t="s">
        <v>310</v>
      </c>
      <c r="BN64" s="688" t="s">
        <v>311</v>
      </c>
      <c r="BO64" s="254" t="s">
        <v>312</v>
      </c>
      <c r="BP64" s="688" t="s">
        <v>313</v>
      </c>
      <c r="BQ64" s="688" t="s">
        <v>305</v>
      </c>
      <c r="BR64" s="688" t="s">
        <v>715</v>
      </c>
      <c r="BS64" s="688" t="s">
        <v>716</v>
      </c>
      <c r="BT64" s="254" t="s">
        <v>717</v>
      </c>
      <c r="BU64" s="688" t="s">
        <v>718</v>
      </c>
      <c r="BW64" s="253" t="s">
        <v>314</v>
      </c>
      <c r="BX64" s="253" t="s">
        <v>23</v>
      </c>
      <c r="BY64" s="255" t="s">
        <v>315</v>
      </c>
      <c r="BZ64" s="253" t="s">
        <v>122</v>
      </c>
      <c r="CA64" s="253" t="s">
        <v>316</v>
      </c>
      <c r="CB64" s="253" t="s">
        <v>317</v>
      </c>
      <c r="CC64" s="253" t="s">
        <v>318</v>
      </c>
    </row>
    <row r="65" spans="2:81" ht="15" customHeight="1">
      <c r="B65" s="187"/>
      <c r="C65" s="187"/>
      <c r="D65" s="187"/>
      <c r="E65" s="187"/>
      <c r="F65" s="187"/>
      <c r="G65" s="187"/>
      <c r="H65" s="187"/>
      <c r="I65" s="187"/>
      <c r="J65" s="187"/>
      <c r="K65" s="187"/>
      <c r="L65" s="187"/>
      <c r="M65" s="187"/>
      <c r="N65" s="187"/>
      <c r="O65" s="187"/>
      <c r="P65" s="187"/>
      <c r="Q65" s="187"/>
      <c r="R65" s="187"/>
      <c r="S65" s="187"/>
      <c r="T65" s="187"/>
      <c r="U65" s="187"/>
      <c r="V65" s="187"/>
      <c r="W65" s="187"/>
      <c r="X65" s="187"/>
      <c r="Y65" s="187"/>
      <c r="Z65" s="187"/>
      <c r="AA65" s="187"/>
      <c r="AB65" s="187"/>
      <c r="AC65" s="187"/>
      <c r="AD65" s="187"/>
      <c r="AE65" s="187"/>
      <c r="AF65" s="187"/>
      <c r="AG65" s="187"/>
      <c r="AH65" s="187"/>
      <c r="AI65" s="187"/>
      <c r="AJ65" s="187"/>
      <c r="AK65" s="187"/>
      <c r="AL65" s="187"/>
      <c r="AM65" s="187"/>
      <c r="AN65" s="187"/>
      <c r="AO65" s="187"/>
      <c r="AP65" s="187"/>
      <c r="AQ65" s="187"/>
      <c r="AR65" s="187"/>
      <c r="AS65" s="187"/>
      <c r="AT65" s="187"/>
      <c r="AU65" s="187"/>
      <c r="AV65" s="187"/>
      <c r="AW65" s="187"/>
      <c r="AX65" s="187"/>
      <c r="AY65" s="187"/>
      <c r="AZ65" s="187"/>
      <c r="BA65" s="187"/>
      <c r="BB65" s="187"/>
      <c r="BC65" s="187"/>
      <c r="BD65" s="187"/>
      <c r="BE65" s="187"/>
      <c r="BF65" s="187"/>
      <c r="BG65" s="187"/>
      <c r="BH65" s="187"/>
      <c r="BI65" s="638" t="s">
        <v>319</v>
      </c>
      <c r="BJ65" s="638">
        <v>1</v>
      </c>
      <c r="BK65" s="638" t="s">
        <v>320</v>
      </c>
      <c r="BL65" s="798">
        <f t="shared" ref="BL65:BL76" si="14">BN65*BM65</f>
        <v>0</v>
      </c>
      <c r="BM65" s="665"/>
      <c r="BN65" s="799"/>
      <c r="BO65" s="281">
        <f>IF(SUM(BM65:BM67=0),0,SUM(BL65:BL67)/SUM(BM65:BM67))</f>
        <v>0</v>
      </c>
      <c r="BP65" s="641">
        <v>0.05</v>
      </c>
      <c r="BQ65" s="798">
        <f t="shared" ref="BQ65:BQ76" si="15">BS65*BR65</f>
        <v>0</v>
      </c>
      <c r="BR65" s="665"/>
      <c r="BS65" s="799"/>
      <c r="BT65" s="281">
        <f>IF(SUM(BR65:BR67=0),0,SUM(BQ65:BQ67)/SUM(BR65:BR67))</f>
        <v>0</v>
      </c>
      <c r="BU65" s="641">
        <v>0.05</v>
      </c>
      <c r="BW65" s="248"/>
      <c r="BX65" s="791" t="str">
        <f t="shared" ref="BX65:BX77" si="16">TEXT(CONCATENATE(CC65,"/01/20",CB65),"MMM")</f>
        <v>Oct</v>
      </c>
      <c r="BY65" s="792">
        <f>IF(CB65=$CB77,SUMIF($BI65:$BI76,$BX65,$BR65:$BR76),SUMIF($BI65:$BI76,$BX65,$BM65:$BM76))</f>
        <v>0</v>
      </c>
      <c r="BZ65" s="641">
        <f>IF(IF(CB65=CB77,SUMIF(BI65:BI76,$BX65,BU65:BU76),SUMIF(BI65:BI76,$BX65,BP65:BP76))=0,NA(),IF(CB65=CB77,SUMIF(BI65:BI76,$BX65,BU65:BU76),SUMIF(BI65:BI76,$BX65,BP65:BP76)))</f>
        <v>0.05</v>
      </c>
      <c r="CA65" s="800" t="e">
        <f>IF(IF(CB65=CB77,SUMIF(BI65:BI76,$BX65,BS65:BS76),SUMIF(BI65:BI76,$BX65,BN65:BN76))=0,NA(),IF(CB65=CB77,SUMIF(BI65:BI76,$BX65,BS65:BS76),SUMIF(BI65:BI76,$BX65,BN65:BN76)))</f>
        <v>#N/A</v>
      </c>
      <c r="CB65" s="645">
        <f t="shared" ref="CB65:CB77" si="17">CB46</f>
        <v>23</v>
      </c>
      <c r="CC65" s="795">
        <f t="shared" ref="CC65:CC76" si="18">IF(CC66-1&lt;1,CC66+11,CC66-1)</f>
        <v>10</v>
      </c>
    </row>
    <row r="66" spans="2:81" ht="15" customHeight="1">
      <c r="B66" s="187"/>
      <c r="C66" s="187"/>
      <c r="D66" s="187"/>
      <c r="E66" s="187"/>
      <c r="F66" s="187"/>
      <c r="G66" s="187"/>
      <c r="H66" s="187"/>
      <c r="I66" s="187"/>
      <c r="J66" s="187"/>
      <c r="K66" s="187"/>
      <c r="L66" s="187"/>
      <c r="M66" s="187"/>
      <c r="N66" s="187"/>
      <c r="O66" s="187"/>
      <c r="P66" s="187"/>
      <c r="Q66" s="187"/>
      <c r="R66" s="187"/>
      <c r="S66" s="187"/>
      <c r="T66" s="187"/>
      <c r="U66" s="187"/>
      <c r="V66" s="187"/>
      <c r="W66" s="187"/>
      <c r="X66" s="187"/>
      <c r="Y66" s="187"/>
      <c r="Z66" s="187"/>
      <c r="AA66" s="187"/>
      <c r="AB66" s="187"/>
      <c r="AC66" s="187"/>
      <c r="AD66" s="187"/>
      <c r="AE66" s="187"/>
      <c r="AF66" s="187"/>
      <c r="AG66" s="187"/>
      <c r="AH66" s="187"/>
      <c r="AI66" s="187"/>
      <c r="AJ66" s="187"/>
      <c r="AK66" s="187"/>
      <c r="AL66" s="187"/>
      <c r="AM66" s="187"/>
      <c r="AN66" s="187"/>
      <c r="AO66" s="187"/>
      <c r="AP66" s="187"/>
      <c r="AQ66" s="187"/>
      <c r="AR66" s="187"/>
      <c r="AS66" s="187"/>
      <c r="AT66" s="187"/>
      <c r="AU66" s="187"/>
      <c r="AV66" s="187"/>
      <c r="AW66" s="187"/>
      <c r="AX66" s="187"/>
      <c r="AY66" s="187"/>
      <c r="AZ66" s="187"/>
      <c r="BA66" s="187"/>
      <c r="BB66" s="187"/>
      <c r="BC66" s="187"/>
      <c r="BD66" s="187"/>
      <c r="BE66" s="187"/>
      <c r="BF66" s="187"/>
      <c r="BG66" s="187"/>
      <c r="BH66" s="187"/>
      <c r="BI66" s="638" t="s">
        <v>321</v>
      </c>
      <c r="BJ66" s="638">
        <v>2</v>
      </c>
      <c r="BK66" s="638" t="s">
        <v>320</v>
      </c>
      <c r="BL66" s="798">
        <f t="shared" si="14"/>
        <v>0</v>
      </c>
      <c r="BM66" s="665"/>
      <c r="BN66" s="799"/>
      <c r="BO66" s="270"/>
      <c r="BP66" s="641">
        <v>0.05</v>
      </c>
      <c r="BQ66" s="798">
        <f t="shared" si="15"/>
        <v>0</v>
      </c>
      <c r="BR66" s="665"/>
      <c r="BS66" s="799"/>
      <c r="BT66" s="270"/>
      <c r="BU66" s="641">
        <v>0.05</v>
      </c>
      <c r="BW66" s="248"/>
      <c r="BX66" s="791" t="str">
        <f t="shared" si="16"/>
        <v>Nov</v>
      </c>
      <c r="BY66" s="792">
        <f>IF(CB66=$CB77,SUMIF($BI65:$BI76,$BX66,$BR65:$BR76),SUMIF($BI65:$BI76,$BX66,$BM65:$BM76))</f>
        <v>0</v>
      </c>
      <c r="BZ66" s="641">
        <f>IF(IF(CB66=CB77,SUMIF(BI65:BI76,$BX66,BU65:BU76),SUMIF(BI65:BI76,$BX66,BP65:BP76))=0,NA(),IF(CB66=CB77,SUMIF(BI65:BI76,$BX66,BU65:BU76),SUMIF(BI65:BI76,$BX66,BP65:BP76)))</f>
        <v>0.05</v>
      </c>
      <c r="CA66" s="800" t="e">
        <f>IF(IF(CB66=CB77,SUMIF(BI65:BI76,$BX66,BS65:BS76),SUMIF(BI65:BI76,$BX66,BN65:BN76))=0,NA(),IF(CB66=CB77,SUMIF(BI65:BI76,$BX66,BS65:BS76),SUMIF(BI65:BI76,$BX66,BN65:BN76)))</f>
        <v>#N/A</v>
      </c>
      <c r="CB66" s="645">
        <f t="shared" si="17"/>
        <v>23</v>
      </c>
      <c r="CC66" s="795">
        <f t="shared" si="18"/>
        <v>11</v>
      </c>
    </row>
    <row r="67" spans="2:81" ht="15" customHeight="1">
      <c r="B67" s="187"/>
      <c r="C67" s="187"/>
      <c r="D67" s="187"/>
      <c r="E67" s="187"/>
      <c r="F67" s="187"/>
      <c r="G67" s="187"/>
      <c r="H67" s="187"/>
      <c r="I67" s="187"/>
      <c r="J67" s="187"/>
      <c r="K67" s="187"/>
      <c r="L67" s="187"/>
      <c r="M67" s="187"/>
      <c r="N67" s="187"/>
      <c r="O67" s="187"/>
      <c r="P67" s="187"/>
      <c r="Q67" s="187"/>
      <c r="R67" s="187"/>
      <c r="S67" s="187"/>
      <c r="T67" s="187"/>
      <c r="U67" s="187"/>
      <c r="V67" s="187"/>
      <c r="W67" s="187"/>
      <c r="X67" s="187"/>
      <c r="Y67" s="187"/>
      <c r="Z67" s="187"/>
      <c r="AA67" s="187"/>
      <c r="AB67" s="187"/>
      <c r="AC67" s="187"/>
      <c r="AD67" s="187"/>
      <c r="AE67" s="187"/>
      <c r="AF67" s="187"/>
      <c r="AG67" s="187"/>
      <c r="AH67" s="187"/>
      <c r="AI67" s="187"/>
      <c r="AJ67" s="187"/>
      <c r="AK67" s="187"/>
      <c r="AL67" s="187"/>
      <c r="AM67" s="187"/>
      <c r="AN67" s="187"/>
      <c r="AO67" s="187"/>
      <c r="AP67" s="187"/>
      <c r="AQ67" s="187"/>
      <c r="AR67" s="187"/>
      <c r="AS67" s="187"/>
      <c r="AT67" s="187"/>
      <c r="AU67" s="187"/>
      <c r="AV67" s="187"/>
      <c r="AW67" s="187"/>
      <c r="AX67" s="187"/>
      <c r="AY67" s="187"/>
      <c r="AZ67" s="187"/>
      <c r="BA67" s="187"/>
      <c r="BB67" s="187"/>
      <c r="BC67" s="187"/>
      <c r="BD67" s="187"/>
      <c r="BE67" s="187"/>
      <c r="BF67" s="187"/>
      <c r="BG67" s="187"/>
      <c r="BH67" s="187"/>
      <c r="BI67" s="638" t="s">
        <v>322</v>
      </c>
      <c r="BJ67" s="638">
        <v>3</v>
      </c>
      <c r="BK67" s="638" t="s">
        <v>320</v>
      </c>
      <c r="BL67" s="798">
        <f t="shared" si="14"/>
        <v>0</v>
      </c>
      <c r="BM67" s="665"/>
      <c r="BN67" s="799"/>
      <c r="BO67" s="270"/>
      <c r="BP67" s="641">
        <v>0.05</v>
      </c>
      <c r="BQ67" s="798">
        <f t="shared" si="15"/>
        <v>0</v>
      </c>
      <c r="BR67" s="665"/>
      <c r="BS67" s="799"/>
      <c r="BT67" s="270"/>
      <c r="BU67" s="641">
        <v>0.05</v>
      </c>
      <c r="BW67" s="248"/>
      <c r="BX67" s="791" t="str">
        <f t="shared" si="16"/>
        <v>Dec</v>
      </c>
      <c r="BY67" s="792">
        <f>IF(CB67=$CB77,SUMIF($BI65:$BI76,$BX67,$BR65:$BR76),SUMIF($BI65:$BI76,$BX67,$BM65:$BM76))</f>
        <v>0</v>
      </c>
      <c r="BZ67" s="641">
        <f>IF(IF(CB67=CB77,SUMIF(BI65:BI76,$BX67,BU65:BU76),SUMIF(BI65:BI76,$BX67,BP65:BP76))=0,NA(),IF(CB67=CB77,SUMIF(BI65:BI76,$BX67,BU65:BU76),SUMIF(BI65:BI76,$BX67,BP65:BP76)))</f>
        <v>0.05</v>
      </c>
      <c r="CA67" s="800" t="e">
        <f>IF(IF(CB67=CB77,SUMIF(BI65:BI76,$BX67,BS65:BS76),SUMIF(BI65:BI76,$BX67,BN65:BN76))=0,NA(),IF(CB67=CB77,SUMIF(BI65:BI76,$BX67,BS65:BS76),SUMIF(BI65:BI76,$BX67,BN65:BN76)))</f>
        <v>#N/A</v>
      </c>
      <c r="CB67" s="645">
        <f t="shared" si="17"/>
        <v>23</v>
      </c>
      <c r="CC67" s="795">
        <f t="shared" si="18"/>
        <v>12</v>
      </c>
    </row>
    <row r="68" spans="2:81" ht="15" customHeight="1">
      <c r="B68" s="187"/>
      <c r="C68" s="187"/>
      <c r="D68" s="187"/>
      <c r="E68" s="187"/>
      <c r="F68" s="187"/>
      <c r="G68" s="187"/>
      <c r="H68" s="187"/>
      <c r="I68" s="187"/>
      <c r="J68" s="187"/>
      <c r="K68" s="187"/>
      <c r="L68" s="187"/>
      <c r="M68" s="187"/>
      <c r="N68" s="187"/>
      <c r="O68" s="187"/>
      <c r="P68" s="187"/>
      <c r="Q68" s="187"/>
      <c r="R68" s="187"/>
      <c r="S68" s="187"/>
      <c r="T68" s="187"/>
      <c r="U68" s="187"/>
      <c r="V68" s="187"/>
      <c r="W68" s="187"/>
      <c r="X68" s="187"/>
      <c r="Y68" s="187"/>
      <c r="Z68" s="187"/>
      <c r="AA68" s="187"/>
      <c r="AB68" s="187"/>
      <c r="AC68" s="187"/>
      <c r="AD68" s="187"/>
      <c r="AE68" s="187"/>
      <c r="AF68" s="187"/>
      <c r="AG68" s="187"/>
      <c r="AH68" s="187"/>
      <c r="AI68" s="187"/>
      <c r="AJ68" s="187"/>
      <c r="AK68" s="187"/>
      <c r="AL68" s="187"/>
      <c r="AM68" s="187"/>
      <c r="AN68" s="187"/>
      <c r="AO68" s="187"/>
      <c r="AP68" s="187"/>
      <c r="AQ68" s="187"/>
      <c r="AR68" s="187"/>
      <c r="AS68" s="187"/>
      <c r="AT68" s="187"/>
      <c r="AU68" s="187"/>
      <c r="AV68" s="187"/>
      <c r="AW68" s="187"/>
      <c r="AX68" s="187"/>
      <c r="AY68" s="187"/>
      <c r="AZ68" s="187"/>
      <c r="BA68" s="187"/>
      <c r="BB68" s="187"/>
      <c r="BC68" s="187"/>
      <c r="BD68" s="187"/>
      <c r="BE68" s="187"/>
      <c r="BF68" s="187"/>
      <c r="BG68" s="187"/>
      <c r="BH68" s="187"/>
      <c r="BI68" s="638" t="s">
        <v>323</v>
      </c>
      <c r="BJ68" s="638">
        <v>4</v>
      </c>
      <c r="BK68" s="638" t="s">
        <v>324</v>
      </c>
      <c r="BL68" s="798">
        <f t="shared" si="14"/>
        <v>0</v>
      </c>
      <c r="BM68" s="665"/>
      <c r="BN68" s="799"/>
      <c r="BO68" s="281">
        <f>IF(SUM(BM68:BM70=0),0,SUM(BL68:BL70)/SUM(BM68:BM70))</f>
        <v>0</v>
      </c>
      <c r="BP68" s="641">
        <v>0.05</v>
      </c>
      <c r="BQ68" s="798">
        <f t="shared" si="15"/>
        <v>0</v>
      </c>
      <c r="BR68" s="665"/>
      <c r="BS68" s="799"/>
      <c r="BT68" s="281">
        <f>IF(SUM(BR68:BR70=0),0,SUM(BQ68:BQ70)/SUM(BR68:BR70))</f>
        <v>0</v>
      </c>
      <c r="BU68" s="641">
        <v>0.05</v>
      </c>
      <c r="BW68" s="248"/>
      <c r="BX68" s="791" t="str">
        <f t="shared" si="16"/>
        <v>Jan</v>
      </c>
      <c r="BY68" s="792">
        <f>IF(CB68=$CB77,SUMIF($BI65:$BI76,$BX68,$BR65:$BR76),SUMIF($BI65:$BI76,$BX68,$BM65:$BM76))</f>
        <v>0</v>
      </c>
      <c r="BZ68" s="641">
        <f>IF(IF(CB68=CB77,SUMIF(BI65:BI76,$BX68,BU65:BU76),SUMIF(BI65:BI76,$BX68,BP65:BP76))=0,NA(),IF(CB68=CB77,SUMIF(BI65:BI76,$BX68,BU65:BU76),SUMIF(BI65:BI76,$BX68,BP65:BP76)))</f>
        <v>0.05</v>
      </c>
      <c r="CA68" s="800" t="e">
        <f>IF(IF(CB68=CB77,SUMIF(BI65:BI76,$BX68,BS65:BS76),SUMIF(BI65:BI76,$BX68,BN65:BN76))=0,NA(),IF(CB68=CB77,SUMIF(BI65:BI76,$BX68,BS65:BS76),SUMIF(BI65:BI76,$BX68,BN65:BN76)))</f>
        <v>#N/A</v>
      </c>
      <c r="CB68" s="645">
        <f t="shared" si="17"/>
        <v>23</v>
      </c>
      <c r="CC68" s="795">
        <f t="shared" si="18"/>
        <v>1</v>
      </c>
    </row>
    <row r="69" spans="2:81" ht="15" customHeight="1">
      <c r="B69" s="187"/>
      <c r="C69" s="187"/>
      <c r="D69" s="187"/>
      <c r="E69" s="187"/>
      <c r="F69" s="187"/>
      <c r="G69" s="187"/>
      <c r="H69" s="187"/>
      <c r="I69" s="187"/>
      <c r="J69" s="187"/>
      <c r="K69" s="187"/>
      <c r="L69" s="187"/>
      <c r="M69" s="187"/>
      <c r="N69" s="187"/>
      <c r="O69" s="187"/>
      <c r="P69" s="187"/>
      <c r="Q69" s="187"/>
      <c r="R69" s="187"/>
      <c r="S69" s="187"/>
      <c r="T69" s="187"/>
      <c r="U69" s="187"/>
      <c r="V69" s="187"/>
      <c r="W69" s="187"/>
      <c r="X69" s="187"/>
      <c r="Y69" s="187"/>
      <c r="Z69" s="187"/>
      <c r="AA69" s="187"/>
      <c r="AB69" s="187"/>
      <c r="AC69" s="187"/>
      <c r="AD69" s="187"/>
      <c r="AE69" s="187"/>
      <c r="AF69" s="187"/>
      <c r="AG69" s="187"/>
      <c r="AH69" s="187"/>
      <c r="AI69" s="187"/>
      <c r="AJ69" s="187"/>
      <c r="AK69" s="187"/>
      <c r="AL69" s="187"/>
      <c r="AM69" s="187"/>
      <c r="AN69" s="187"/>
      <c r="AO69" s="187"/>
      <c r="AP69" s="187"/>
      <c r="AQ69" s="187"/>
      <c r="AR69" s="187"/>
      <c r="AS69" s="187"/>
      <c r="AT69" s="187"/>
      <c r="AU69" s="187"/>
      <c r="AV69" s="187"/>
      <c r="AW69" s="187"/>
      <c r="AX69" s="187"/>
      <c r="AY69" s="187"/>
      <c r="AZ69" s="187"/>
      <c r="BA69" s="187"/>
      <c r="BB69" s="187"/>
      <c r="BC69" s="187"/>
      <c r="BD69" s="187"/>
      <c r="BE69" s="187"/>
      <c r="BF69" s="187"/>
      <c r="BG69" s="187"/>
      <c r="BH69" s="187"/>
      <c r="BI69" s="638" t="s">
        <v>325</v>
      </c>
      <c r="BJ69" s="638">
        <v>5</v>
      </c>
      <c r="BK69" s="638" t="s">
        <v>324</v>
      </c>
      <c r="BL69" s="798">
        <f t="shared" si="14"/>
        <v>0</v>
      </c>
      <c r="BM69" s="639"/>
      <c r="BN69" s="799"/>
      <c r="BO69" s="270"/>
      <c r="BP69" s="641">
        <v>0.05</v>
      </c>
      <c r="BQ69" s="798">
        <f t="shared" si="15"/>
        <v>0</v>
      </c>
      <c r="BR69" s="639"/>
      <c r="BS69" s="799"/>
      <c r="BT69" s="270"/>
      <c r="BU69" s="641">
        <v>0.05</v>
      </c>
      <c r="BW69" s="248"/>
      <c r="BX69" s="791" t="str">
        <f t="shared" si="16"/>
        <v>Feb</v>
      </c>
      <c r="BY69" s="792">
        <f>IF(CB69=$CB77,SUMIF($BI65:$BI76,$BX69,$BR65:$BR76),SUMIF($BI65:$BI76,$BX69,$BM65:$BM76))</f>
        <v>0</v>
      </c>
      <c r="BZ69" s="641">
        <f>IF(IF(CB69=CB77,SUMIF(BI65:BI76,$BX69,BU65:BU76),SUMIF(BI65:BI76,$BX69,BP65:BP76))=0,NA(),IF(CB69=CB77,SUMIF(BI65:BI76,$BX69,BU65:BU76),SUMIF(BI65:BI76,$BX69,BP65:BP76)))</f>
        <v>0.05</v>
      </c>
      <c r="CA69" s="800" t="e">
        <f>IF(IF(CB69=CB77,SUMIF(BI65:BI76,$BX69,BS65:BS76),SUMIF(BI65:BI76,$BX69,BN65:BN76))=0,NA(),IF(CB69=CB77,SUMIF(BI65:BI76,$BX69,BS65:BS76),SUMIF(BI65:BI76,$BX69,BN65:BN76)))</f>
        <v>#N/A</v>
      </c>
      <c r="CB69" s="645">
        <f t="shared" si="17"/>
        <v>23</v>
      </c>
      <c r="CC69" s="795">
        <f t="shared" si="18"/>
        <v>2</v>
      </c>
    </row>
    <row r="70" spans="2:81" ht="15" customHeight="1">
      <c r="B70" s="187"/>
      <c r="C70" s="187"/>
      <c r="D70" s="187"/>
      <c r="E70" s="187"/>
      <c r="F70" s="187"/>
      <c r="G70" s="187"/>
      <c r="H70" s="187"/>
      <c r="I70" s="187"/>
      <c r="J70" s="187"/>
      <c r="K70" s="187"/>
      <c r="L70" s="187"/>
      <c r="M70" s="187"/>
      <c r="N70" s="187"/>
      <c r="O70" s="187"/>
      <c r="P70" s="187"/>
      <c r="Q70" s="187"/>
      <c r="R70" s="187"/>
      <c r="S70" s="187"/>
      <c r="T70" s="187"/>
      <c r="U70" s="187"/>
      <c r="V70" s="187"/>
      <c r="W70" s="187"/>
      <c r="X70" s="187"/>
      <c r="Y70" s="187"/>
      <c r="Z70" s="187"/>
      <c r="AA70" s="187"/>
      <c r="AB70" s="187"/>
      <c r="AC70" s="187"/>
      <c r="AD70" s="187"/>
      <c r="AE70" s="187"/>
      <c r="AF70" s="187"/>
      <c r="AG70" s="187"/>
      <c r="AH70" s="187"/>
      <c r="AI70" s="187"/>
      <c r="AJ70" s="187"/>
      <c r="AK70" s="187"/>
      <c r="AL70" s="187"/>
      <c r="AM70" s="187"/>
      <c r="AN70" s="187"/>
      <c r="AO70" s="187"/>
      <c r="AP70" s="187"/>
      <c r="AQ70" s="187"/>
      <c r="AR70" s="187"/>
      <c r="AS70" s="187"/>
      <c r="AT70" s="187"/>
      <c r="AU70" s="187"/>
      <c r="AV70" s="187"/>
      <c r="AW70" s="187"/>
      <c r="AX70" s="187"/>
      <c r="AY70" s="187"/>
      <c r="AZ70" s="187"/>
      <c r="BA70" s="187"/>
      <c r="BB70" s="187"/>
      <c r="BC70" s="187"/>
      <c r="BD70" s="187"/>
      <c r="BE70" s="187"/>
      <c r="BF70" s="187"/>
      <c r="BG70" s="187"/>
      <c r="BH70" s="187"/>
      <c r="BI70" s="638" t="s">
        <v>326</v>
      </c>
      <c r="BJ70" s="638">
        <v>6</v>
      </c>
      <c r="BK70" s="638" t="s">
        <v>324</v>
      </c>
      <c r="BL70" s="798">
        <f t="shared" si="14"/>
        <v>0</v>
      </c>
      <c r="BM70" s="639"/>
      <c r="BN70" s="799"/>
      <c r="BO70" s="270"/>
      <c r="BP70" s="641">
        <v>0.05</v>
      </c>
      <c r="BQ70" s="798">
        <f t="shared" si="15"/>
        <v>0</v>
      </c>
      <c r="BR70" s="639"/>
      <c r="BS70" s="799"/>
      <c r="BT70" s="270"/>
      <c r="BU70" s="641">
        <v>0.05</v>
      </c>
      <c r="BW70" s="248"/>
      <c r="BX70" s="791" t="str">
        <f t="shared" si="16"/>
        <v>Mar</v>
      </c>
      <c r="BY70" s="792">
        <f>IF(CB70=$CB77,SUMIF($BI65:$BI76,$BX70,$BR65:$BR76),SUMIF($BI65:$BI76,$BX70,$BM65:$BM76))</f>
        <v>0</v>
      </c>
      <c r="BZ70" s="641">
        <f>IF(IF(CB70=CB77,SUMIF(BI65:BI76,$BX70,BU65:BU76),SUMIF(BI65:BI76,$BX70,BP65:BP76))=0,NA(),IF(CB70=CB77,SUMIF(BI65:BI76,$BX70,BU65:BU76),SUMIF(BI65:BI76,$BX70,BP65:BP76)))</f>
        <v>0.05</v>
      </c>
      <c r="CA70" s="800" t="e">
        <f>IF(IF(CB70=CB77,SUMIF(BI65:BI76,$BX70,BS65:BS76),SUMIF(BI65:BI76,$BX70,BN65:BN76))=0,NA(),IF(CB70=CB77,SUMIF(BI65:BI76,$BX70,BS65:BS76),SUMIF(BI65:BI76,$BX70,BN65:BN76)))</f>
        <v>#N/A</v>
      </c>
      <c r="CB70" s="645">
        <f t="shared" si="17"/>
        <v>23</v>
      </c>
      <c r="CC70" s="795">
        <f t="shared" si="18"/>
        <v>3</v>
      </c>
    </row>
    <row r="71" spans="2:81" ht="15" customHeight="1">
      <c r="B71" s="187"/>
      <c r="C71" s="187"/>
      <c r="D71" s="187"/>
      <c r="E71" s="187"/>
      <c r="F71" s="187"/>
      <c r="G71" s="187"/>
      <c r="H71" s="187"/>
      <c r="I71" s="187"/>
      <c r="J71" s="187"/>
      <c r="K71" s="187"/>
      <c r="L71" s="187"/>
      <c r="M71" s="187"/>
      <c r="N71" s="187"/>
      <c r="O71" s="187"/>
      <c r="P71" s="187"/>
      <c r="Q71" s="187"/>
      <c r="R71" s="187"/>
      <c r="S71" s="187"/>
      <c r="T71" s="187"/>
      <c r="U71" s="187"/>
      <c r="V71" s="187"/>
      <c r="W71" s="187"/>
      <c r="X71" s="187"/>
      <c r="Y71" s="187"/>
      <c r="Z71" s="187"/>
      <c r="AA71" s="187"/>
      <c r="AB71" s="187"/>
      <c r="AC71" s="187"/>
      <c r="AD71" s="187"/>
      <c r="AE71" s="187"/>
      <c r="AF71" s="187"/>
      <c r="AG71" s="187"/>
      <c r="AH71" s="187"/>
      <c r="AI71" s="187"/>
      <c r="AJ71" s="187"/>
      <c r="AK71" s="187"/>
      <c r="AL71" s="187"/>
      <c r="AM71" s="187"/>
      <c r="AN71" s="187"/>
      <c r="AO71" s="187"/>
      <c r="AP71" s="187"/>
      <c r="AQ71" s="187"/>
      <c r="AR71" s="187"/>
      <c r="AS71" s="187"/>
      <c r="AT71" s="187"/>
      <c r="AU71" s="187"/>
      <c r="AV71" s="187"/>
      <c r="AW71" s="187"/>
      <c r="AX71" s="187"/>
      <c r="AY71" s="187"/>
      <c r="AZ71" s="187"/>
      <c r="BA71" s="187"/>
      <c r="BB71" s="187"/>
      <c r="BC71" s="187"/>
      <c r="BD71" s="187"/>
      <c r="BE71" s="187"/>
      <c r="BF71" s="187"/>
      <c r="BG71" s="187"/>
      <c r="BH71" s="187"/>
      <c r="BI71" s="638" t="s">
        <v>327</v>
      </c>
      <c r="BJ71" s="638">
        <v>7</v>
      </c>
      <c r="BK71" s="638" t="s">
        <v>328</v>
      </c>
      <c r="BL71" s="798">
        <f t="shared" si="14"/>
        <v>0</v>
      </c>
      <c r="BM71" s="639"/>
      <c r="BN71" s="799"/>
      <c r="BO71" s="281">
        <f>IF(SUM(BM71:BM73=0),0,SUM(BL71:BL73)/SUM(BM71:BM73))</f>
        <v>0</v>
      </c>
      <c r="BP71" s="641">
        <v>0.05</v>
      </c>
      <c r="BQ71" s="798">
        <f t="shared" si="15"/>
        <v>0</v>
      </c>
      <c r="BR71" s="639"/>
      <c r="BS71" s="799"/>
      <c r="BT71" s="281">
        <f>IF(SUM(BR71:BR73=0),0,SUM(BQ71:BQ73)/SUM(BR71:BR73))</f>
        <v>0</v>
      </c>
      <c r="BU71" s="641">
        <v>0.05</v>
      </c>
      <c r="BW71" s="248"/>
      <c r="BX71" s="791" t="str">
        <f t="shared" si="16"/>
        <v>Apr</v>
      </c>
      <c r="BY71" s="792">
        <f>IF(CB71=$CB77,SUMIF($BI65:$BI76,$BX71,$BR65:$BR76),SUMIF($BI65:$BI76,$BX71,$BM65:$BM76))</f>
        <v>0</v>
      </c>
      <c r="BZ71" s="641">
        <f>IF(IF(CB71=CB77,SUMIF(BI65:BI76,$BX71,BU65:BU76),SUMIF(BI65:BI76,$BX71,BP65:BP76))=0,NA(),IF(CB71=CB77,SUMIF(BI65:BI76,$BX71,BU65:BU76),SUMIF(BI65:BI76,$BX71,BP65:BP76)))</f>
        <v>0.05</v>
      </c>
      <c r="CA71" s="800" t="e">
        <f>IF(IF(CB71=CB77,SUMIF(BI65:BI76,$BX71,BS65:BS76),SUMIF(BI65:BI76,$BX71,BN65:BN76))=0,NA(),IF(CB71=CB77,SUMIF(BI65:BI76,$BX71,BS65:BS76),SUMIF(BI65:BI76,$BX71,BN65:BN76)))</f>
        <v>#N/A</v>
      </c>
      <c r="CB71" s="645">
        <f t="shared" si="17"/>
        <v>23</v>
      </c>
      <c r="CC71" s="795">
        <f t="shared" si="18"/>
        <v>4</v>
      </c>
    </row>
    <row r="72" spans="2:81" ht="15" customHeight="1">
      <c r="B72" s="187"/>
      <c r="C72" s="187"/>
      <c r="D72" s="187"/>
      <c r="E72" s="187"/>
      <c r="F72" s="187"/>
      <c r="G72" s="187"/>
      <c r="H72" s="187"/>
      <c r="I72" s="187"/>
      <c r="J72" s="187"/>
      <c r="K72" s="187"/>
      <c r="L72" s="187"/>
      <c r="M72" s="187"/>
      <c r="N72" s="187"/>
      <c r="O72" s="187"/>
      <c r="P72" s="187"/>
      <c r="Q72" s="187"/>
      <c r="R72" s="187"/>
      <c r="S72" s="187"/>
      <c r="T72" s="187"/>
      <c r="U72" s="187"/>
      <c r="V72" s="187"/>
      <c r="W72" s="187"/>
      <c r="X72" s="187"/>
      <c r="Y72" s="187"/>
      <c r="Z72" s="187"/>
      <c r="AA72" s="187"/>
      <c r="AB72" s="187"/>
      <c r="AC72" s="187"/>
      <c r="AD72" s="187"/>
      <c r="AE72" s="187"/>
      <c r="AF72" s="187"/>
      <c r="AG72" s="187"/>
      <c r="AH72" s="187"/>
      <c r="AI72" s="187"/>
      <c r="AJ72" s="187"/>
      <c r="AK72" s="187"/>
      <c r="AL72" s="187"/>
      <c r="AM72" s="187"/>
      <c r="AN72" s="187"/>
      <c r="AO72" s="187"/>
      <c r="AP72" s="187"/>
      <c r="AQ72" s="187"/>
      <c r="AR72" s="187"/>
      <c r="AS72" s="187"/>
      <c r="AT72" s="187"/>
      <c r="AU72" s="187"/>
      <c r="AV72" s="187"/>
      <c r="AW72" s="187"/>
      <c r="AX72" s="187"/>
      <c r="AY72" s="187"/>
      <c r="AZ72" s="187"/>
      <c r="BA72" s="187"/>
      <c r="BB72" s="187"/>
      <c r="BC72" s="187"/>
      <c r="BD72" s="187"/>
      <c r="BE72" s="187"/>
      <c r="BF72" s="187"/>
      <c r="BG72" s="187"/>
      <c r="BH72" s="187"/>
      <c r="BI72" s="638" t="s">
        <v>329</v>
      </c>
      <c r="BJ72" s="638">
        <v>8</v>
      </c>
      <c r="BK72" s="638" t="s">
        <v>328</v>
      </c>
      <c r="BL72" s="798">
        <f t="shared" si="14"/>
        <v>0</v>
      </c>
      <c r="BM72" s="639"/>
      <c r="BN72" s="799"/>
      <c r="BO72" s="270"/>
      <c r="BP72" s="641">
        <v>0.05</v>
      </c>
      <c r="BQ72" s="798">
        <f t="shared" si="15"/>
        <v>0</v>
      </c>
      <c r="BR72" s="639"/>
      <c r="BS72" s="799"/>
      <c r="BT72" s="270"/>
      <c r="BU72" s="641">
        <v>0.05</v>
      </c>
      <c r="BW72" s="248"/>
      <c r="BX72" s="791" t="str">
        <f t="shared" si="16"/>
        <v>May</v>
      </c>
      <c r="BY72" s="792">
        <f>IF(CB72=$CB77,SUMIF($BI65:$BI76,$BX72,$BR65:$BR76),SUMIF($BI65:$BI76,$BX72,$BM65:$BM76))</f>
        <v>0</v>
      </c>
      <c r="BZ72" s="641">
        <f>IF(IF(CB72=CB77,SUMIF(BI65:BI76,$BX72,BU65:BU76),SUMIF(BI65:BI76,$BX72,BP65:BP76))=0,NA(),IF(CB72=CB77,SUMIF(BI65:BI76,$BX72,BU65:BU76),SUMIF(BI65:BI76,$BX72,BP65:BP76)))</f>
        <v>0.05</v>
      </c>
      <c r="CA72" s="800" t="e">
        <f>IF(IF(CB72=CB77,SUMIF(BI65:BI76,$BX72,BS65:BS76),SUMIF(BI65:BI76,$BX72,BN65:BN76))=0,NA(),IF(CB72=CB77,SUMIF(BI65:BI76,$BX72,BS65:BS76),SUMIF(BI65:BI76,$BX72,BN65:BN76)))</f>
        <v>#N/A</v>
      </c>
      <c r="CB72" s="645">
        <f t="shared" si="17"/>
        <v>23</v>
      </c>
      <c r="CC72" s="795">
        <f t="shared" si="18"/>
        <v>5</v>
      </c>
    </row>
    <row r="73" spans="2:81" ht="15" customHeight="1">
      <c r="B73" s="187"/>
      <c r="C73" s="187"/>
      <c r="D73" s="187"/>
      <c r="E73" s="187"/>
      <c r="F73" s="187"/>
      <c r="G73" s="187"/>
      <c r="H73" s="187"/>
      <c r="I73" s="187"/>
      <c r="J73" s="187"/>
      <c r="K73" s="187"/>
      <c r="L73" s="187"/>
      <c r="M73" s="187"/>
      <c r="N73" s="187"/>
      <c r="O73" s="187"/>
      <c r="P73" s="187"/>
      <c r="Q73" s="187"/>
      <c r="R73" s="187"/>
      <c r="S73" s="187"/>
      <c r="T73" s="187"/>
      <c r="U73" s="187"/>
      <c r="V73" s="187"/>
      <c r="W73" s="187"/>
      <c r="X73" s="187"/>
      <c r="Y73" s="187"/>
      <c r="Z73" s="187"/>
      <c r="AA73" s="187"/>
      <c r="AB73" s="187"/>
      <c r="AC73" s="187"/>
      <c r="AD73" s="187"/>
      <c r="AE73" s="187"/>
      <c r="AF73" s="187"/>
      <c r="AG73" s="187"/>
      <c r="AH73" s="187"/>
      <c r="AI73" s="187"/>
      <c r="AJ73" s="187"/>
      <c r="AK73" s="187"/>
      <c r="AL73" s="187"/>
      <c r="AM73" s="187"/>
      <c r="AN73" s="187"/>
      <c r="AO73" s="187"/>
      <c r="AP73" s="187"/>
      <c r="AQ73" s="187"/>
      <c r="AR73" s="187"/>
      <c r="AS73" s="187"/>
      <c r="AT73" s="187"/>
      <c r="AU73" s="187"/>
      <c r="AV73" s="187"/>
      <c r="AW73" s="187"/>
      <c r="AX73" s="187"/>
      <c r="AY73" s="187"/>
      <c r="AZ73" s="187"/>
      <c r="BA73" s="187"/>
      <c r="BB73" s="187"/>
      <c r="BC73" s="187"/>
      <c r="BD73" s="187"/>
      <c r="BE73" s="187"/>
      <c r="BF73" s="187"/>
      <c r="BG73" s="187"/>
      <c r="BH73" s="187"/>
      <c r="BI73" s="638" t="s">
        <v>331</v>
      </c>
      <c r="BJ73" s="638">
        <v>9</v>
      </c>
      <c r="BK73" s="638" t="s">
        <v>328</v>
      </c>
      <c r="BL73" s="798">
        <f t="shared" si="14"/>
        <v>0</v>
      </c>
      <c r="BM73" s="639"/>
      <c r="BN73" s="799"/>
      <c r="BO73" s="270"/>
      <c r="BP73" s="641">
        <v>0.05</v>
      </c>
      <c r="BQ73" s="798">
        <f t="shared" si="15"/>
        <v>0</v>
      </c>
      <c r="BR73" s="639"/>
      <c r="BS73" s="799"/>
      <c r="BT73" s="270"/>
      <c r="BU73" s="641">
        <v>0.05</v>
      </c>
      <c r="BW73" s="248"/>
      <c r="BX73" s="791" t="str">
        <f t="shared" si="16"/>
        <v>Jun</v>
      </c>
      <c r="BY73" s="792">
        <f>IF(CB73=$CB77,SUMIF($BI65:$BI76,$BX73,$BR65:$BR76),SUMIF($BI65:$BI76,$BX73,$BM65:$BM76))</f>
        <v>0</v>
      </c>
      <c r="BZ73" s="641">
        <f>IF(IF(CB73=CB77,SUMIF(BI65:BI76,$BX73,BU65:BU76),SUMIF(BI65:BI76,$BX73,BP65:BP76))=0,NA(),IF(CB73=CB77,SUMIF(BI65:BI76,$BX73,BU65:BU76),SUMIF(BI65:BI76,$BX73,BP65:BP76)))</f>
        <v>0.05</v>
      </c>
      <c r="CA73" s="800" t="e">
        <f>IF(IF(CB73=CB77,SUMIF(BI65:BI76,$BX73,BS65:BS76),SUMIF(BI65:BI76,$BX73,BN65:BN76))=0,NA(),IF(CB73=CB77,SUMIF(BI65:BI76,$BX73,BS65:BS76),SUMIF(BI65:BI76,$BX73,BN65:BN76)))</f>
        <v>#N/A</v>
      </c>
      <c r="CB73" s="645">
        <f t="shared" si="17"/>
        <v>23</v>
      </c>
      <c r="CC73" s="795">
        <f t="shared" si="18"/>
        <v>6</v>
      </c>
    </row>
    <row r="74" spans="2:81" ht="15" customHeight="1">
      <c r="B74" s="187"/>
      <c r="C74" s="187"/>
      <c r="D74" s="187"/>
      <c r="E74" s="187"/>
      <c r="F74" s="187"/>
      <c r="G74" s="187"/>
      <c r="H74" s="187"/>
      <c r="I74" s="187"/>
      <c r="J74" s="187"/>
      <c r="K74" s="187"/>
      <c r="L74" s="187"/>
      <c r="M74" s="187"/>
      <c r="N74" s="187"/>
      <c r="O74" s="187"/>
      <c r="P74" s="187"/>
      <c r="Q74" s="187"/>
      <c r="R74" s="187"/>
      <c r="S74" s="187"/>
      <c r="T74" s="187"/>
      <c r="U74" s="187"/>
      <c r="V74" s="187"/>
      <c r="W74" s="187"/>
      <c r="X74" s="187"/>
      <c r="Y74" s="187"/>
      <c r="Z74" s="187"/>
      <c r="AA74" s="187"/>
      <c r="AB74" s="187"/>
      <c r="AC74" s="187"/>
      <c r="AD74" s="187"/>
      <c r="AE74" s="187"/>
      <c r="AF74" s="187"/>
      <c r="AG74" s="187"/>
      <c r="AH74" s="187"/>
      <c r="AI74" s="187"/>
      <c r="AJ74" s="187"/>
      <c r="AK74" s="187"/>
      <c r="AL74" s="187"/>
      <c r="AM74" s="187"/>
      <c r="AN74" s="187"/>
      <c r="AO74" s="187"/>
      <c r="AP74" s="187"/>
      <c r="AQ74" s="187"/>
      <c r="AR74" s="187"/>
      <c r="AS74" s="187"/>
      <c r="AT74" s="187"/>
      <c r="AU74" s="187"/>
      <c r="AV74" s="187"/>
      <c r="AW74" s="187"/>
      <c r="AX74" s="187"/>
      <c r="AY74" s="187"/>
      <c r="AZ74" s="187"/>
      <c r="BA74" s="187"/>
      <c r="BB74" s="187"/>
      <c r="BC74" s="187"/>
      <c r="BD74" s="187"/>
      <c r="BE74" s="187"/>
      <c r="BF74" s="187"/>
      <c r="BG74" s="187"/>
      <c r="BH74" s="187"/>
      <c r="BI74" s="638" t="s">
        <v>337</v>
      </c>
      <c r="BJ74" s="638">
        <v>10</v>
      </c>
      <c r="BK74" s="638" t="s">
        <v>338</v>
      </c>
      <c r="BL74" s="798">
        <f t="shared" si="14"/>
        <v>0</v>
      </c>
      <c r="BM74" s="639"/>
      <c r="BN74" s="799"/>
      <c r="BO74" s="281">
        <f>IF(SUM(BM74:BM76=0),0,SUM(BL74:BL76)/SUM(BM74:BM76))</f>
        <v>0</v>
      </c>
      <c r="BP74" s="641">
        <v>0.05</v>
      </c>
      <c r="BQ74" s="798">
        <f t="shared" si="15"/>
        <v>0</v>
      </c>
      <c r="BR74" s="639"/>
      <c r="BS74" s="799"/>
      <c r="BT74" s="281">
        <f>IF(SUM(BR74:BR76=0),0,SUM(BQ74:BQ76)/SUM(BR74:BR76))</f>
        <v>0</v>
      </c>
      <c r="BU74" s="641">
        <v>0.05</v>
      </c>
      <c r="BW74" s="248"/>
      <c r="BX74" s="791" t="str">
        <f t="shared" si="16"/>
        <v>Jul</v>
      </c>
      <c r="BY74" s="792">
        <f>IF(CB74=$CB77,SUMIF($BI65:$BI76,$BX74,$BR65:$BR76),SUMIF($BI65:$BI76,$BX74,$BM65:$BM76))</f>
        <v>0</v>
      </c>
      <c r="BZ74" s="641">
        <f>IF(IF(CB74=CB77,SUMIF(BI65:BI76,$BX74,BU65:BU76),SUMIF(BI65:BI76,$BX74,BP65:BP76))=0,NA(),IF(CB74=CB77,SUMIF(BI65:BI76,$BX74,BU65:BU76),SUMIF(BI65:BI76,$BX74,BP65:BP76)))</f>
        <v>0.05</v>
      </c>
      <c r="CA74" s="800" t="e">
        <f>IF(IF(CB74=CB77,SUMIF(BI65:BI76,$BX74,BS65:BS76),SUMIF(BI65:BI76,$BX74,BN65:BN76))=0,NA(),IF(CB74=CB77,SUMIF(BI65:BI76,$BX74,BS65:BS76),SUMIF(BI65:BI76,$BX74,BN65:BN76)))</f>
        <v>#N/A</v>
      </c>
      <c r="CB74" s="645">
        <f t="shared" si="17"/>
        <v>23</v>
      </c>
      <c r="CC74" s="795">
        <f t="shared" si="18"/>
        <v>7</v>
      </c>
    </row>
    <row r="75" spans="2:81" ht="15" customHeight="1">
      <c r="B75" s="187"/>
      <c r="C75" s="187"/>
      <c r="D75" s="187"/>
      <c r="E75" s="187"/>
      <c r="F75" s="187"/>
      <c r="G75" s="187"/>
      <c r="H75" s="187"/>
      <c r="I75" s="187"/>
      <c r="J75" s="187"/>
      <c r="K75" s="187"/>
      <c r="L75" s="187"/>
      <c r="M75" s="187"/>
      <c r="N75" s="187"/>
      <c r="O75" s="187"/>
      <c r="P75" s="187"/>
      <c r="Q75" s="187"/>
      <c r="R75" s="187"/>
      <c r="S75" s="187"/>
      <c r="T75" s="187"/>
      <c r="U75" s="187"/>
      <c r="V75" s="187"/>
      <c r="W75" s="187"/>
      <c r="X75" s="187"/>
      <c r="Y75" s="187"/>
      <c r="Z75" s="187"/>
      <c r="AA75" s="187"/>
      <c r="AB75" s="187"/>
      <c r="AC75" s="187"/>
      <c r="AD75" s="187"/>
      <c r="AE75" s="187"/>
      <c r="AF75" s="187"/>
      <c r="AG75" s="187"/>
      <c r="AH75" s="187"/>
      <c r="AI75" s="187"/>
      <c r="AJ75" s="187"/>
      <c r="AK75" s="187"/>
      <c r="AL75" s="187"/>
      <c r="AM75" s="187"/>
      <c r="AN75" s="187"/>
      <c r="AO75" s="187"/>
      <c r="AP75" s="187"/>
      <c r="AQ75" s="187"/>
      <c r="AR75" s="187"/>
      <c r="AS75" s="187"/>
      <c r="AT75" s="187"/>
      <c r="AU75" s="187"/>
      <c r="AV75" s="187"/>
      <c r="AW75" s="187"/>
      <c r="AX75" s="187"/>
      <c r="AY75" s="187"/>
      <c r="AZ75" s="187"/>
      <c r="BA75" s="187"/>
      <c r="BB75" s="187"/>
      <c r="BC75" s="187"/>
      <c r="BD75" s="187"/>
      <c r="BE75" s="187"/>
      <c r="BF75" s="187"/>
      <c r="BG75" s="187"/>
      <c r="BH75" s="187"/>
      <c r="BI75" s="638" t="s">
        <v>343</v>
      </c>
      <c r="BJ75" s="638">
        <v>11</v>
      </c>
      <c r="BK75" s="638" t="s">
        <v>338</v>
      </c>
      <c r="BL75" s="798">
        <f t="shared" si="14"/>
        <v>0</v>
      </c>
      <c r="BM75" s="639"/>
      <c r="BN75" s="799"/>
      <c r="BO75" s="270"/>
      <c r="BP75" s="641">
        <v>0.05</v>
      </c>
      <c r="BQ75" s="798">
        <f t="shared" si="15"/>
        <v>0</v>
      </c>
      <c r="BR75" s="639"/>
      <c r="BS75" s="799"/>
      <c r="BT75" s="270"/>
      <c r="BU75" s="641">
        <v>0.05</v>
      </c>
      <c r="BW75" s="248"/>
      <c r="BX75" s="791" t="str">
        <f t="shared" si="16"/>
        <v>Aug</v>
      </c>
      <c r="BY75" s="792">
        <f>IF(CB75=$CB77,SUMIF($BI65:$BI76,$BX75,$BR65:$BR76),SUMIF($BI65:$BI76,$BX75,$BM65:$BM76))</f>
        <v>0</v>
      </c>
      <c r="BZ75" s="641">
        <f>IF(IF(CB75=CB77,SUMIF(BI65:BI76,$BX75,BU65:BU76),SUMIF(BI65:BI76,$BX75,BP65:BP76))=0,NA(),IF(CB75=CB77,SUMIF(BI65:BI76,$BX75,BU65:BU76),SUMIF(BI65:BI76,$BX75,BP65:BP76)))</f>
        <v>0.05</v>
      </c>
      <c r="CA75" s="800" t="e">
        <f>IF(IF(CB75=CB77,SUMIF(BI65:BI76,$BX75,BS65:BS76),SUMIF(BI65:BI76,$BX75,BN65:BN76))=0,NA(),IF(CB75=CB77,SUMIF(BI65:BI76,$BX75,BS65:BS76),SUMIF(BI65:BI76,$BX75,BN65:BN76)))</f>
        <v>#N/A</v>
      </c>
      <c r="CB75" s="645">
        <f t="shared" si="17"/>
        <v>23</v>
      </c>
      <c r="CC75" s="795">
        <f t="shared" si="18"/>
        <v>8</v>
      </c>
    </row>
    <row r="76" spans="2:81" ht="15" customHeight="1">
      <c r="B76" s="187"/>
      <c r="C76" s="187"/>
      <c r="D76" s="187"/>
      <c r="E76" s="187"/>
      <c r="F76" s="187"/>
      <c r="G76" s="187"/>
      <c r="H76" s="187"/>
      <c r="I76" s="187"/>
      <c r="J76" s="187"/>
      <c r="K76" s="187"/>
      <c r="L76" s="187"/>
      <c r="M76" s="187"/>
      <c r="N76" s="187"/>
      <c r="O76" s="187"/>
      <c r="P76" s="187"/>
      <c r="Q76" s="187"/>
      <c r="R76" s="187"/>
      <c r="S76" s="187"/>
      <c r="T76" s="187"/>
      <c r="U76" s="187"/>
      <c r="V76" s="187"/>
      <c r="W76" s="187"/>
      <c r="X76" s="187"/>
      <c r="Y76" s="187"/>
      <c r="Z76" s="187"/>
      <c r="AA76" s="187"/>
      <c r="AB76" s="187"/>
      <c r="AC76" s="187"/>
      <c r="AD76" s="187"/>
      <c r="AE76" s="187"/>
      <c r="AF76" s="187"/>
      <c r="AG76" s="187"/>
      <c r="AH76" s="187"/>
      <c r="AI76" s="187"/>
      <c r="AJ76" s="187"/>
      <c r="AK76" s="187"/>
      <c r="AL76" s="187"/>
      <c r="AM76" s="187"/>
      <c r="AN76" s="187"/>
      <c r="AO76" s="187"/>
      <c r="AP76" s="187"/>
      <c r="AQ76" s="187"/>
      <c r="AR76" s="187"/>
      <c r="AS76" s="187"/>
      <c r="AT76" s="187"/>
      <c r="AU76" s="187"/>
      <c r="AV76" s="187"/>
      <c r="AW76" s="187"/>
      <c r="AX76" s="187"/>
      <c r="AY76" s="187"/>
      <c r="AZ76" s="187"/>
      <c r="BA76" s="187"/>
      <c r="BB76" s="187"/>
      <c r="BC76" s="187"/>
      <c r="BD76" s="187"/>
      <c r="BE76" s="187"/>
      <c r="BF76" s="187"/>
      <c r="BG76" s="187"/>
      <c r="BH76" s="187"/>
      <c r="BI76" s="638" t="s">
        <v>344</v>
      </c>
      <c r="BJ76" s="638">
        <v>12</v>
      </c>
      <c r="BK76" s="638" t="s">
        <v>338</v>
      </c>
      <c r="BL76" s="798">
        <f t="shared" si="14"/>
        <v>0</v>
      </c>
      <c r="BM76" s="639"/>
      <c r="BN76" s="799"/>
      <c r="BO76" s="270"/>
      <c r="BP76" s="641">
        <v>0.05</v>
      </c>
      <c r="BQ76" s="798">
        <f t="shared" si="15"/>
        <v>0</v>
      </c>
      <c r="BR76" s="639"/>
      <c r="BS76" s="799"/>
      <c r="BT76" s="270"/>
      <c r="BU76" s="641">
        <v>0.05</v>
      </c>
      <c r="BV76" s="248"/>
      <c r="BW76" s="248"/>
      <c r="BX76" s="791" t="str">
        <f t="shared" si="16"/>
        <v>Sep</v>
      </c>
      <c r="BY76" s="792">
        <f>IF(CB76=$CB77,SUMIF($BI65:$BI76,$BX76,$BR65:$BR76),SUMIF($BI65:$BI76,$BX76,$BM65:$BM76))</f>
        <v>0</v>
      </c>
      <c r="BZ76" s="641">
        <f>IF(IF(CB76=CB77,SUMIF(BI65:BI76,$BX76,BU65:BU76),SUMIF(BI65:BI76,$BX76,BP65:BP76))=0,NA(),IF(CB76=CB77,SUMIF(BI65:BI76,$BX76,BU65:BU76),SUMIF(BI65:BI76,$BX76,BP65:BP76)))</f>
        <v>0.05</v>
      </c>
      <c r="CA76" s="800" t="e">
        <f>IF(IF(CB76=CB77,SUMIF(BI65:BI76,$BX76,BS65:BS76),SUMIF(BI65:BI76,$BX76,BN65:BN76))=0,NA(),IF(CB76=CB77,SUMIF(BI65:BI76,$BX76,BS65:BS76),SUMIF(BI65:BI76,$BX76,BN65:BN76)))</f>
        <v>#N/A</v>
      </c>
      <c r="CB76" s="645">
        <f t="shared" si="17"/>
        <v>23</v>
      </c>
      <c r="CC76" s="795">
        <f t="shared" si="18"/>
        <v>9</v>
      </c>
    </row>
    <row r="77" spans="2:81" ht="15" customHeight="1">
      <c r="B77" s="187"/>
      <c r="C77" s="187"/>
      <c r="D77" s="187"/>
      <c r="E77" s="187"/>
      <c r="F77" s="187"/>
      <c r="G77" s="187"/>
      <c r="H77" s="187"/>
      <c r="I77" s="187"/>
      <c r="J77" s="187"/>
      <c r="K77" s="187"/>
      <c r="L77" s="187"/>
      <c r="M77" s="187"/>
      <c r="N77" s="187"/>
      <c r="O77" s="187"/>
      <c r="P77" s="187"/>
      <c r="Q77" s="187"/>
      <c r="R77" s="187"/>
      <c r="S77" s="187"/>
      <c r="T77" s="187"/>
      <c r="U77" s="187"/>
      <c r="V77" s="187"/>
      <c r="W77" s="187"/>
      <c r="X77" s="187"/>
      <c r="Y77" s="187"/>
      <c r="Z77" s="187"/>
      <c r="AA77" s="187"/>
      <c r="AB77" s="187"/>
      <c r="AC77" s="187"/>
      <c r="AD77" s="187"/>
      <c r="AE77" s="187"/>
      <c r="AF77" s="187"/>
      <c r="AG77" s="187"/>
      <c r="AH77" s="187"/>
      <c r="AI77" s="187"/>
      <c r="AJ77" s="187"/>
      <c r="AK77" s="187"/>
      <c r="AL77" s="187"/>
      <c r="AM77" s="187"/>
      <c r="AN77" s="187"/>
      <c r="AO77" s="187"/>
      <c r="AP77" s="187"/>
      <c r="AQ77" s="187"/>
      <c r="AR77" s="187"/>
      <c r="AS77" s="187"/>
      <c r="AT77" s="187"/>
      <c r="AU77" s="187"/>
      <c r="AV77" s="187"/>
      <c r="AW77" s="187"/>
      <c r="AX77" s="187"/>
      <c r="AY77" s="187"/>
      <c r="AZ77" s="187"/>
      <c r="BA77" s="187"/>
      <c r="BB77" s="187"/>
      <c r="BC77" s="187"/>
      <c r="BD77" s="187"/>
      <c r="BE77" s="187"/>
      <c r="BF77" s="187"/>
      <c r="BG77" s="187"/>
      <c r="BH77" s="187"/>
      <c r="BJ77" s="248"/>
      <c r="BK77" s="248"/>
      <c r="BL77" s="248"/>
      <c r="BM77" s="248"/>
      <c r="BN77" s="248"/>
      <c r="BO77" s="248"/>
      <c r="BP77" s="248"/>
      <c r="BQ77" s="248"/>
      <c r="BR77" s="248"/>
      <c r="BS77" s="248"/>
      <c r="BT77" s="248"/>
      <c r="BU77" s="248"/>
      <c r="BV77" s="248"/>
      <c r="BW77" s="796" t="str">
        <f>Cover!$M$34</f>
        <v>OCT FY-24</v>
      </c>
      <c r="BX77" s="791" t="str">
        <f t="shared" si="16"/>
        <v>Oct</v>
      </c>
      <c r="BY77" s="792">
        <f>SUMIF($BI65:$BI76,$BX77,$BR65:$BR76)</f>
        <v>0</v>
      </c>
      <c r="BZ77" s="641">
        <f>IF(IF(CB77=CB77,SUMIF(BI65:BI76,$BX77,BU65:BU76),SUMIF(BI65:BI76,$BX77,BP65:BP76))=0,NA(),IF(CB77=CB77,SUMIF(BI65:BI76,$BX77,BU65:BU76),SUMIF(BI65:BI76,$BX77,BP65:BP76)))</f>
        <v>0.05</v>
      </c>
      <c r="CA77" s="800" t="e">
        <f>IF(SUMIF($BI65:$BI76,$BX77,$BS65:$BS76)=0,NA(),SUMIF($BI65:$BI76,$BX77,$BS65:$BS76))</f>
        <v>#N/A</v>
      </c>
      <c r="CB77" s="645">
        <f t="shared" si="17"/>
        <v>24</v>
      </c>
      <c r="CC77" s="795">
        <f>MONTH(DATEVALUE(LEFT(BW77,3)&amp;" 1"))</f>
        <v>10</v>
      </c>
    </row>
    <row r="78" spans="2:81" ht="15" customHeight="1">
      <c r="B78" s="187"/>
      <c r="C78" s="187"/>
      <c r="D78" s="187"/>
      <c r="E78" s="187"/>
      <c r="F78" s="187"/>
      <c r="G78" s="187"/>
      <c r="H78" s="187"/>
      <c r="I78" s="187"/>
      <c r="J78" s="187"/>
      <c r="K78" s="187"/>
      <c r="L78" s="187"/>
      <c r="M78" s="187"/>
      <c r="N78" s="187"/>
      <c r="O78" s="187"/>
      <c r="P78" s="187"/>
      <c r="Q78" s="187"/>
      <c r="R78" s="187"/>
      <c r="S78" s="187"/>
      <c r="T78" s="187"/>
      <c r="U78" s="187"/>
      <c r="V78" s="187"/>
      <c r="W78" s="187"/>
      <c r="X78" s="187"/>
      <c r="Y78" s="187"/>
      <c r="Z78" s="187"/>
      <c r="AA78" s="187"/>
      <c r="AB78" s="187"/>
      <c r="AC78" s="187"/>
      <c r="AD78" s="187"/>
      <c r="AE78" s="187"/>
      <c r="AF78" s="187"/>
      <c r="AG78" s="187"/>
      <c r="AH78" s="187"/>
      <c r="AI78" s="187"/>
      <c r="AJ78" s="187"/>
      <c r="AK78" s="187"/>
      <c r="AL78" s="187"/>
      <c r="AM78" s="187"/>
      <c r="AN78" s="187"/>
      <c r="AO78" s="187"/>
      <c r="AP78" s="187"/>
      <c r="AQ78" s="187"/>
      <c r="AR78" s="187"/>
      <c r="AS78" s="187"/>
      <c r="AT78" s="187"/>
      <c r="AU78" s="187"/>
      <c r="AV78" s="187"/>
      <c r="AW78" s="187"/>
      <c r="AX78" s="187"/>
      <c r="AY78" s="187"/>
      <c r="AZ78" s="187"/>
      <c r="BA78" s="187"/>
      <c r="BB78" s="187"/>
      <c r="BC78" s="187"/>
      <c r="BD78" s="187"/>
      <c r="BE78" s="187"/>
      <c r="BF78" s="187"/>
      <c r="BG78" s="187"/>
      <c r="BH78" s="187"/>
      <c r="BJ78" s="248"/>
      <c r="BK78" s="248"/>
      <c r="BL78" s="248"/>
      <c r="BM78" s="248"/>
      <c r="BN78" s="248"/>
      <c r="BO78" s="248"/>
      <c r="BP78" s="248"/>
      <c r="BQ78" s="248"/>
      <c r="BR78" s="248"/>
      <c r="BS78" s="248"/>
      <c r="BT78" s="248"/>
      <c r="BU78" s="248"/>
      <c r="BV78" s="248"/>
      <c r="BW78" s="248"/>
      <c r="BX78" s="248"/>
      <c r="BY78" s="248"/>
      <c r="BZ78" s="248"/>
      <c r="CA78" s="248"/>
      <c r="CB78" s="248"/>
      <c r="CC78" s="248"/>
    </row>
    <row r="79" spans="2:81" ht="15" customHeight="1">
      <c r="B79" s="187"/>
      <c r="C79" s="187"/>
      <c r="D79" s="187"/>
      <c r="E79" s="187"/>
      <c r="F79" s="187"/>
      <c r="G79" s="187"/>
      <c r="H79" s="187"/>
      <c r="I79" s="187"/>
      <c r="J79" s="187"/>
      <c r="K79" s="187"/>
      <c r="L79" s="187"/>
      <c r="M79" s="187"/>
      <c r="N79" s="187"/>
      <c r="O79" s="187"/>
      <c r="P79" s="187"/>
      <c r="Q79" s="187"/>
      <c r="R79" s="187"/>
      <c r="S79" s="187"/>
      <c r="T79" s="187"/>
      <c r="U79" s="187"/>
      <c r="V79" s="187"/>
      <c r="W79" s="187"/>
      <c r="X79" s="187"/>
      <c r="Y79" s="187"/>
      <c r="Z79" s="187"/>
      <c r="AA79" s="187"/>
      <c r="AB79" s="187"/>
      <c r="AC79" s="187"/>
      <c r="AD79" s="187"/>
      <c r="AE79" s="187"/>
      <c r="AF79" s="187"/>
      <c r="AG79" s="187"/>
      <c r="AH79" s="187"/>
      <c r="AI79" s="187"/>
      <c r="AJ79" s="187"/>
      <c r="AK79" s="187"/>
      <c r="AL79" s="187"/>
      <c r="AM79" s="187"/>
      <c r="AN79" s="187"/>
      <c r="AO79" s="187"/>
      <c r="AP79" s="187"/>
      <c r="AQ79" s="187"/>
      <c r="AR79" s="187"/>
      <c r="AS79" s="187"/>
      <c r="AT79" s="187"/>
      <c r="AU79" s="187"/>
      <c r="AV79" s="187"/>
      <c r="AW79" s="187"/>
      <c r="AX79" s="187"/>
      <c r="AY79" s="187"/>
      <c r="AZ79" s="187"/>
      <c r="BA79" s="187"/>
      <c r="BB79" s="187"/>
      <c r="BC79" s="187"/>
      <c r="BD79" s="187"/>
      <c r="BE79" s="187"/>
      <c r="BF79" s="187"/>
      <c r="BG79" s="187"/>
      <c r="BH79" s="187"/>
      <c r="BI79" s="247" t="s">
        <v>292</v>
      </c>
      <c r="BJ79" s="1723" t="s">
        <v>172</v>
      </c>
      <c r="BK79" s="1723"/>
      <c r="BL79" s="1723"/>
      <c r="BM79" s="1723"/>
      <c r="BN79" s="1723"/>
      <c r="BO79" s="1723"/>
      <c r="BP79" s="1723"/>
      <c r="BQ79" s="1723"/>
      <c r="BR79" s="1723"/>
      <c r="BS79" s="1723"/>
      <c r="BT79" s="1723"/>
      <c r="BU79" s="1723"/>
      <c r="BV79" s="248"/>
      <c r="BW79" s="248"/>
      <c r="BX79" s="248"/>
      <c r="BY79" s="248"/>
      <c r="BZ79" s="248"/>
      <c r="CA79" s="248"/>
      <c r="CB79" s="248"/>
      <c r="CC79" s="248"/>
    </row>
    <row r="80" spans="2:81" ht="15" customHeight="1">
      <c r="B80" s="187"/>
      <c r="C80" s="187"/>
      <c r="D80" s="187"/>
      <c r="E80" s="187"/>
      <c r="F80" s="187"/>
      <c r="G80" s="187"/>
      <c r="H80" s="187"/>
      <c r="I80" s="187"/>
      <c r="J80" s="187"/>
      <c r="K80" s="187"/>
      <c r="L80" s="187"/>
      <c r="M80" s="187"/>
      <c r="N80" s="187"/>
      <c r="O80" s="187"/>
      <c r="P80" s="187"/>
      <c r="Q80" s="187"/>
      <c r="R80" s="187"/>
      <c r="S80" s="187"/>
      <c r="T80" s="187"/>
      <c r="U80" s="187"/>
      <c r="V80" s="187"/>
      <c r="W80" s="187"/>
      <c r="X80" s="187"/>
      <c r="Y80" s="187"/>
      <c r="Z80" s="187"/>
      <c r="AA80" s="187"/>
      <c r="AB80" s="187"/>
      <c r="AC80" s="187"/>
      <c r="AD80" s="187"/>
      <c r="AE80" s="187"/>
      <c r="AF80" s="187"/>
      <c r="AG80" s="187"/>
      <c r="AH80" s="187"/>
      <c r="AI80" s="187"/>
      <c r="AJ80" s="187"/>
      <c r="AK80" s="187"/>
      <c r="AL80" s="187"/>
      <c r="AM80" s="187"/>
      <c r="AN80" s="187"/>
      <c r="AO80" s="187"/>
      <c r="AP80" s="187"/>
      <c r="AQ80" s="187"/>
      <c r="AR80" s="187"/>
      <c r="AS80" s="187"/>
      <c r="AT80" s="187"/>
      <c r="AU80" s="187"/>
      <c r="AV80" s="187"/>
      <c r="AW80" s="187"/>
      <c r="AX80" s="187"/>
      <c r="AY80" s="187"/>
      <c r="AZ80" s="187"/>
      <c r="BA80" s="187"/>
      <c r="BB80" s="187"/>
      <c r="BC80" s="187"/>
      <c r="BD80" s="187"/>
      <c r="BE80" s="187"/>
      <c r="BF80" s="187"/>
      <c r="BG80" s="187"/>
      <c r="BH80" s="187"/>
      <c r="BI80" s="247" t="s">
        <v>296</v>
      </c>
      <c r="BJ80" s="1723" t="s">
        <v>172</v>
      </c>
      <c r="BK80" s="1723"/>
      <c r="BL80" s="1723"/>
      <c r="BM80" s="1723"/>
      <c r="BN80" s="1723"/>
      <c r="BO80" s="1723"/>
      <c r="BP80" s="1723"/>
      <c r="BQ80" s="1723"/>
      <c r="BR80" s="1723"/>
      <c r="BS80" s="1723"/>
      <c r="BT80" s="1723"/>
      <c r="BU80" s="1723"/>
      <c r="BV80" s="248"/>
      <c r="BW80" s="248"/>
      <c r="BX80" s="248"/>
      <c r="BY80" s="248"/>
      <c r="BZ80" s="248"/>
      <c r="CA80" s="248"/>
      <c r="CB80" s="248"/>
      <c r="CC80" s="248"/>
    </row>
    <row r="81" spans="2:81" ht="15" customHeight="1" thickBot="1">
      <c r="B81" s="187"/>
      <c r="C81" s="187"/>
      <c r="D81" s="187"/>
      <c r="E81" s="187"/>
      <c r="F81" s="187"/>
      <c r="G81" s="187"/>
      <c r="H81" s="187"/>
      <c r="I81" s="187"/>
      <c r="J81" s="187"/>
      <c r="K81" s="187"/>
      <c r="L81" s="187"/>
      <c r="M81" s="187"/>
      <c r="N81" s="187"/>
      <c r="O81" s="187"/>
      <c r="P81" s="187"/>
      <c r="Q81" s="187"/>
      <c r="R81" s="187"/>
      <c r="S81" s="187"/>
      <c r="T81" s="187"/>
      <c r="U81" s="187"/>
      <c r="V81" s="187"/>
      <c r="W81" s="187"/>
      <c r="X81" s="187"/>
      <c r="Y81" s="187"/>
      <c r="Z81" s="187"/>
      <c r="AA81" s="187"/>
      <c r="AB81" s="187"/>
      <c r="AC81" s="187"/>
      <c r="AD81" s="187"/>
      <c r="AE81" s="187"/>
      <c r="AF81" s="187"/>
      <c r="AG81" s="187"/>
      <c r="AH81" s="187"/>
      <c r="AI81" s="187"/>
      <c r="AJ81" s="187"/>
      <c r="AK81" s="187"/>
      <c r="AL81" s="187"/>
      <c r="AM81" s="187"/>
      <c r="AN81" s="187"/>
      <c r="AO81" s="187"/>
      <c r="AP81" s="187"/>
      <c r="AQ81" s="187"/>
      <c r="AR81" s="187"/>
      <c r="AS81" s="187"/>
      <c r="AT81" s="187"/>
      <c r="AU81" s="187"/>
      <c r="AV81" s="187"/>
      <c r="AW81" s="187"/>
      <c r="AX81" s="187"/>
      <c r="AY81" s="187"/>
      <c r="AZ81" s="187"/>
      <c r="BA81" s="187"/>
      <c r="BB81" s="187"/>
      <c r="BC81" s="187"/>
      <c r="BD81" s="187"/>
      <c r="BE81" s="187"/>
      <c r="BF81" s="187"/>
      <c r="BG81" s="187"/>
      <c r="BH81" s="187"/>
      <c r="BI81" s="247" t="s">
        <v>300</v>
      </c>
      <c r="BJ81" s="1724" t="s">
        <v>648</v>
      </c>
      <c r="BK81" s="1724"/>
      <c r="BL81" s="1724"/>
      <c r="BM81" s="1724"/>
      <c r="BN81" s="1724"/>
      <c r="BO81" s="1724"/>
      <c r="BP81" s="1724"/>
      <c r="BQ81" s="1724"/>
      <c r="BR81" s="1724"/>
      <c r="BS81" s="1724"/>
      <c r="BT81" s="1724"/>
      <c r="BU81" s="1724"/>
      <c r="BV81" s="248"/>
      <c r="BW81" s="248"/>
      <c r="BX81" s="248"/>
      <c r="BY81" s="248"/>
      <c r="BZ81" s="248"/>
      <c r="CA81" s="248"/>
      <c r="CB81" s="248"/>
      <c r="CC81" s="248"/>
    </row>
    <row r="82" spans="2:81" ht="15" customHeight="1" thickBot="1">
      <c r="B82" s="187"/>
      <c r="C82" s="187"/>
      <c r="D82" s="187"/>
      <c r="E82" s="187"/>
      <c r="F82" s="187"/>
      <c r="G82" s="187"/>
      <c r="H82" s="187"/>
      <c r="I82" s="187"/>
      <c r="J82" s="187"/>
      <c r="K82" s="187"/>
      <c r="L82" s="187"/>
      <c r="M82" s="187"/>
      <c r="N82" s="187"/>
      <c r="O82" s="187"/>
      <c r="P82" s="187"/>
      <c r="Q82" s="187"/>
      <c r="R82" s="187"/>
      <c r="S82" s="187"/>
      <c r="T82" s="187"/>
      <c r="U82" s="187"/>
      <c r="V82" s="187"/>
      <c r="W82" s="187"/>
      <c r="X82" s="187"/>
      <c r="Y82" s="187"/>
      <c r="Z82" s="187"/>
      <c r="AA82" s="187"/>
      <c r="AB82" s="187"/>
      <c r="AC82" s="187"/>
      <c r="AD82" s="187"/>
      <c r="AE82" s="187"/>
      <c r="AF82" s="187"/>
      <c r="AG82" s="187"/>
      <c r="AH82" s="187"/>
      <c r="AI82" s="187"/>
      <c r="AJ82" s="187"/>
      <c r="AK82" s="187"/>
      <c r="AL82" s="187"/>
      <c r="AM82" s="187"/>
      <c r="AN82" s="187"/>
      <c r="AO82" s="187"/>
      <c r="AP82" s="187"/>
      <c r="AQ82" s="187"/>
      <c r="AR82" s="187"/>
      <c r="AS82" s="187"/>
      <c r="AT82" s="187"/>
      <c r="AU82" s="187"/>
      <c r="AV82" s="187"/>
      <c r="AW82" s="187"/>
      <c r="AX82" s="187"/>
      <c r="AY82" s="187"/>
      <c r="AZ82" s="187"/>
      <c r="BA82" s="187"/>
      <c r="BB82" s="187"/>
      <c r="BC82" s="187"/>
      <c r="BD82" s="187"/>
      <c r="BE82" s="187"/>
      <c r="BF82" s="187"/>
      <c r="BG82" s="187"/>
      <c r="BH82" s="187"/>
      <c r="BI82" s="1716" t="s">
        <v>170</v>
      </c>
      <c r="BJ82" s="1717"/>
      <c r="BK82" s="1718"/>
      <c r="BL82" s="1717" t="s">
        <v>302</v>
      </c>
      <c r="BM82" s="1717"/>
      <c r="BN82" s="1717"/>
      <c r="BO82" s="1717"/>
      <c r="BP82" s="1729"/>
      <c r="BQ82" s="1716" t="s">
        <v>719</v>
      </c>
      <c r="BR82" s="1717"/>
      <c r="BS82" s="1717"/>
      <c r="BT82" s="1717"/>
      <c r="BU82" s="1718"/>
      <c r="BV82" s="248"/>
      <c r="BW82" s="1716" t="s">
        <v>303</v>
      </c>
      <c r="BX82" s="1717"/>
      <c r="BY82" s="1717"/>
      <c r="BZ82" s="1717"/>
      <c r="CA82" s="1717"/>
      <c r="CB82" s="1717"/>
      <c r="CC82" s="1718"/>
    </row>
    <row r="83" spans="2:81" ht="15" customHeight="1">
      <c r="B83" s="187"/>
      <c r="C83" s="187"/>
      <c r="D83" s="187"/>
      <c r="E83" s="187"/>
      <c r="F83" s="187"/>
      <c r="G83" s="187"/>
      <c r="H83" s="187"/>
      <c r="I83" s="187"/>
      <c r="J83" s="187"/>
      <c r="K83" s="187"/>
      <c r="L83" s="187"/>
      <c r="M83" s="187"/>
      <c r="N83" s="187"/>
      <c r="O83" s="187"/>
      <c r="P83" s="187"/>
      <c r="Q83" s="187"/>
      <c r="R83" s="187"/>
      <c r="S83" s="187"/>
      <c r="T83" s="187"/>
      <c r="U83" s="187"/>
      <c r="V83" s="187"/>
      <c r="W83" s="187"/>
      <c r="X83" s="187"/>
      <c r="Y83" s="187"/>
      <c r="Z83" s="187"/>
      <c r="AA83" s="187"/>
      <c r="AB83" s="187"/>
      <c r="AC83" s="187"/>
      <c r="AD83" s="187"/>
      <c r="AE83" s="187"/>
      <c r="AF83" s="187"/>
      <c r="AG83" s="187"/>
      <c r="AH83" s="187"/>
      <c r="AI83" s="187"/>
      <c r="AJ83" s="187"/>
      <c r="AK83" s="187"/>
      <c r="AL83" s="187"/>
      <c r="AM83" s="187"/>
      <c r="AN83" s="187"/>
      <c r="AO83" s="187"/>
      <c r="AP83" s="187"/>
      <c r="AQ83" s="187"/>
      <c r="AR83" s="187"/>
      <c r="AS83" s="187"/>
      <c r="AT83" s="187"/>
      <c r="AU83" s="187"/>
      <c r="AV83" s="187"/>
      <c r="AW83" s="187"/>
      <c r="AX83" s="187"/>
      <c r="AY83" s="187"/>
      <c r="AZ83" s="187"/>
      <c r="BA83" s="187"/>
      <c r="BB83" s="187"/>
      <c r="BC83" s="187"/>
      <c r="BD83" s="187"/>
      <c r="BE83" s="187"/>
      <c r="BF83" s="187"/>
      <c r="BG83" s="187"/>
      <c r="BH83" s="187"/>
      <c r="BI83" s="253" t="s">
        <v>23</v>
      </c>
      <c r="BJ83" s="253" t="s">
        <v>37</v>
      </c>
      <c r="BK83" s="253" t="s">
        <v>304</v>
      </c>
      <c r="BL83" s="688" t="s">
        <v>305</v>
      </c>
      <c r="BM83" s="688" t="s">
        <v>310</v>
      </c>
      <c r="BN83" s="688" t="s">
        <v>311</v>
      </c>
      <c r="BO83" s="254" t="s">
        <v>312</v>
      </c>
      <c r="BP83" s="688" t="s">
        <v>313</v>
      </c>
      <c r="BQ83" s="688" t="s">
        <v>305</v>
      </c>
      <c r="BR83" s="688" t="s">
        <v>715</v>
      </c>
      <c r="BS83" s="688" t="s">
        <v>716</v>
      </c>
      <c r="BT83" s="254" t="s">
        <v>717</v>
      </c>
      <c r="BU83" s="688" t="s">
        <v>718</v>
      </c>
      <c r="BV83" s="248"/>
      <c r="BW83" s="253" t="s">
        <v>314</v>
      </c>
      <c r="BX83" s="253" t="s">
        <v>23</v>
      </c>
      <c r="BY83" s="255" t="s">
        <v>315</v>
      </c>
      <c r="BZ83" s="253" t="s">
        <v>122</v>
      </c>
      <c r="CA83" s="253" t="s">
        <v>316</v>
      </c>
      <c r="CB83" s="253" t="s">
        <v>317</v>
      </c>
      <c r="CC83" s="253" t="s">
        <v>318</v>
      </c>
    </row>
    <row r="84" spans="2:81" ht="15" customHeight="1">
      <c r="B84" s="187"/>
      <c r="C84" s="187"/>
      <c r="D84" s="187"/>
      <c r="E84" s="187"/>
      <c r="F84" s="187"/>
      <c r="G84" s="187"/>
      <c r="H84" s="187"/>
      <c r="I84" s="187"/>
      <c r="J84" s="187"/>
      <c r="K84" s="187"/>
      <c r="L84" s="187"/>
      <c r="M84" s="187"/>
      <c r="N84" s="187"/>
      <c r="O84" s="187"/>
      <c r="P84" s="187"/>
      <c r="Q84" s="187"/>
      <c r="R84" s="187"/>
      <c r="S84" s="187"/>
      <c r="T84" s="187"/>
      <c r="U84" s="187"/>
      <c r="V84" s="187"/>
      <c r="W84" s="187"/>
      <c r="X84" s="187"/>
      <c r="Y84" s="187"/>
      <c r="Z84" s="187"/>
      <c r="AA84" s="187"/>
      <c r="AB84" s="187"/>
      <c r="AC84" s="187"/>
      <c r="AD84" s="187"/>
      <c r="AE84" s="187"/>
      <c r="AF84" s="187"/>
      <c r="AG84" s="187"/>
      <c r="AH84" s="187"/>
      <c r="AI84" s="187"/>
      <c r="AJ84" s="187"/>
      <c r="AK84" s="187"/>
      <c r="AL84" s="187"/>
      <c r="AM84" s="187"/>
      <c r="AN84" s="187"/>
      <c r="AO84" s="187"/>
      <c r="AP84" s="187"/>
      <c r="AQ84" s="187"/>
      <c r="AR84" s="187"/>
      <c r="AS84" s="187"/>
      <c r="AT84" s="187"/>
      <c r="AU84" s="187"/>
      <c r="AV84" s="187"/>
      <c r="AW84" s="187"/>
      <c r="AX84" s="187"/>
      <c r="AY84" s="187"/>
      <c r="AZ84" s="187"/>
      <c r="BA84" s="187"/>
      <c r="BB84" s="187"/>
      <c r="BC84" s="187"/>
      <c r="BD84" s="187"/>
      <c r="BE84" s="187"/>
      <c r="BF84" s="187"/>
      <c r="BG84" s="187"/>
      <c r="BH84" s="187"/>
      <c r="BI84" s="638" t="s">
        <v>319</v>
      </c>
      <c r="BJ84" s="638">
        <v>1</v>
      </c>
      <c r="BK84" s="638" t="s">
        <v>320</v>
      </c>
      <c r="BL84" s="798">
        <f t="shared" ref="BL84:BL95" si="19">BN84*BM84</f>
        <v>0</v>
      </c>
      <c r="BM84" s="665"/>
      <c r="BN84" s="799"/>
      <c r="BO84" s="281">
        <f>IF(SUM(BM84:BM86=0),0,SUM(BL84:BL86)/SUM(BM84:BM86))</f>
        <v>0</v>
      </c>
      <c r="BP84" s="641">
        <v>0.95</v>
      </c>
      <c r="BQ84" s="798">
        <f t="shared" ref="BQ84:BQ95" si="20">BS84*BR84</f>
        <v>0</v>
      </c>
      <c r="BR84" s="665"/>
      <c r="BS84" s="799"/>
      <c r="BT84" s="281">
        <f>IF(SUM(BR84:BR86=0),0,SUM(BQ84:BQ86)/SUM(BR84:BR86))</f>
        <v>0</v>
      </c>
      <c r="BU84" s="641">
        <v>0.95</v>
      </c>
      <c r="BV84" s="248"/>
      <c r="BW84" s="248"/>
      <c r="BX84" s="791" t="str">
        <f t="shared" ref="BX84:BX96" si="21">TEXT(CONCATENATE(CC84,"/01/20",CB84),"MMM")</f>
        <v>Oct</v>
      </c>
      <c r="BY84" s="792">
        <f>IF(CB84=$CB96,SUMIF($BI84:$BI95,$BX84,$BR84:$BR95),SUMIF($BI84:$BI95,$BX84,$BM84:$BM95))</f>
        <v>0</v>
      </c>
      <c r="BZ84" s="641">
        <f>IF(IF(CB84=CB96,SUMIF(BI84:BI95,$BX84,BU84:BU95),SUMIF(BI84:BI95,$BX84,BP84:BP95))=0,NA(),IF(CB84=CB96,SUMIF(BI84:BI95,$BX84,BU84:BU95),SUMIF(BI84:BI95,$BX84,BP84:BP95)))</f>
        <v>0.95</v>
      </c>
      <c r="CA84" s="800" t="e">
        <f>IF(IF(CB84=CB96,SUMIF(BI84:BI95,$BX84,BS84:BS95),SUMIF(BI84:BI95,$BX84,BN84:BN95))=0,NA(),IF(CB84=CB96,SUMIF(BI84:BI95,$BX84,BS84:BS95),SUMIF(BI84:BI95,$BX84,BN84:BN95)))</f>
        <v>#N/A</v>
      </c>
      <c r="CB84" s="645">
        <f t="shared" ref="CB84:CB96" si="22">CB65</f>
        <v>23</v>
      </c>
      <c r="CC84" s="795">
        <f t="shared" ref="CC84:CC95" si="23">IF(CC85-1&lt;1,CC85+11,CC85-1)</f>
        <v>10</v>
      </c>
    </row>
    <row r="85" spans="2:81" ht="15" customHeight="1">
      <c r="B85" s="187"/>
      <c r="C85" s="187"/>
      <c r="D85" s="187"/>
      <c r="E85" s="187"/>
      <c r="F85" s="187"/>
      <c r="G85" s="187"/>
      <c r="H85" s="187"/>
      <c r="I85" s="187"/>
      <c r="J85" s="187"/>
      <c r="K85" s="187"/>
      <c r="L85" s="187"/>
      <c r="M85" s="187"/>
      <c r="N85" s="187"/>
      <c r="O85" s="187"/>
      <c r="P85" s="187"/>
      <c r="Q85" s="187"/>
      <c r="R85" s="187"/>
      <c r="S85" s="187"/>
      <c r="T85" s="187"/>
      <c r="U85" s="187"/>
      <c r="V85" s="187"/>
      <c r="W85" s="187"/>
      <c r="X85" s="187"/>
      <c r="Y85" s="187"/>
      <c r="Z85" s="187"/>
      <c r="AA85" s="187"/>
      <c r="AB85" s="187"/>
      <c r="AC85" s="187"/>
      <c r="AD85" s="187"/>
      <c r="AE85" s="187"/>
      <c r="AF85" s="187"/>
      <c r="AG85" s="187"/>
      <c r="AH85" s="187"/>
      <c r="AI85" s="187"/>
      <c r="AJ85" s="187"/>
      <c r="AK85" s="187"/>
      <c r="AL85" s="187"/>
      <c r="AM85" s="187"/>
      <c r="AN85" s="187"/>
      <c r="AO85" s="187"/>
      <c r="AP85" s="187"/>
      <c r="AQ85" s="187"/>
      <c r="AR85" s="187"/>
      <c r="AS85" s="187"/>
      <c r="AT85" s="187"/>
      <c r="AU85" s="187"/>
      <c r="AV85" s="187"/>
      <c r="AW85" s="187"/>
      <c r="AX85" s="187"/>
      <c r="AY85" s="187"/>
      <c r="AZ85" s="187"/>
      <c r="BA85" s="187"/>
      <c r="BB85" s="187"/>
      <c r="BC85" s="187"/>
      <c r="BD85" s="187"/>
      <c r="BE85" s="187"/>
      <c r="BF85" s="187"/>
      <c r="BG85" s="187"/>
      <c r="BH85" s="187"/>
      <c r="BI85" s="638" t="s">
        <v>321</v>
      </c>
      <c r="BJ85" s="638">
        <v>2</v>
      </c>
      <c r="BK85" s="638" t="s">
        <v>320</v>
      </c>
      <c r="BL85" s="798">
        <f t="shared" si="19"/>
        <v>0</v>
      </c>
      <c r="BM85" s="665"/>
      <c r="BN85" s="799"/>
      <c r="BO85" s="270"/>
      <c r="BP85" s="641">
        <v>0.95</v>
      </c>
      <c r="BQ85" s="798">
        <f t="shared" si="20"/>
        <v>0</v>
      </c>
      <c r="BR85" s="665"/>
      <c r="BS85" s="799"/>
      <c r="BT85" s="270"/>
      <c r="BU85" s="641">
        <v>0.95</v>
      </c>
      <c r="BV85" s="248"/>
      <c r="BW85" s="248"/>
      <c r="BX85" s="791" t="str">
        <f t="shared" si="21"/>
        <v>Nov</v>
      </c>
      <c r="BY85" s="792">
        <f>IF(CB85=$CB96,SUMIF($BI84:$BI95,$BX85,$BR84:$BR95),SUMIF($BI84:$BI95,$BX85,$BM84:$BM95))</f>
        <v>0</v>
      </c>
      <c r="BZ85" s="641">
        <f>IF(IF(CB85=CB96,SUMIF(BI84:BI95,$BX85,BU84:BU95),SUMIF(BI84:BI95,$BX85,BP84:BP95))=0,NA(),IF(CB85=CB96,SUMIF(BI84:BI95,$BX85,BU84:BU95),SUMIF(BI84:BI95,$BX85,BP84:BP95)))</f>
        <v>0.95</v>
      </c>
      <c r="CA85" s="800" t="e">
        <f>IF(IF(CB85=CB96,SUMIF(BI84:BI95,$BX85,BS84:BS95),SUMIF(BI84:BI95,$BX85,BN84:BN95))=0,NA(),IF(CB85=CB96,SUMIF(BI84:BI95,$BX85,BS84:BS95),SUMIF(BI84:BI95,$BX85,BN84:BN95)))</f>
        <v>#N/A</v>
      </c>
      <c r="CB85" s="645">
        <f t="shared" si="22"/>
        <v>23</v>
      </c>
      <c r="CC85" s="795">
        <f t="shared" si="23"/>
        <v>11</v>
      </c>
    </row>
    <row r="86" spans="2:81" ht="15" customHeight="1">
      <c r="B86" s="187"/>
      <c r="C86" s="187"/>
      <c r="D86" s="187"/>
      <c r="E86" s="187"/>
      <c r="F86" s="187"/>
      <c r="G86" s="187"/>
      <c r="H86" s="187"/>
      <c r="I86" s="187"/>
      <c r="J86" s="187"/>
      <c r="K86" s="187"/>
      <c r="L86" s="187"/>
      <c r="M86" s="187"/>
      <c r="N86" s="187"/>
      <c r="O86" s="187"/>
      <c r="P86" s="187"/>
      <c r="Q86" s="187"/>
      <c r="R86" s="187"/>
      <c r="S86" s="187"/>
      <c r="T86" s="187"/>
      <c r="U86" s="187"/>
      <c r="V86" s="187"/>
      <c r="W86" s="187"/>
      <c r="X86" s="187"/>
      <c r="Y86" s="187"/>
      <c r="Z86" s="187"/>
      <c r="AA86" s="187"/>
      <c r="AB86" s="187"/>
      <c r="AC86" s="187"/>
      <c r="AD86" s="187"/>
      <c r="AE86" s="187"/>
      <c r="AF86" s="187"/>
      <c r="AG86" s="187"/>
      <c r="AH86" s="187"/>
      <c r="AI86" s="187"/>
      <c r="AJ86" s="187"/>
      <c r="AK86" s="187"/>
      <c r="AL86" s="187"/>
      <c r="AM86" s="187"/>
      <c r="AN86" s="187"/>
      <c r="AO86" s="187"/>
      <c r="AP86" s="187"/>
      <c r="AQ86" s="187"/>
      <c r="AR86" s="187"/>
      <c r="AS86" s="187"/>
      <c r="AT86" s="187"/>
      <c r="AU86" s="187"/>
      <c r="AV86" s="187"/>
      <c r="AW86" s="187"/>
      <c r="AX86" s="187"/>
      <c r="AY86" s="187"/>
      <c r="AZ86" s="187"/>
      <c r="BA86" s="187"/>
      <c r="BB86" s="187"/>
      <c r="BC86" s="187"/>
      <c r="BD86" s="187"/>
      <c r="BE86" s="187"/>
      <c r="BF86" s="187"/>
      <c r="BG86" s="187"/>
      <c r="BH86" s="187"/>
      <c r="BI86" s="638" t="s">
        <v>322</v>
      </c>
      <c r="BJ86" s="638">
        <v>3</v>
      </c>
      <c r="BK86" s="638" t="s">
        <v>320</v>
      </c>
      <c r="BL86" s="798">
        <f t="shared" si="19"/>
        <v>0</v>
      </c>
      <c r="BM86" s="665"/>
      <c r="BN86" s="799"/>
      <c r="BO86" s="270"/>
      <c r="BP86" s="641">
        <v>0.95</v>
      </c>
      <c r="BQ86" s="798">
        <f t="shared" si="20"/>
        <v>0</v>
      </c>
      <c r="BR86" s="665"/>
      <c r="BS86" s="799"/>
      <c r="BT86" s="270"/>
      <c r="BU86" s="641">
        <v>0.95</v>
      </c>
      <c r="BV86" s="248"/>
      <c r="BW86" s="248"/>
      <c r="BX86" s="791" t="str">
        <f t="shared" si="21"/>
        <v>Dec</v>
      </c>
      <c r="BY86" s="792">
        <f>IF(CB86=$CB96,SUMIF($BI84:$BI95,$BX86,$BR84:$BR95),SUMIF($BI84:$BI95,$BX86,$BM84:$BM95))</f>
        <v>0</v>
      </c>
      <c r="BZ86" s="641">
        <f>IF(IF(CB86=CB96,SUMIF(BI84:BI95,$BX86,BU84:BU95),SUMIF(BI84:BI95,$BX86,BP84:BP95))=0,NA(),IF(CB86=CB96,SUMIF(BI84:BI95,$BX86,BU84:BU95),SUMIF(BI84:BI95,$BX86,BP84:BP95)))</f>
        <v>0.95</v>
      </c>
      <c r="CA86" s="800" t="e">
        <f>IF(IF(CB86=CB96,SUMIF(BI84:BI95,$BX86,BS84:BS95),SUMIF(BI84:BI95,$BX86,BN84:BN95))=0,NA(),IF(CB86=CB96,SUMIF(BI84:BI95,$BX86,BS84:BS95),SUMIF(BI84:BI95,$BX86,BN84:BN95)))</f>
        <v>#N/A</v>
      </c>
      <c r="CB86" s="645">
        <f t="shared" si="22"/>
        <v>23</v>
      </c>
      <c r="CC86" s="795">
        <f t="shared" si="23"/>
        <v>12</v>
      </c>
    </row>
    <row r="87" spans="2:81" ht="15" customHeight="1">
      <c r="B87" s="187"/>
      <c r="C87" s="187"/>
      <c r="D87" s="187"/>
      <c r="E87" s="187"/>
      <c r="F87" s="187"/>
      <c r="G87" s="187"/>
      <c r="H87" s="187"/>
      <c r="I87" s="187"/>
      <c r="J87" s="187"/>
      <c r="K87" s="187"/>
      <c r="L87" s="187"/>
      <c r="M87" s="187"/>
      <c r="N87" s="187"/>
      <c r="O87" s="187"/>
      <c r="P87" s="187"/>
      <c r="Q87" s="187"/>
      <c r="R87" s="187"/>
      <c r="S87" s="187"/>
      <c r="T87" s="187"/>
      <c r="U87" s="187"/>
      <c r="V87" s="187"/>
      <c r="W87" s="187"/>
      <c r="X87" s="187"/>
      <c r="Y87" s="187"/>
      <c r="Z87" s="187"/>
      <c r="AA87" s="187"/>
      <c r="AB87" s="187"/>
      <c r="AC87" s="187"/>
      <c r="AD87" s="187"/>
      <c r="AE87" s="187"/>
      <c r="AF87" s="187"/>
      <c r="AG87" s="187"/>
      <c r="AH87" s="187"/>
      <c r="AI87" s="187"/>
      <c r="AJ87" s="187"/>
      <c r="AK87" s="187"/>
      <c r="AL87" s="187"/>
      <c r="AM87" s="187"/>
      <c r="AN87" s="187"/>
      <c r="AO87" s="187"/>
      <c r="AP87" s="187"/>
      <c r="AQ87" s="187"/>
      <c r="AR87" s="187"/>
      <c r="AS87" s="187"/>
      <c r="AT87" s="187"/>
      <c r="AU87" s="187"/>
      <c r="AV87" s="187"/>
      <c r="AW87" s="187"/>
      <c r="AX87" s="187"/>
      <c r="AY87" s="187"/>
      <c r="AZ87" s="187"/>
      <c r="BA87" s="187"/>
      <c r="BB87" s="187"/>
      <c r="BC87" s="187"/>
      <c r="BD87" s="187"/>
      <c r="BE87" s="187"/>
      <c r="BF87" s="187"/>
      <c r="BG87" s="187"/>
      <c r="BH87" s="187"/>
      <c r="BI87" s="638" t="s">
        <v>323</v>
      </c>
      <c r="BJ87" s="638">
        <v>4</v>
      </c>
      <c r="BK87" s="638" t="s">
        <v>324</v>
      </c>
      <c r="BL87" s="798">
        <f t="shared" si="19"/>
        <v>0</v>
      </c>
      <c r="BM87" s="665"/>
      <c r="BN87" s="799"/>
      <c r="BO87" s="281">
        <f>IF(SUM(BM87:BM89=0),0,SUM(BL87:BL89)/SUM(BM87:BM89))</f>
        <v>0</v>
      </c>
      <c r="BP87" s="641">
        <v>0.95</v>
      </c>
      <c r="BQ87" s="798">
        <f t="shared" si="20"/>
        <v>0</v>
      </c>
      <c r="BR87" s="665"/>
      <c r="BS87" s="799"/>
      <c r="BT87" s="281">
        <f>IF(SUM(BR87:BR89=0),0,SUM(BQ87:BQ89)/SUM(BR87:BR89))</f>
        <v>0</v>
      </c>
      <c r="BU87" s="641">
        <v>0.95</v>
      </c>
      <c r="BV87" s="248"/>
      <c r="BW87" s="248"/>
      <c r="BX87" s="791" t="str">
        <f t="shared" si="21"/>
        <v>Jan</v>
      </c>
      <c r="BY87" s="792">
        <f>IF(CB87=$CB96,SUMIF($BI84:$BI95,$BX87,$BR84:$BR95),SUMIF($BI84:$BI95,$BX87,$BM84:$BM95))</f>
        <v>0</v>
      </c>
      <c r="BZ87" s="641">
        <f>IF(IF(CB87=CB96,SUMIF(BI84:BI95,$BX87,BU84:BU95),SUMIF(BI84:BI95,$BX87,BP84:BP95))=0,NA(),IF(CB87=CB96,SUMIF(BI84:BI95,$BX87,BU84:BU95),SUMIF(BI84:BI95,$BX87,BP84:BP95)))</f>
        <v>0.95</v>
      </c>
      <c r="CA87" s="800" t="e">
        <f>IF(IF(CB87=CB96,SUMIF(BI84:BI95,$BX87,BS84:BS95),SUMIF(BI84:BI95,$BX87,BN84:BN95))=0,NA(),IF(CB87=CB96,SUMIF(BI84:BI95,$BX87,BS84:BS95),SUMIF(BI84:BI95,$BX87,BN84:BN95)))</f>
        <v>#N/A</v>
      </c>
      <c r="CB87" s="645">
        <f t="shared" si="22"/>
        <v>23</v>
      </c>
      <c r="CC87" s="795">
        <f t="shared" si="23"/>
        <v>1</v>
      </c>
    </row>
    <row r="88" spans="2:81" ht="15" customHeight="1">
      <c r="B88" s="187"/>
      <c r="C88" s="187"/>
      <c r="D88" s="187"/>
      <c r="E88" s="187"/>
      <c r="F88" s="187"/>
      <c r="G88" s="187"/>
      <c r="H88" s="187"/>
      <c r="I88" s="187"/>
      <c r="J88" s="187"/>
      <c r="K88" s="187"/>
      <c r="L88" s="187"/>
      <c r="M88" s="187"/>
      <c r="N88" s="187"/>
      <c r="O88" s="187"/>
      <c r="P88" s="187"/>
      <c r="Q88" s="187"/>
      <c r="R88" s="187"/>
      <c r="S88" s="187"/>
      <c r="T88" s="187"/>
      <c r="U88" s="187"/>
      <c r="V88" s="187"/>
      <c r="W88" s="187"/>
      <c r="X88" s="187"/>
      <c r="Y88" s="187"/>
      <c r="Z88" s="187"/>
      <c r="AA88" s="187"/>
      <c r="AB88" s="187"/>
      <c r="AC88" s="187"/>
      <c r="AD88" s="187"/>
      <c r="AE88" s="187"/>
      <c r="AF88" s="187"/>
      <c r="AG88" s="187"/>
      <c r="AH88" s="187"/>
      <c r="AI88" s="187"/>
      <c r="AJ88" s="187"/>
      <c r="AK88" s="187"/>
      <c r="AL88" s="187"/>
      <c r="AM88" s="187"/>
      <c r="AN88" s="187"/>
      <c r="AO88" s="187"/>
      <c r="AP88" s="187"/>
      <c r="AQ88" s="187"/>
      <c r="AR88" s="187"/>
      <c r="AS88" s="187"/>
      <c r="AT88" s="187"/>
      <c r="AU88" s="187"/>
      <c r="AV88" s="187"/>
      <c r="AW88" s="187"/>
      <c r="AX88" s="187"/>
      <c r="AY88" s="187"/>
      <c r="AZ88" s="187"/>
      <c r="BA88" s="187"/>
      <c r="BB88" s="187"/>
      <c r="BC88" s="187"/>
      <c r="BD88" s="187"/>
      <c r="BE88" s="187"/>
      <c r="BF88" s="187"/>
      <c r="BG88" s="187"/>
      <c r="BH88" s="187"/>
      <c r="BI88" s="638" t="s">
        <v>325</v>
      </c>
      <c r="BJ88" s="638">
        <v>5</v>
      </c>
      <c r="BK88" s="638" t="s">
        <v>324</v>
      </c>
      <c r="BL88" s="798">
        <f t="shared" si="19"/>
        <v>0</v>
      </c>
      <c r="BM88" s="639"/>
      <c r="BN88" s="799"/>
      <c r="BO88" s="270"/>
      <c r="BP88" s="641">
        <v>0.95</v>
      </c>
      <c r="BQ88" s="798">
        <f t="shared" si="20"/>
        <v>0</v>
      </c>
      <c r="BR88" s="639"/>
      <c r="BS88" s="799"/>
      <c r="BT88" s="270"/>
      <c r="BU88" s="641">
        <v>0.95</v>
      </c>
      <c r="BV88" s="248"/>
      <c r="BW88" s="248"/>
      <c r="BX88" s="791" t="str">
        <f t="shared" si="21"/>
        <v>Feb</v>
      </c>
      <c r="BY88" s="792">
        <f>IF(CB88=$CB96,SUMIF($BI84:$BI95,$BX88,$BR84:$BR95),SUMIF($BI84:$BI95,$BX88,$BM84:$BM95))</f>
        <v>0</v>
      </c>
      <c r="BZ88" s="641">
        <f>IF(IF(CB88=CB96,SUMIF(BI84:BI95,$BX88,BU84:BU95),SUMIF(BI84:BI95,$BX88,BP84:BP95))=0,NA(),IF(CB88=CB96,SUMIF(BI84:BI95,$BX88,BU84:BU95),SUMIF(BI84:BI95,$BX88,BP84:BP95)))</f>
        <v>0.95</v>
      </c>
      <c r="CA88" s="800" t="e">
        <f>IF(IF(CB88=CB96,SUMIF(BI84:BI95,$BX88,BS84:BS95),SUMIF(BI84:BI95,$BX88,BN84:BN95))=0,NA(),IF(CB88=CB96,SUMIF(BI84:BI95,$BX88,BS84:BS95),SUMIF(BI84:BI95,$BX88,BN84:BN95)))</f>
        <v>#N/A</v>
      </c>
      <c r="CB88" s="645">
        <f t="shared" si="22"/>
        <v>23</v>
      </c>
      <c r="CC88" s="795">
        <f t="shared" si="23"/>
        <v>2</v>
      </c>
    </row>
    <row r="89" spans="2:81" ht="15" customHeight="1">
      <c r="B89" s="187"/>
      <c r="C89" s="187"/>
      <c r="D89" s="187"/>
      <c r="E89" s="187"/>
      <c r="F89" s="187"/>
      <c r="G89" s="187"/>
      <c r="H89" s="187"/>
      <c r="I89" s="187"/>
      <c r="J89" s="187"/>
      <c r="K89" s="187"/>
      <c r="L89" s="187"/>
      <c r="M89" s="187"/>
      <c r="N89" s="187"/>
      <c r="O89" s="187"/>
      <c r="P89" s="187"/>
      <c r="Q89" s="187"/>
      <c r="R89" s="187"/>
      <c r="S89" s="187"/>
      <c r="T89" s="187"/>
      <c r="U89" s="187"/>
      <c r="V89" s="187"/>
      <c r="W89" s="187"/>
      <c r="X89" s="187"/>
      <c r="Y89" s="187"/>
      <c r="Z89" s="187"/>
      <c r="AA89" s="187"/>
      <c r="AB89" s="187"/>
      <c r="AC89" s="187"/>
      <c r="AD89" s="187"/>
      <c r="AE89" s="187"/>
      <c r="AF89" s="187"/>
      <c r="AG89" s="187"/>
      <c r="AH89" s="187"/>
      <c r="AI89" s="187"/>
      <c r="AJ89" s="187"/>
      <c r="AK89" s="187"/>
      <c r="AL89" s="187"/>
      <c r="AM89" s="187"/>
      <c r="AN89" s="187"/>
      <c r="AO89" s="187"/>
      <c r="AP89" s="187"/>
      <c r="AQ89" s="187"/>
      <c r="AR89" s="187"/>
      <c r="AS89" s="187"/>
      <c r="AT89" s="187"/>
      <c r="AU89" s="187"/>
      <c r="AV89" s="187"/>
      <c r="AW89" s="187"/>
      <c r="AX89" s="187"/>
      <c r="AY89" s="187"/>
      <c r="AZ89" s="187"/>
      <c r="BA89" s="187"/>
      <c r="BB89" s="187"/>
      <c r="BC89" s="187"/>
      <c r="BD89" s="187"/>
      <c r="BE89" s="187"/>
      <c r="BF89" s="187"/>
      <c r="BG89" s="187"/>
      <c r="BH89" s="187"/>
      <c r="BI89" s="638" t="s">
        <v>326</v>
      </c>
      <c r="BJ89" s="638">
        <v>6</v>
      </c>
      <c r="BK89" s="638" t="s">
        <v>324</v>
      </c>
      <c r="BL89" s="798">
        <f t="shared" si="19"/>
        <v>0</v>
      </c>
      <c r="BM89" s="639"/>
      <c r="BN89" s="799"/>
      <c r="BO89" s="270"/>
      <c r="BP89" s="641">
        <v>0.95</v>
      </c>
      <c r="BQ89" s="798">
        <f t="shared" si="20"/>
        <v>0</v>
      </c>
      <c r="BR89" s="639"/>
      <c r="BS89" s="799"/>
      <c r="BT89" s="270"/>
      <c r="BU89" s="641">
        <v>0.95</v>
      </c>
      <c r="BV89" s="248"/>
      <c r="BW89" s="248"/>
      <c r="BX89" s="791" t="str">
        <f t="shared" si="21"/>
        <v>Mar</v>
      </c>
      <c r="BY89" s="792">
        <f>IF(CB89=$CB96,SUMIF($BI84:$BI95,$BX89,$BR84:$BR95),SUMIF($BI84:$BI95,$BX89,$BM84:$BM95))</f>
        <v>0</v>
      </c>
      <c r="BZ89" s="641">
        <f>IF(IF(CB89=CB96,SUMIF(BI84:BI95,$BX89,BU84:BU95),SUMIF(BI84:BI95,$BX89,BP84:BP95))=0,NA(),IF(CB89=CB96,SUMIF(BI84:BI95,$BX89,BU84:BU95),SUMIF(BI84:BI95,$BX89,BP84:BP95)))</f>
        <v>0.95</v>
      </c>
      <c r="CA89" s="800" t="e">
        <f>IF(IF(CB89=CB96,SUMIF(BI84:BI95,$BX89,BS84:BS95),SUMIF(BI84:BI95,$BX89,BN84:BN95))=0,NA(),IF(CB89=CB96,SUMIF(BI84:BI95,$BX89,BS84:BS95),SUMIF(BI84:BI95,$BX89,BN84:BN95)))</f>
        <v>#N/A</v>
      </c>
      <c r="CB89" s="645">
        <f t="shared" si="22"/>
        <v>23</v>
      </c>
      <c r="CC89" s="795">
        <f t="shared" si="23"/>
        <v>3</v>
      </c>
    </row>
    <row r="90" spans="2:81" ht="15" customHeight="1">
      <c r="B90" s="187"/>
      <c r="C90" s="187"/>
      <c r="D90" s="187"/>
      <c r="E90" s="187"/>
      <c r="F90" s="187"/>
      <c r="G90" s="187"/>
      <c r="H90" s="187"/>
      <c r="I90" s="187"/>
      <c r="J90" s="187"/>
      <c r="K90" s="187"/>
      <c r="L90" s="187"/>
      <c r="M90" s="187"/>
      <c r="N90" s="187"/>
      <c r="O90" s="187"/>
      <c r="P90" s="187"/>
      <c r="Q90" s="187"/>
      <c r="R90" s="187"/>
      <c r="S90" s="187"/>
      <c r="T90" s="187"/>
      <c r="U90" s="187"/>
      <c r="V90" s="187"/>
      <c r="W90" s="187"/>
      <c r="X90" s="187"/>
      <c r="Y90" s="187"/>
      <c r="Z90" s="187"/>
      <c r="AA90" s="187"/>
      <c r="AB90" s="187"/>
      <c r="AC90" s="187"/>
      <c r="AD90" s="187"/>
      <c r="AE90" s="187"/>
      <c r="AF90" s="187"/>
      <c r="AG90" s="187"/>
      <c r="AH90" s="187"/>
      <c r="AI90" s="187"/>
      <c r="AJ90" s="187"/>
      <c r="AK90" s="187"/>
      <c r="AL90" s="187"/>
      <c r="AM90" s="187"/>
      <c r="AN90" s="187"/>
      <c r="AO90" s="187"/>
      <c r="AP90" s="187"/>
      <c r="AQ90" s="187"/>
      <c r="AR90" s="187"/>
      <c r="AS90" s="187"/>
      <c r="AT90" s="187"/>
      <c r="AU90" s="187"/>
      <c r="AV90" s="187"/>
      <c r="AW90" s="187"/>
      <c r="AX90" s="187"/>
      <c r="AY90" s="187"/>
      <c r="AZ90" s="187"/>
      <c r="BA90" s="187"/>
      <c r="BB90" s="187"/>
      <c r="BC90" s="187"/>
      <c r="BD90" s="187"/>
      <c r="BE90" s="187"/>
      <c r="BF90" s="187"/>
      <c r="BG90" s="187"/>
      <c r="BH90" s="187"/>
      <c r="BI90" s="638" t="s">
        <v>327</v>
      </c>
      <c r="BJ90" s="638">
        <v>7</v>
      </c>
      <c r="BK90" s="638" t="s">
        <v>328</v>
      </c>
      <c r="BL90" s="798">
        <f t="shared" si="19"/>
        <v>0</v>
      </c>
      <c r="BM90" s="639"/>
      <c r="BN90" s="799"/>
      <c r="BO90" s="281">
        <f>IF(SUM(BM90:BM92=0),0,SUM(BL90:BL92)/SUM(BM90:BM92))</f>
        <v>0</v>
      </c>
      <c r="BP90" s="641">
        <v>0.95</v>
      </c>
      <c r="BQ90" s="798">
        <f t="shared" si="20"/>
        <v>0</v>
      </c>
      <c r="BR90" s="639"/>
      <c r="BS90" s="799"/>
      <c r="BT90" s="281">
        <f>IF(SUM(BR90:BR92=0),0,SUM(BQ90:BQ92)/SUM(BR90:BR92))</f>
        <v>0</v>
      </c>
      <c r="BU90" s="641">
        <v>0.95</v>
      </c>
      <c r="BV90" s="248"/>
      <c r="BW90" s="248"/>
      <c r="BX90" s="791" t="str">
        <f t="shared" si="21"/>
        <v>Apr</v>
      </c>
      <c r="BY90" s="792">
        <f>IF(CB90=$CB96,SUMIF($BI84:$BI95,$BX90,$BR84:$BR95),SUMIF($BI84:$BI95,$BX90,$BM84:$BM95))</f>
        <v>0</v>
      </c>
      <c r="BZ90" s="641">
        <f>IF(IF(CB90=CB96,SUMIF(BI84:BI95,$BX90,BU84:BU95),SUMIF(BI84:BI95,$BX90,BP84:BP95))=0,NA(),IF(CB90=CB96,SUMIF(BI84:BI95,$BX90,BU84:BU95),SUMIF(BI84:BI95,$BX90,BP84:BP95)))</f>
        <v>0.95</v>
      </c>
      <c r="CA90" s="800" t="e">
        <f>IF(IF(CB90=CB96,SUMIF(BI84:BI95,$BX90,BS84:BS95),SUMIF(BI84:BI95,$BX90,BN84:BN95))=0,NA(),IF(CB90=CB96,SUMIF(BI84:BI95,$BX90,BS84:BS95),SUMIF(BI84:BI95,$BX90,BN84:BN95)))</f>
        <v>#N/A</v>
      </c>
      <c r="CB90" s="645">
        <f t="shared" si="22"/>
        <v>23</v>
      </c>
      <c r="CC90" s="795">
        <f t="shared" si="23"/>
        <v>4</v>
      </c>
    </row>
    <row r="91" spans="2:81" ht="15" customHeight="1">
      <c r="B91" s="187"/>
      <c r="C91" s="187"/>
      <c r="D91" s="187"/>
      <c r="E91" s="187"/>
      <c r="F91" s="187"/>
      <c r="G91" s="187"/>
      <c r="H91" s="187"/>
      <c r="I91" s="187"/>
      <c r="J91" s="187"/>
      <c r="K91" s="187"/>
      <c r="L91" s="187"/>
      <c r="M91" s="187"/>
      <c r="N91" s="187"/>
      <c r="O91" s="187"/>
      <c r="P91" s="187"/>
      <c r="Q91" s="187"/>
      <c r="R91" s="187"/>
      <c r="S91" s="187"/>
      <c r="T91" s="187"/>
      <c r="U91" s="187"/>
      <c r="V91" s="187"/>
      <c r="W91" s="187"/>
      <c r="X91" s="187"/>
      <c r="Y91" s="187"/>
      <c r="Z91" s="187"/>
      <c r="AA91" s="187"/>
      <c r="AB91" s="187"/>
      <c r="AC91" s="187"/>
      <c r="AD91" s="187"/>
      <c r="AE91" s="187"/>
      <c r="AF91" s="187"/>
      <c r="AG91" s="187"/>
      <c r="AH91" s="187"/>
      <c r="AI91" s="187"/>
      <c r="AJ91" s="187"/>
      <c r="AK91" s="187"/>
      <c r="AL91" s="187"/>
      <c r="AM91" s="187"/>
      <c r="AN91" s="187"/>
      <c r="AO91" s="187"/>
      <c r="AP91" s="187"/>
      <c r="AQ91" s="187"/>
      <c r="AR91" s="187"/>
      <c r="AS91" s="187"/>
      <c r="AT91" s="187"/>
      <c r="AU91" s="187"/>
      <c r="AV91" s="187"/>
      <c r="AW91" s="187"/>
      <c r="AX91" s="187"/>
      <c r="AY91" s="187"/>
      <c r="AZ91" s="187"/>
      <c r="BA91" s="187"/>
      <c r="BB91" s="187"/>
      <c r="BC91" s="187"/>
      <c r="BD91" s="187"/>
      <c r="BE91" s="187"/>
      <c r="BF91" s="187"/>
      <c r="BG91" s="187"/>
      <c r="BH91" s="187"/>
      <c r="BI91" s="638" t="s">
        <v>329</v>
      </c>
      <c r="BJ91" s="638">
        <v>8</v>
      </c>
      <c r="BK91" s="638" t="s">
        <v>328</v>
      </c>
      <c r="BL91" s="798">
        <f t="shared" si="19"/>
        <v>0</v>
      </c>
      <c r="BM91" s="639"/>
      <c r="BN91" s="799"/>
      <c r="BO91" s="270"/>
      <c r="BP91" s="641">
        <v>0.95</v>
      </c>
      <c r="BQ91" s="798">
        <f t="shared" si="20"/>
        <v>0</v>
      </c>
      <c r="BR91" s="639"/>
      <c r="BS91" s="799"/>
      <c r="BT91" s="270"/>
      <c r="BU91" s="641">
        <v>0.95</v>
      </c>
      <c r="BV91" s="248"/>
      <c r="BW91" s="248"/>
      <c r="BX91" s="791" t="str">
        <f t="shared" si="21"/>
        <v>May</v>
      </c>
      <c r="BY91" s="792">
        <f>IF(CB91=$CB96,SUMIF($BI84:$BI95,$BX91,$BR84:$BR95),SUMIF($BI84:$BI95,$BX91,$BM84:$BM95))</f>
        <v>0</v>
      </c>
      <c r="BZ91" s="641">
        <f>IF(IF(CB91=CB96,SUMIF(BI84:BI95,$BX91,BU84:BU95),SUMIF(BI84:BI95,$BX91,BP84:BP95))=0,NA(),IF(CB91=CB96,SUMIF(BI84:BI95,$BX91,BU84:BU95),SUMIF(BI84:BI95,$BX91,BP84:BP95)))</f>
        <v>0.95</v>
      </c>
      <c r="CA91" s="800" t="e">
        <f>IF(IF(CB91=CB96,SUMIF(BI84:BI95,$BX91,BS84:BS95),SUMIF(BI84:BI95,$BX91,BN84:BN95))=0,NA(),IF(CB91=CB96,SUMIF(BI84:BI95,$BX91,BS84:BS95),SUMIF(BI84:BI95,$BX91,BN84:BN95)))</f>
        <v>#N/A</v>
      </c>
      <c r="CB91" s="645">
        <f t="shared" si="22"/>
        <v>23</v>
      </c>
      <c r="CC91" s="795">
        <f t="shared" si="23"/>
        <v>5</v>
      </c>
    </row>
    <row r="92" spans="2:81" ht="15" customHeight="1">
      <c r="B92" s="187"/>
      <c r="C92" s="187"/>
      <c r="D92" s="187"/>
      <c r="E92" s="187"/>
      <c r="F92" s="187"/>
      <c r="G92" s="187"/>
      <c r="H92" s="187"/>
      <c r="I92" s="187"/>
      <c r="J92" s="187"/>
      <c r="K92" s="187"/>
      <c r="L92" s="187"/>
      <c r="M92" s="187"/>
      <c r="N92" s="187"/>
      <c r="O92" s="187"/>
      <c r="P92" s="187"/>
      <c r="Q92" s="187"/>
      <c r="R92" s="187"/>
      <c r="S92" s="187"/>
      <c r="T92" s="187"/>
      <c r="U92" s="187"/>
      <c r="V92" s="187"/>
      <c r="W92" s="187"/>
      <c r="X92" s="187"/>
      <c r="Y92" s="187"/>
      <c r="Z92" s="187"/>
      <c r="AA92" s="187"/>
      <c r="AB92" s="187"/>
      <c r="AC92" s="187"/>
      <c r="AD92" s="187"/>
      <c r="AE92" s="187"/>
      <c r="AF92" s="187"/>
      <c r="AG92" s="187"/>
      <c r="AH92" s="187"/>
      <c r="AI92" s="187"/>
      <c r="AJ92" s="187"/>
      <c r="AK92" s="187"/>
      <c r="AL92" s="187"/>
      <c r="AM92" s="187"/>
      <c r="AN92" s="187"/>
      <c r="AO92" s="187"/>
      <c r="AP92" s="187"/>
      <c r="AQ92" s="187"/>
      <c r="AR92" s="187"/>
      <c r="AS92" s="187"/>
      <c r="AT92" s="187"/>
      <c r="AU92" s="187"/>
      <c r="AV92" s="187"/>
      <c r="AW92" s="187"/>
      <c r="AX92" s="187"/>
      <c r="AY92" s="187"/>
      <c r="AZ92" s="187"/>
      <c r="BA92" s="187"/>
      <c r="BB92" s="187"/>
      <c r="BC92" s="187"/>
      <c r="BD92" s="187"/>
      <c r="BE92" s="187"/>
      <c r="BF92" s="187"/>
      <c r="BG92" s="187"/>
      <c r="BH92" s="187"/>
      <c r="BI92" s="638" t="s">
        <v>331</v>
      </c>
      <c r="BJ92" s="638">
        <v>9</v>
      </c>
      <c r="BK92" s="638" t="s">
        <v>328</v>
      </c>
      <c r="BL92" s="798">
        <f t="shared" si="19"/>
        <v>0</v>
      </c>
      <c r="BM92" s="639"/>
      <c r="BN92" s="799"/>
      <c r="BO92" s="270"/>
      <c r="BP92" s="641">
        <v>0.95</v>
      </c>
      <c r="BQ92" s="798">
        <f t="shared" si="20"/>
        <v>0</v>
      </c>
      <c r="BR92" s="639"/>
      <c r="BS92" s="799"/>
      <c r="BT92" s="270"/>
      <c r="BU92" s="641">
        <v>0.95</v>
      </c>
      <c r="BV92" s="248"/>
      <c r="BW92" s="248"/>
      <c r="BX92" s="791" t="str">
        <f t="shared" si="21"/>
        <v>Jun</v>
      </c>
      <c r="BY92" s="792">
        <f>IF(CB92=$CB96,SUMIF($BI84:$BI95,$BX92,$BR84:$BR95),SUMIF($BI84:$BI95,$BX92,$BM84:$BM95))</f>
        <v>0</v>
      </c>
      <c r="BZ92" s="641">
        <f>IF(IF(CB92=CB96,SUMIF(BI84:BI95,$BX92,BU84:BU95),SUMIF(BI84:BI95,$BX92,BP84:BP95))=0,NA(),IF(CB92=CB96,SUMIF(BI84:BI95,$BX92,BU84:BU95),SUMIF(BI84:BI95,$BX92,BP84:BP95)))</f>
        <v>0.95</v>
      </c>
      <c r="CA92" s="800" t="e">
        <f>IF(IF(CB92=CB96,SUMIF(BI84:BI95,$BX92,BS84:BS95),SUMIF(BI84:BI95,$BX92,BN84:BN95))=0,NA(),IF(CB92=CB96,SUMIF(BI84:BI95,$BX92,BS84:BS95),SUMIF(BI84:BI95,$BX92,BN84:BN95)))</f>
        <v>#N/A</v>
      </c>
      <c r="CB92" s="645">
        <f t="shared" si="22"/>
        <v>23</v>
      </c>
      <c r="CC92" s="795">
        <f t="shared" si="23"/>
        <v>6</v>
      </c>
    </row>
    <row r="93" spans="2:81" ht="15" customHeight="1">
      <c r="B93" s="187"/>
      <c r="C93" s="187"/>
      <c r="D93" s="187"/>
      <c r="E93" s="187"/>
      <c r="F93" s="187"/>
      <c r="G93" s="187"/>
      <c r="H93" s="187"/>
      <c r="I93" s="187"/>
      <c r="J93" s="187"/>
      <c r="K93" s="187"/>
      <c r="L93" s="187"/>
      <c r="M93" s="187"/>
      <c r="N93" s="187"/>
      <c r="O93" s="187"/>
      <c r="P93" s="187"/>
      <c r="Q93" s="187"/>
      <c r="R93" s="187"/>
      <c r="S93" s="187"/>
      <c r="T93" s="187"/>
      <c r="U93" s="187"/>
      <c r="V93" s="187"/>
      <c r="W93" s="187"/>
      <c r="X93" s="187"/>
      <c r="Y93" s="187"/>
      <c r="Z93" s="187"/>
      <c r="AA93" s="187"/>
      <c r="AB93" s="187"/>
      <c r="AC93" s="187"/>
      <c r="AD93" s="187"/>
      <c r="AE93" s="187"/>
      <c r="AF93" s="187"/>
      <c r="AG93" s="187"/>
      <c r="AH93" s="187"/>
      <c r="AI93" s="187"/>
      <c r="AJ93" s="187"/>
      <c r="AK93" s="187"/>
      <c r="AL93" s="187"/>
      <c r="AM93" s="187"/>
      <c r="AN93" s="187"/>
      <c r="AO93" s="187"/>
      <c r="AP93" s="187"/>
      <c r="AQ93" s="187"/>
      <c r="AR93" s="187"/>
      <c r="AS93" s="187"/>
      <c r="AT93" s="187"/>
      <c r="AU93" s="187"/>
      <c r="AV93" s="187"/>
      <c r="AW93" s="187"/>
      <c r="AX93" s="187"/>
      <c r="AY93" s="187"/>
      <c r="AZ93" s="187"/>
      <c r="BA93" s="187"/>
      <c r="BB93" s="187"/>
      <c r="BC93" s="187"/>
      <c r="BD93" s="187"/>
      <c r="BE93" s="187"/>
      <c r="BF93" s="187"/>
      <c r="BG93" s="187"/>
      <c r="BH93" s="187"/>
      <c r="BI93" s="638" t="s">
        <v>337</v>
      </c>
      <c r="BJ93" s="638">
        <v>10</v>
      </c>
      <c r="BK93" s="638" t="s">
        <v>338</v>
      </c>
      <c r="BL93" s="798">
        <f t="shared" si="19"/>
        <v>0</v>
      </c>
      <c r="BM93" s="639"/>
      <c r="BN93" s="799"/>
      <c r="BO93" s="281">
        <f>IF(SUM(BM93:BM95=0),0,SUM(BL93:BL95)/SUM(BM93:BM95))</f>
        <v>0</v>
      </c>
      <c r="BP93" s="641">
        <v>0.95</v>
      </c>
      <c r="BQ93" s="798">
        <f t="shared" si="20"/>
        <v>0</v>
      </c>
      <c r="BR93" s="639"/>
      <c r="BS93" s="799"/>
      <c r="BT93" s="281">
        <f>IF(SUM(BR93:BR95=0),0,SUM(BQ93:BQ95)/SUM(BR93:BR95))</f>
        <v>0</v>
      </c>
      <c r="BU93" s="641">
        <v>0.95</v>
      </c>
      <c r="BV93" s="248"/>
      <c r="BW93" s="248"/>
      <c r="BX93" s="791" t="str">
        <f t="shared" si="21"/>
        <v>Jul</v>
      </c>
      <c r="BY93" s="792">
        <f>IF(CB93=$CB96,SUMIF($BI84:$BI95,$BX93,$BR84:$BR95),SUMIF($BI84:$BI95,$BX93,$BM84:$BM95))</f>
        <v>0</v>
      </c>
      <c r="BZ93" s="641">
        <f>IF(IF(CB93=CB96,SUMIF(BI84:BI95,$BX93,BU84:BU95),SUMIF(BI84:BI95,$BX93,BP84:BP95))=0,NA(),IF(CB93=CB96,SUMIF(BI84:BI95,$BX93,BU84:BU95),SUMIF(BI84:BI95,$BX93,BP84:BP95)))</f>
        <v>0.95</v>
      </c>
      <c r="CA93" s="800" t="e">
        <f>IF(IF(CB93=CB96,SUMIF(BI84:BI95,$BX93,BS84:BS95),SUMIF(BI84:BI95,$BX93,BN84:BN95))=0,NA(),IF(CB93=CB96,SUMIF(BI84:BI95,$BX93,BS84:BS95),SUMIF(BI84:BI95,$BX93,BN84:BN95)))</f>
        <v>#N/A</v>
      </c>
      <c r="CB93" s="645">
        <f t="shared" si="22"/>
        <v>23</v>
      </c>
      <c r="CC93" s="795">
        <f t="shared" si="23"/>
        <v>7</v>
      </c>
    </row>
    <row r="94" spans="2:81" ht="15" customHeight="1">
      <c r="B94" s="187"/>
      <c r="C94" s="187"/>
      <c r="D94" s="187"/>
      <c r="E94" s="187"/>
      <c r="F94" s="187"/>
      <c r="G94" s="187"/>
      <c r="H94" s="187"/>
      <c r="I94" s="187"/>
      <c r="J94" s="187"/>
      <c r="K94" s="187"/>
      <c r="L94" s="187"/>
      <c r="M94" s="187"/>
      <c r="N94" s="187"/>
      <c r="O94" s="187"/>
      <c r="P94" s="187"/>
      <c r="Q94" s="187"/>
      <c r="R94" s="187"/>
      <c r="S94" s="187"/>
      <c r="T94" s="187"/>
      <c r="U94" s="187"/>
      <c r="V94" s="187"/>
      <c r="W94" s="187"/>
      <c r="X94" s="187"/>
      <c r="Y94" s="187"/>
      <c r="Z94" s="187"/>
      <c r="AA94" s="187"/>
      <c r="AB94" s="187"/>
      <c r="AC94" s="187"/>
      <c r="AD94" s="187"/>
      <c r="AE94" s="187"/>
      <c r="AF94" s="187"/>
      <c r="AG94" s="187"/>
      <c r="AH94" s="187"/>
      <c r="AI94" s="187"/>
      <c r="AJ94" s="187"/>
      <c r="AK94" s="187"/>
      <c r="AL94" s="187"/>
      <c r="AM94" s="187"/>
      <c r="AN94" s="187"/>
      <c r="AO94" s="187"/>
      <c r="AP94" s="187"/>
      <c r="AQ94" s="187"/>
      <c r="AR94" s="187"/>
      <c r="AS94" s="187"/>
      <c r="AT94" s="187"/>
      <c r="AU94" s="187"/>
      <c r="AV94" s="187"/>
      <c r="AW94" s="187"/>
      <c r="AX94" s="187"/>
      <c r="AY94" s="187"/>
      <c r="AZ94" s="187"/>
      <c r="BA94" s="187"/>
      <c r="BB94" s="187"/>
      <c r="BC94" s="187"/>
      <c r="BD94" s="187"/>
      <c r="BE94" s="187"/>
      <c r="BF94" s="187"/>
      <c r="BG94" s="187"/>
      <c r="BH94" s="187"/>
      <c r="BI94" s="638" t="s">
        <v>343</v>
      </c>
      <c r="BJ94" s="638">
        <v>11</v>
      </c>
      <c r="BK94" s="638" t="s">
        <v>338</v>
      </c>
      <c r="BL94" s="798">
        <f t="shared" si="19"/>
        <v>0</v>
      </c>
      <c r="BM94" s="639"/>
      <c r="BN94" s="799"/>
      <c r="BO94" s="270"/>
      <c r="BP94" s="641">
        <v>0.95</v>
      </c>
      <c r="BQ94" s="798">
        <f t="shared" si="20"/>
        <v>0</v>
      </c>
      <c r="BR94" s="639"/>
      <c r="BS94" s="799"/>
      <c r="BT94" s="270"/>
      <c r="BU94" s="641">
        <v>0.95</v>
      </c>
      <c r="BV94" s="248"/>
      <c r="BW94" s="248"/>
      <c r="BX94" s="791" t="str">
        <f t="shared" si="21"/>
        <v>Aug</v>
      </c>
      <c r="BY94" s="792">
        <f>IF(CB94=$CB96,SUMIF($BI84:$BI95,$BX94,$BR84:$BR95),SUMIF($BI84:$BI95,$BX94,$BM84:$BM95))</f>
        <v>0</v>
      </c>
      <c r="BZ94" s="641">
        <f>IF(IF(CB94=CB96,SUMIF(BI84:BI95,$BX94,BU84:BU95),SUMIF(BI84:BI95,$BX94,BP84:BP95))=0,NA(),IF(CB94=CB96,SUMIF(BI84:BI95,$BX94,BU84:BU95),SUMIF(BI84:BI95,$BX94,BP84:BP95)))</f>
        <v>0.95</v>
      </c>
      <c r="CA94" s="800" t="e">
        <f>IF(IF(CB94=CB96,SUMIF(BI84:BI95,$BX94,BS84:BS95),SUMIF(BI84:BI95,$BX94,BN84:BN95))=0,NA(),IF(CB94=CB96,SUMIF(BI84:BI95,$BX94,BS84:BS95),SUMIF(BI84:BI95,$BX94,BN84:BN95)))</f>
        <v>#N/A</v>
      </c>
      <c r="CB94" s="645">
        <f t="shared" si="22"/>
        <v>23</v>
      </c>
      <c r="CC94" s="795">
        <f t="shared" si="23"/>
        <v>8</v>
      </c>
    </row>
    <row r="95" spans="2:81" ht="15" customHeight="1">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c r="BA95" s="187"/>
      <c r="BB95" s="187"/>
      <c r="BC95" s="187"/>
      <c r="BD95" s="187"/>
      <c r="BE95" s="187"/>
      <c r="BF95" s="187"/>
      <c r="BG95" s="187"/>
      <c r="BH95" s="187"/>
      <c r="BI95" s="638" t="s">
        <v>344</v>
      </c>
      <c r="BJ95" s="638">
        <v>12</v>
      </c>
      <c r="BK95" s="638" t="s">
        <v>338</v>
      </c>
      <c r="BL95" s="798">
        <f t="shared" si="19"/>
        <v>0</v>
      </c>
      <c r="BM95" s="639"/>
      <c r="BN95" s="799"/>
      <c r="BO95" s="270"/>
      <c r="BP95" s="641">
        <v>0.95</v>
      </c>
      <c r="BQ95" s="798">
        <f t="shared" si="20"/>
        <v>0</v>
      </c>
      <c r="BR95" s="639"/>
      <c r="BS95" s="799"/>
      <c r="BT95" s="270"/>
      <c r="BU95" s="641">
        <v>0.95</v>
      </c>
      <c r="BV95" s="248"/>
      <c r="BW95" s="248"/>
      <c r="BX95" s="791" t="str">
        <f t="shared" si="21"/>
        <v>Sep</v>
      </c>
      <c r="BY95" s="792">
        <f>IF(CB95=$CB96,SUMIF($BI84:$BI95,$BX95,$BR84:$BR95),SUMIF($BI84:$BI95,$BX95,$BM84:$BM95))</f>
        <v>0</v>
      </c>
      <c r="BZ95" s="641">
        <f>IF(IF(CB95=CB96,SUMIF(BI84:BI95,$BX95,BU84:BU95),SUMIF(BI84:BI95,$BX95,BP84:BP95))=0,NA(),IF(CB95=CB96,SUMIF(BI84:BI95,$BX95,BU84:BU95),SUMIF(BI84:BI95,$BX95,BP84:BP95)))</f>
        <v>0.95</v>
      </c>
      <c r="CA95" s="800" t="e">
        <f>IF(IF(CB95=CB96,SUMIF(BI84:BI95,$BX95,BS84:BS95),SUMIF(BI84:BI95,$BX95,BN84:BN95))=0,NA(),IF(CB95=CB96,SUMIF(BI84:BI95,$BX95,BS84:BS95),SUMIF(BI84:BI95,$BX95,BN84:BN95)))</f>
        <v>#N/A</v>
      </c>
      <c r="CB95" s="645">
        <f t="shared" si="22"/>
        <v>23</v>
      </c>
      <c r="CC95" s="795">
        <f t="shared" si="23"/>
        <v>9</v>
      </c>
    </row>
    <row r="96" spans="2:81" ht="15" customHeight="1">
      <c r="B96" s="187"/>
      <c r="C96" s="187"/>
      <c r="D96" s="187"/>
      <c r="E96" s="187"/>
      <c r="F96" s="187"/>
      <c r="G96" s="187"/>
      <c r="H96" s="187"/>
      <c r="I96" s="187"/>
      <c r="J96" s="187"/>
      <c r="K96" s="187"/>
      <c r="L96" s="187"/>
      <c r="M96" s="187"/>
      <c r="N96" s="187"/>
      <c r="O96" s="187"/>
      <c r="P96" s="187"/>
      <c r="Q96" s="187"/>
      <c r="R96" s="187"/>
      <c r="S96" s="187"/>
      <c r="T96" s="187"/>
      <c r="U96" s="187"/>
      <c r="V96" s="187"/>
      <c r="W96" s="187"/>
      <c r="X96" s="187"/>
      <c r="Y96" s="187"/>
      <c r="Z96" s="187"/>
      <c r="AA96" s="187"/>
      <c r="AB96" s="187"/>
      <c r="AC96" s="187"/>
      <c r="AD96" s="187"/>
      <c r="AE96" s="187"/>
      <c r="AF96" s="187"/>
      <c r="AG96" s="187"/>
      <c r="AH96" s="187"/>
      <c r="AI96" s="187"/>
      <c r="AJ96" s="187"/>
      <c r="AK96" s="187"/>
      <c r="AL96" s="187"/>
      <c r="AM96" s="187"/>
      <c r="AN96" s="187"/>
      <c r="AO96" s="187"/>
      <c r="AP96" s="187"/>
      <c r="AQ96" s="187"/>
      <c r="AR96" s="187"/>
      <c r="AS96" s="187"/>
      <c r="AT96" s="187"/>
      <c r="AU96" s="187"/>
      <c r="AV96" s="187"/>
      <c r="AW96" s="187"/>
      <c r="AX96" s="187"/>
      <c r="AY96" s="187"/>
      <c r="AZ96" s="187"/>
      <c r="BA96" s="187"/>
      <c r="BB96" s="187"/>
      <c r="BC96" s="187"/>
      <c r="BD96" s="187"/>
      <c r="BE96" s="187"/>
      <c r="BF96" s="187"/>
      <c r="BG96" s="187"/>
      <c r="BH96" s="187"/>
      <c r="BJ96" s="248"/>
      <c r="BK96" s="248"/>
      <c r="BL96" s="248"/>
      <c r="BM96" s="248"/>
      <c r="BN96" s="248"/>
      <c r="BO96" s="248"/>
      <c r="BP96" s="248"/>
      <c r="BQ96" s="248"/>
      <c r="BR96" s="248"/>
      <c r="BS96" s="248"/>
      <c r="BT96" s="248"/>
      <c r="BU96" s="248"/>
      <c r="BV96" s="248"/>
      <c r="BW96" s="796" t="str">
        <f>Cover!$M$34</f>
        <v>OCT FY-24</v>
      </c>
      <c r="BX96" s="791" t="str">
        <f t="shared" si="21"/>
        <v>Oct</v>
      </c>
      <c r="BY96" s="792">
        <f>SUMIF($BI84:$BI95,$BX96,$BR84:$BR95)</f>
        <v>0</v>
      </c>
      <c r="BZ96" s="641">
        <f>IF(IF(CB96=CB96,SUMIF(BI84:BI95,$BX96,BU84:BU95),SUMIF(BI84:BI95,$BX96,BP84:BP95))=0,NA(),IF(CB96=CB96,SUMIF(BI84:BI95,$BX96,BU84:BU95),SUMIF(BI84:BI95,$BX96,BP84:BP95)))</f>
        <v>0.95</v>
      </c>
      <c r="CA96" s="800" t="e">
        <f>IF(SUMIF($BI84:$BI95,$BX96,$BS84:$BS95)=0,NA(),SUMIF($BI84:$BI95,$BX96,$BS84:$BS95))</f>
        <v>#N/A</v>
      </c>
      <c r="CB96" s="645">
        <f t="shared" si="22"/>
        <v>24</v>
      </c>
      <c r="CC96" s="795">
        <f>MONTH(DATEVALUE(LEFT(BW96,3)&amp;" 1"))</f>
        <v>10</v>
      </c>
    </row>
    <row r="97" spans="2:81" ht="15" customHeight="1">
      <c r="B97" s="187"/>
      <c r="C97" s="187"/>
      <c r="D97" s="187"/>
      <c r="E97" s="187"/>
      <c r="F97" s="187"/>
      <c r="G97" s="187"/>
      <c r="H97" s="187"/>
      <c r="I97" s="187"/>
      <c r="J97" s="187"/>
      <c r="K97" s="187"/>
      <c r="L97" s="187"/>
      <c r="M97" s="187"/>
      <c r="N97" s="187"/>
      <c r="O97" s="187"/>
      <c r="P97" s="187"/>
      <c r="Q97" s="187"/>
      <c r="R97" s="187"/>
      <c r="S97" s="187"/>
      <c r="T97" s="187"/>
      <c r="U97" s="187"/>
      <c r="V97" s="187"/>
      <c r="W97" s="187"/>
      <c r="X97" s="187"/>
      <c r="Y97" s="187"/>
      <c r="Z97" s="187"/>
      <c r="AA97" s="187"/>
      <c r="AB97" s="187"/>
      <c r="AC97" s="187"/>
      <c r="AD97" s="187"/>
      <c r="AE97" s="187"/>
      <c r="AF97" s="187"/>
      <c r="AG97" s="187"/>
      <c r="AH97" s="187"/>
      <c r="AI97" s="187"/>
      <c r="AJ97" s="187"/>
      <c r="AK97" s="187"/>
      <c r="AL97" s="187"/>
      <c r="AM97" s="187"/>
      <c r="AN97" s="187"/>
      <c r="AO97" s="187"/>
      <c r="AP97" s="187"/>
      <c r="AQ97" s="187"/>
      <c r="AR97" s="187"/>
      <c r="AS97" s="187"/>
      <c r="AT97" s="187"/>
      <c r="AU97" s="187"/>
      <c r="AV97" s="187"/>
      <c r="AW97" s="187"/>
      <c r="AX97" s="187"/>
      <c r="AY97" s="187"/>
      <c r="AZ97" s="187"/>
      <c r="BA97" s="187"/>
      <c r="BB97" s="187"/>
      <c r="BC97" s="187"/>
      <c r="BD97" s="187"/>
      <c r="BE97" s="187"/>
      <c r="BF97" s="187"/>
      <c r="BG97" s="187"/>
      <c r="BH97" s="187"/>
    </row>
    <row r="98" spans="2:81" ht="15" customHeight="1">
      <c r="B98" s="187"/>
      <c r="C98" s="187"/>
      <c r="D98" s="187"/>
      <c r="E98" s="187"/>
      <c r="F98" s="187"/>
      <c r="G98" s="187"/>
      <c r="H98" s="187"/>
      <c r="I98" s="187"/>
      <c r="J98" s="187"/>
      <c r="K98" s="187"/>
      <c r="L98" s="187"/>
      <c r="M98" s="187"/>
      <c r="N98" s="187"/>
      <c r="O98" s="187"/>
      <c r="P98" s="187"/>
      <c r="Q98" s="187"/>
      <c r="R98" s="187"/>
      <c r="S98" s="187"/>
      <c r="T98" s="187"/>
      <c r="U98" s="187"/>
      <c r="V98" s="187"/>
      <c r="W98" s="187"/>
      <c r="X98" s="187"/>
      <c r="Y98" s="187"/>
      <c r="Z98" s="187"/>
      <c r="AA98" s="187"/>
      <c r="AB98" s="187"/>
      <c r="AC98" s="187"/>
      <c r="AD98" s="187"/>
      <c r="AE98" s="187"/>
      <c r="AF98" s="187"/>
      <c r="AG98" s="187"/>
      <c r="AH98" s="187"/>
      <c r="AI98" s="187"/>
      <c r="AJ98" s="187"/>
      <c r="AK98" s="187"/>
      <c r="AL98" s="187"/>
      <c r="AM98" s="187"/>
      <c r="AN98" s="187"/>
      <c r="AO98" s="187"/>
      <c r="AP98" s="187"/>
      <c r="AQ98" s="187"/>
      <c r="AR98" s="187"/>
      <c r="AS98" s="187"/>
      <c r="AT98" s="187"/>
      <c r="AU98" s="187"/>
      <c r="AV98" s="187"/>
      <c r="AW98" s="187"/>
      <c r="AX98" s="187"/>
      <c r="AY98" s="187"/>
      <c r="AZ98" s="187"/>
      <c r="BA98" s="187"/>
      <c r="BB98" s="187"/>
      <c r="BC98" s="187"/>
      <c r="BD98" s="187"/>
      <c r="BE98" s="187"/>
      <c r="BF98" s="187"/>
      <c r="BG98" s="187"/>
      <c r="BH98" s="187"/>
      <c r="BI98" s="247" t="s">
        <v>292</v>
      </c>
      <c r="BJ98" s="1723" t="s">
        <v>174</v>
      </c>
      <c r="BK98" s="1723"/>
      <c r="BL98" s="1723"/>
      <c r="BM98" s="1723"/>
      <c r="BN98" s="1723"/>
      <c r="BO98" s="1723"/>
      <c r="BP98" s="1723"/>
      <c r="BQ98" s="1723"/>
      <c r="BR98" s="1723"/>
      <c r="BS98" s="1723"/>
      <c r="BT98" s="1723"/>
      <c r="BU98" s="1723"/>
      <c r="BV98" s="248"/>
      <c r="BW98" s="248"/>
      <c r="BX98" s="248"/>
      <c r="BY98" s="248"/>
      <c r="BZ98" s="248"/>
      <c r="CA98" s="248"/>
      <c r="CB98" s="248"/>
      <c r="CC98" s="248"/>
    </row>
    <row r="99" spans="2:81" ht="15" customHeight="1">
      <c r="B99" s="187"/>
      <c r="C99" s="187"/>
      <c r="D99" s="187"/>
      <c r="E99" s="187"/>
      <c r="F99" s="187"/>
      <c r="G99" s="187"/>
      <c r="H99" s="187"/>
      <c r="I99" s="187"/>
      <c r="J99" s="187"/>
      <c r="K99" s="187"/>
      <c r="L99" s="187"/>
      <c r="M99" s="187"/>
      <c r="N99" s="187"/>
      <c r="O99" s="187"/>
      <c r="P99" s="187"/>
      <c r="Q99" s="187"/>
      <c r="R99" s="187"/>
      <c r="S99" s="187"/>
      <c r="T99" s="187"/>
      <c r="U99" s="187"/>
      <c r="V99" s="187"/>
      <c r="W99" s="187"/>
      <c r="X99" s="187"/>
      <c r="Y99" s="187"/>
      <c r="Z99" s="187"/>
      <c r="AA99" s="187"/>
      <c r="AB99" s="187"/>
      <c r="AC99" s="187"/>
      <c r="AD99" s="187"/>
      <c r="AE99" s="187"/>
      <c r="AF99" s="187"/>
      <c r="AG99" s="187"/>
      <c r="AH99" s="187"/>
      <c r="AI99" s="187"/>
      <c r="AJ99" s="187"/>
      <c r="AK99" s="187"/>
      <c r="AL99" s="187"/>
      <c r="AM99" s="187"/>
      <c r="AN99" s="187"/>
      <c r="AO99" s="187"/>
      <c r="AP99" s="187"/>
      <c r="AQ99" s="187"/>
      <c r="AR99" s="187"/>
      <c r="AS99" s="187"/>
      <c r="AT99" s="187"/>
      <c r="AU99" s="187"/>
      <c r="AV99" s="187"/>
      <c r="AW99" s="187"/>
      <c r="AX99" s="187"/>
      <c r="AY99" s="187"/>
      <c r="AZ99" s="187"/>
      <c r="BA99" s="187"/>
      <c r="BB99" s="187"/>
      <c r="BC99" s="187"/>
      <c r="BD99" s="187"/>
      <c r="BE99" s="187"/>
      <c r="BF99" s="187"/>
      <c r="BG99" s="187"/>
      <c r="BH99" s="187"/>
      <c r="BI99" s="247" t="s">
        <v>296</v>
      </c>
      <c r="BJ99" s="1723" t="s">
        <v>174</v>
      </c>
      <c r="BK99" s="1723"/>
      <c r="BL99" s="1723"/>
      <c r="BM99" s="1723"/>
      <c r="BN99" s="1723"/>
      <c r="BO99" s="1723"/>
      <c r="BP99" s="1723"/>
      <c r="BQ99" s="1723"/>
      <c r="BR99" s="1723"/>
      <c r="BS99" s="1723"/>
      <c r="BT99" s="1723"/>
      <c r="BU99" s="1723"/>
      <c r="BV99" s="248"/>
      <c r="BW99" s="248"/>
      <c r="BX99" s="248"/>
      <c r="BY99" s="248"/>
      <c r="BZ99" s="248"/>
      <c r="CA99" s="248"/>
      <c r="CB99" s="248"/>
      <c r="CC99" s="248"/>
    </row>
    <row r="100" spans="2:81" ht="15" customHeight="1" thickBot="1">
      <c r="B100" s="187"/>
      <c r="C100" s="187"/>
      <c r="D100" s="187"/>
      <c r="E100" s="187"/>
      <c r="F100" s="187"/>
      <c r="G100" s="187"/>
      <c r="H100" s="187"/>
      <c r="I100" s="187"/>
      <c r="J100" s="187"/>
      <c r="K100" s="187"/>
      <c r="L100" s="187"/>
      <c r="M100" s="187"/>
      <c r="N100" s="187"/>
      <c r="O100" s="187"/>
      <c r="P100" s="187"/>
      <c r="Q100" s="187"/>
      <c r="R100" s="187"/>
      <c r="S100" s="187"/>
      <c r="T100" s="187"/>
      <c r="U100" s="187"/>
      <c r="V100" s="187"/>
      <c r="W100" s="187"/>
      <c r="X100" s="187"/>
      <c r="Y100" s="187"/>
      <c r="Z100" s="187"/>
      <c r="AA100" s="187"/>
      <c r="AB100" s="187"/>
      <c r="AC100" s="187"/>
      <c r="AD100" s="187"/>
      <c r="AE100" s="187"/>
      <c r="AF100" s="187"/>
      <c r="AG100" s="187"/>
      <c r="AH100" s="187"/>
      <c r="AI100" s="187"/>
      <c r="AJ100" s="187"/>
      <c r="AK100" s="187"/>
      <c r="AL100" s="187"/>
      <c r="AM100" s="187"/>
      <c r="AN100" s="187"/>
      <c r="AO100" s="187"/>
      <c r="AP100" s="187"/>
      <c r="AQ100" s="187"/>
      <c r="AR100" s="187"/>
      <c r="AS100" s="187"/>
      <c r="AT100" s="187"/>
      <c r="AU100" s="187"/>
      <c r="AV100" s="187"/>
      <c r="AW100" s="187"/>
      <c r="AX100" s="187"/>
      <c r="AY100" s="187"/>
      <c r="AZ100" s="187"/>
      <c r="BA100" s="187"/>
      <c r="BB100" s="187"/>
      <c r="BC100" s="187"/>
      <c r="BD100" s="187"/>
      <c r="BE100" s="187"/>
      <c r="BF100" s="187"/>
      <c r="BG100" s="187"/>
      <c r="BH100" s="187"/>
      <c r="BI100" s="247" t="s">
        <v>300</v>
      </c>
      <c r="BJ100" s="1724" t="s">
        <v>649</v>
      </c>
      <c r="BK100" s="1724"/>
      <c r="BL100" s="1724"/>
      <c r="BM100" s="1724"/>
      <c r="BN100" s="1724"/>
      <c r="BO100" s="1724"/>
      <c r="BP100" s="1724"/>
      <c r="BQ100" s="1724"/>
      <c r="BR100" s="1724"/>
      <c r="BS100" s="1724"/>
      <c r="BT100" s="1724"/>
      <c r="BU100" s="1724"/>
      <c r="BV100" s="248"/>
      <c r="BW100" s="248"/>
      <c r="BX100" s="248"/>
      <c r="BY100" s="248"/>
      <c r="BZ100" s="248"/>
      <c r="CA100" s="248"/>
      <c r="CB100" s="248"/>
      <c r="CC100" s="248"/>
    </row>
    <row r="101" spans="2:81" ht="15" customHeight="1" thickBot="1">
      <c r="B101" s="187"/>
      <c r="C101" s="187"/>
      <c r="D101" s="187"/>
      <c r="E101" s="187"/>
      <c r="F101" s="187"/>
      <c r="G101" s="187"/>
      <c r="H101" s="187"/>
      <c r="I101" s="187"/>
      <c r="J101" s="187"/>
      <c r="K101" s="187"/>
      <c r="L101" s="187"/>
      <c r="M101" s="187"/>
      <c r="N101" s="187"/>
      <c r="O101" s="187"/>
      <c r="P101" s="187"/>
      <c r="Q101" s="187"/>
      <c r="R101" s="187"/>
      <c r="S101" s="187"/>
      <c r="T101" s="187"/>
      <c r="U101" s="187"/>
      <c r="V101" s="187"/>
      <c r="W101" s="187"/>
      <c r="X101" s="187"/>
      <c r="Y101" s="187"/>
      <c r="Z101" s="187"/>
      <c r="AA101" s="187"/>
      <c r="AB101" s="187"/>
      <c r="AC101" s="187"/>
      <c r="AD101" s="187"/>
      <c r="AE101" s="187"/>
      <c r="AF101" s="187"/>
      <c r="AG101" s="187"/>
      <c r="AH101" s="187"/>
      <c r="AI101" s="187"/>
      <c r="AJ101" s="187"/>
      <c r="AK101" s="187"/>
      <c r="AL101" s="187"/>
      <c r="AM101" s="187"/>
      <c r="AN101" s="187"/>
      <c r="AO101" s="187"/>
      <c r="AP101" s="187"/>
      <c r="AQ101" s="187"/>
      <c r="AR101" s="187"/>
      <c r="AS101" s="187"/>
      <c r="AT101" s="187"/>
      <c r="AU101" s="187"/>
      <c r="AV101" s="187"/>
      <c r="AW101" s="187"/>
      <c r="AX101" s="187"/>
      <c r="AY101" s="187"/>
      <c r="AZ101" s="187"/>
      <c r="BA101" s="187"/>
      <c r="BB101" s="187"/>
      <c r="BC101" s="187"/>
      <c r="BD101" s="187"/>
      <c r="BE101" s="187"/>
      <c r="BF101" s="187"/>
      <c r="BG101" s="187"/>
      <c r="BH101" s="187"/>
      <c r="BI101" s="1716" t="s">
        <v>650</v>
      </c>
      <c r="BJ101" s="1717"/>
      <c r="BK101" s="1718"/>
      <c r="BL101" s="1717" t="s">
        <v>302</v>
      </c>
      <c r="BM101" s="1717"/>
      <c r="BN101" s="1717"/>
      <c r="BO101" s="1717"/>
      <c r="BP101" s="1729"/>
      <c r="BQ101" s="1716" t="s">
        <v>719</v>
      </c>
      <c r="BR101" s="1717"/>
      <c r="BS101" s="1717"/>
      <c r="BT101" s="1717"/>
      <c r="BU101" s="1718"/>
      <c r="BV101" s="248"/>
      <c r="BW101" s="1716" t="s">
        <v>303</v>
      </c>
      <c r="BX101" s="1717"/>
      <c r="BY101" s="1717"/>
      <c r="BZ101" s="1717"/>
      <c r="CA101" s="1717"/>
      <c r="CB101" s="1717"/>
      <c r="CC101" s="1718"/>
    </row>
    <row r="102" spans="2:81" ht="15" customHeight="1">
      <c r="B102" s="187"/>
      <c r="C102" s="187"/>
      <c r="D102" s="187"/>
      <c r="E102" s="187"/>
      <c r="F102" s="187"/>
      <c r="G102" s="187"/>
      <c r="H102" s="187"/>
      <c r="I102" s="187"/>
      <c r="J102" s="187"/>
      <c r="K102" s="187"/>
      <c r="L102" s="187"/>
      <c r="M102" s="187"/>
      <c r="N102" s="187"/>
      <c r="O102" s="187"/>
      <c r="P102" s="187"/>
      <c r="Q102" s="18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253" t="s">
        <v>23</v>
      </c>
      <c r="BJ102" s="253" t="s">
        <v>37</v>
      </c>
      <c r="BK102" s="253" t="s">
        <v>304</v>
      </c>
      <c r="BL102" s="688" t="s">
        <v>305</v>
      </c>
      <c r="BM102" s="688" t="s">
        <v>310</v>
      </c>
      <c r="BN102" s="688" t="s">
        <v>311</v>
      </c>
      <c r="BO102" s="254" t="s">
        <v>312</v>
      </c>
      <c r="BP102" s="688" t="s">
        <v>313</v>
      </c>
      <c r="BQ102" s="688" t="s">
        <v>305</v>
      </c>
      <c r="BR102" s="688" t="s">
        <v>715</v>
      </c>
      <c r="BS102" s="688" t="s">
        <v>716</v>
      </c>
      <c r="BT102" s="254" t="s">
        <v>717</v>
      </c>
      <c r="BU102" s="688" t="s">
        <v>718</v>
      </c>
      <c r="BV102" s="248"/>
      <c r="BW102" s="253" t="s">
        <v>314</v>
      </c>
      <c r="BX102" s="253" t="s">
        <v>23</v>
      </c>
      <c r="BY102" s="255" t="s">
        <v>315</v>
      </c>
      <c r="BZ102" s="253" t="s">
        <v>122</v>
      </c>
      <c r="CA102" s="253" t="s">
        <v>316</v>
      </c>
      <c r="CB102" s="253" t="s">
        <v>317</v>
      </c>
      <c r="CC102" s="253" t="s">
        <v>318</v>
      </c>
    </row>
    <row r="103" spans="2:81" ht="15" customHeight="1">
      <c r="B103" s="187"/>
      <c r="C103" s="187"/>
      <c r="D103" s="187"/>
      <c r="E103" s="187"/>
      <c r="F103" s="187"/>
      <c r="G103" s="187"/>
      <c r="H103" s="187"/>
      <c r="I103" s="187"/>
      <c r="J103" s="187"/>
      <c r="K103" s="187"/>
      <c r="L103" s="187"/>
      <c r="M103" s="187"/>
      <c r="N103" s="187"/>
      <c r="O103" s="187"/>
      <c r="P103" s="187"/>
      <c r="Q103" s="187"/>
      <c r="R103" s="187"/>
      <c r="S103" s="187"/>
      <c r="T103" s="187"/>
      <c r="U103" s="187"/>
      <c r="V103" s="187"/>
      <c r="W103" s="187"/>
      <c r="X103" s="187"/>
      <c r="Y103" s="187"/>
      <c r="Z103" s="187"/>
      <c r="AA103" s="187"/>
      <c r="AB103" s="187"/>
      <c r="AC103" s="187"/>
      <c r="AD103" s="187"/>
      <c r="AE103" s="187"/>
      <c r="AF103" s="187"/>
      <c r="AG103" s="187"/>
      <c r="AH103" s="187"/>
      <c r="AI103" s="187"/>
      <c r="AJ103" s="187"/>
      <c r="AK103" s="187"/>
      <c r="AL103" s="187"/>
      <c r="AM103" s="187"/>
      <c r="AN103" s="187"/>
      <c r="AO103" s="187"/>
      <c r="AP103" s="187"/>
      <c r="AQ103" s="187"/>
      <c r="AR103" s="187"/>
      <c r="AS103" s="187"/>
      <c r="AT103" s="187"/>
      <c r="AU103" s="187"/>
      <c r="AV103" s="187"/>
      <c r="AW103" s="187"/>
      <c r="AX103" s="187"/>
      <c r="AY103" s="187"/>
      <c r="AZ103" s="187"/>
      <c r="BA103" s="187"/>
      <c r="BB103" s="187"/>
      <c r="BC103" s="187"/>
      <c r="BD103" s="187"/>
      <c r="BE103" s="187"/>
      <c r="BF103" s="187"/>
      <c r="BG103" s="187"/>
      <c r="BH103" s="187"/>
      <c r="BI103" s="638" t="s">
        <v>319</v>
      </c>
      <c r="BJ103" s="638">
        <v>1</v>
      </c>
      <c r="BK103" s="638" t="s">
        <v>320</v>
      </c>
      <c r="BL103" s="670">
        <f t="shared" ref="BL103:BL114" si="24">BN103*BM103</f>
        <v>0</v>
      </c>
      <c r="BM103" s="671"/>
      <c r="BN103" s="663"/>
      <c r="BO103" s="289">
        <f>IF(SUM(BM103:BM105=0),0,SUM(BL103:BL105)/SUM(BM103:BM105))</f>
        <v>0</v>
      </c>
      <c r="BP103" s="668">
        <v>5</v>
      </c>
      <c r="BQ103" s="672">
        <f t="shared" ref="BQ103:BQ114" si="25">BS103*BR103*1000</f>
        <v>0</v>
      </c>
      <c r="BR103" s="671"/>
      <c r="BS103" s="663"/>
      <c r="BT103" s="289">
        <f>IF(SUM(BR103:BR105=0),0,SUM(BQ103:BQ105)/SUM(BR103:BR105)/1000)</f>
        <v>0</v>
      </c>
      <c r="BU103" s="668">
        <v>5</v>
      </c>
      <c r="BV103" s="248"/>
      <c r="BW103" s="248"/>
      <c r="BX103" s="791" t="str">
        <f t="shared" ref="BX103:BX115" si="26">TEXT(CONCATENATE(CC103,"/01/20",CB103),"MMM")</f>
        <v>Oct</v>
      </c>
      <c r="BY103" s="792">
        <f>IF(CB103=$CB115,SUMIF($BI103:$BI114,$BX103,$BR103:$BR114),SUMIF($BI103:$BI114,$BX103,$BM103:$BM114))</f>
        <v>0</v>
      </c>
      <c r="BZ103" s="801">
        <f>IF(IF(CB103=CB115,SUMIF(BI103:BI114,$BX103,BU103:BU114),SUMIF(BI103:BI114,$BX103,BP103:BP114))=0,NA(),IF(CB103=CB115,SUMIF(BI103:BI114,$BX103,BU103:BU114),SUMIF(BI103:BI114,$BX103,BP103:BP114)))</f>
        <v>5</v>
      </c>
      <c r="CA103" s="800" t="e">
        <f>IF(IF(CB103=CB115,SUMIF(BI103:BI114,$BX103,BS103:BS114),SUMIF(BI103:BI114,$BX103,BN103:BN114))=0,NA(),IF(CB103=CB115,SUMIF(BI103:BI114,$BX103,BS103:BS114),SUMIF(BI103:BI114,$BX103,BN103:BN114)))</f>
        <v>#N/A</v>
      </c>
      <c r="CB103" s="645">
        <f t="shared" ref="CB103:CB115" si="27">CB84</f>
        <v>23</v>
      </c>
      <c r="CC103" s="795">
        <f t="shared" ref="CC103:CC114" si="28">IF(CC104-1&lt;1,CC104+11,CC104-1)</f>
        <v>10</v>
      </c>
    </row>
    <row r="104" spans="2:81" ht="15" customHeight="1">
      <c r="B104" s="187"/>
      <c r="C104" s="187"/>
      <c r="D104" s="187"/>
      <c r="E104" s="187"/>
      <c r="F104" s="187"/>
      <c r="G104" s="187"/>
      <c r="H104" s="187"/>
      <c r="I104" s="187"/>
      <c r="J104" s="187"/>
      <c r="K104" s="187"/>
      <c r="L104" s="187"/>
      <c r="M104" s="187"/>
      <c r="N104" s="187"/>
      <c r="O104" s="187"/>
      <c r="P104" s="187"/>
      <c r="Q104" s="18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638" t="s">
        <v>321</v>
      </c>
      <c r="BJ104" s="638">
        <v>2</v>
      </c>
      <c r="BK104" s="638" t="s">
        <v>320</v>
      </c>
      <c r="BL104" s="670">
        <f t="shared" si="24"/>
        <v>0</v>
      </c>
      <c r="BM104" s="671"/>
      <c r="BN104" s="663"/>
      <c r="BO104" s="290"/>
      <c r="BP104" s="668">
        <v>5</v>
      </c>
      <c r="BQ104" s="672">
        <f t="shared" si="25"/>
        <v>0</v>
      </c>
      <c r="BR104" s="671"/>
      <c r="BS104" s="663"/>
      <c r="BT104" s="290"/>
      <c r="BU104" s="668">
        <v>5</v>
      </c>
      <c r="BV104" s="248"/>
      <c r="BW104" s="248"/>
      <c r="BX104" s="791" t="str">
        <f t="shared" si="26"/>
        <v>Nov</v>
      </c>
      <c r="BY104" s="792">
        <f>IF(CB104=$CB115,SUMIF($BI103:$BI114,$BX104,$BR103:$BR114),SUMIF($BI103:$BI114,$BX104,$BM103:$BM114))</f>
        <v>0</v>
      </c>
      <c r="BZ104" s="801">
        <f>IF(IF(CB104=CB115,SUMIF(BI103:BI114,$BX104,BU103:BU114),SUMIF(BI103:BI114,$BX104,BP103:BP114))=0,NA(),IF(CB104=CB115,SUMIF(BI103:BI114,$BX104,BU103:BU114),SUMIF(BI103:BI114,$BX104,BP103:BP114)))</f>
        <v>5</v>
      </c>
      <c r="CA104" s="800" t="e">
        <f>IF(IF(CB104=CB115,SUMIF(BI103:BI114,$BX104,BS103:BS114),SUMIF(BI103:BI114,$BX104,BN103:BN114))=0,NA(),IF(CB104=CB115,SUMIF(BI103:BI114,$BX104,BS103:BS114),SUMIF(BI103:BI114,$BX104,BN103:BN114)))</f>
        <v>#N/A</v>
      </c>
      <c r="CB104" s="645">
        <f t="shared" si="27"/>
        <v>23</v>
      </c>
      <c r="CC104" s="795">
        <f t="shared" si="28"/>
        <v>11</v>
      </c>
    </row>
    <row r="105" spans="2:81" ht="15" customHeight="1">
      <c r="B105" s="187"/>
      <c r="C105" s="187"/>
      <c r="D105" s="187"/>
      <c r="E105" s="187"/>
      <c r="F105" s="187"/>
      <c r="G105" s="187"/>
      <c r="H105" s="187"/>
      <c r="I105" s="187"/>
      <c r="J105" s="187"/>
      <c r="K105" s="187"/>
      <c r="L105" s="187"/>
      <c r="M105" s="187"/>
      <c r="N105" s="187"/>
      <c r="O105" s="187"/>
      <c r="P105" s="187"/>
      <c r="Q105" s="187"/>
      <c r="R105" s="187"/>
      <c r="S105" s="187"/>
      <c r="T105" s="187"/>
      <c r="U105" s="187"/>
      <c r="V105" s="187"/>
      <c r="W105" s="187"/>
      <c r="X105" s="187"/>
      <c r="Y105" s="187"/>
      <c r="Z105" s="187"/>
      <c r="AA105" s="187"/>
      <c r="AB105" s="187"/>
      <c r="AC105" s="187"/>
      <c r="AD105" s="187"/>
      <c r="AE105" s="187"/>
      <c r="AF105" s="187"/>
      <c r="AG105" s="187"/>
      <c r="AH105" s="187"/>
      <c r="AI105" s="187"/>
      <c r="AJ105" s="187"/>
      <c r="AK105" s="187"/>
      <c r="AL105" s="187"/>
      <c r="AM105" s="187"/>
      <c r="AN105" s="187"/>
      <c r="AO105" s="187"/>
      <c r="AP105" s="187"/>
      <c r="AQ105" s="187"/>
      <c r="AR105" s="187"/>
      <c r="AS105" s="187"/>
      <c r="AT105" s="187"/>
      <c r="AU105" s="187"/>
      <c r="AV105" s="187"/>
      <c r="AW105" s="187"/>
      <c r="AX105" s="187"/>
      <c r="AY105" s="187"/>
      <c r="AZ105" s="187"/>
      <c r="BA105" s="187"/>
      <c r="BB105" s="187"/>
      <c r="BC105" s="187"/>
      <c r="BD105" s="187"/>
      <c r="BE105" s="187"/>
      <c r="BF105" s="187"/>
      <c r="BG105" s="187"/>
      <c r="BH105" s="187"/>
      <c r="BI105" s="638" t="s">
        <v>322</v>
      </c>
      <c r="BJ105" s="638">
        <v>3</v>
      </c>
      <c r="BK105" s="638" t="s">
        <v>320</v>
      </c>
      <c r="BL105" s="670">
        <f t="shared" si="24"/>
        <v>0</v>
      </c>
      <c r="BM105" s="671"/>
      <c r="BN105" s="663"/>
      <c r="BO105" s="290"/>
      <c r="BP105" s="668">
        <v>5</v>
      </c>
      <c r="BQ105" s="672">
        <f t="shared" si="25"/>
        <v>0</v>
      </c>
      <c r="BR105" s="671"/>
      <c r="BS105" s="663"/>
      <c r="BT105" s="290"/>
      <c r="BU105" s="668">
        <v>5</v>
      </c>
      <c r="BV105" s="248"/>
      <c r="BW105" s="248"/>
      <c r="BX105" s="791" t="str">
        <f t="shared" si="26"/>
        <v>Dec</v>
      </c>
      <c r="BY105" s="792">
        <f>IF(CB105=$CB115,SUMIF($BI103:$BI114,$BX105,$BR103:$BR114),SUMIF($BI103:$BI114,$BX105,$BM103:$BM114))</f>
        <v>0</v>
      </c>
      <c r="BZ105" s="801">
        <f>IF(IF(CB105=CB115,SUMIF(BI103:BI114,$BX105,BU103:BU114),SUMIF(BI103:BI114,$BX105,BP103:BP114))=0,NA(),IF(CB105=CB115,SUMIF(BI103:BI114,$BX105,BU103:BU114),SUMIF(BI103:BI114,$BX105,BP103:BP114)))</f>
        <v>5</v>
      </c>
      <c r="CA105" s="800" t="e">
        <f>IF(IF(CB105=CB115,SUMIF(BI103:BI114,$BX105,BS103:BS114),SUMIF(BI103:BI114,$BX105,BN103:BN114))=0,NA(),IF(CB105=CB115,SUMIF(BI103:BI114,$BX105,BS103:BS114),SUMIF(BI103:BI114,$BX105,BN103:BN114)))</f>
        <v>#N/A</v>
      </c>
      <c r="CB105" s="645">
        <f t="shared" si="27"/>
        <v>23</v>
      </c>
      <c r="CC105" s="795">
        <f t="shared" si="28"/>
        <v>12</v>
      </c>
    </row>
    <row r="106" spans="2:81" ht="15" customHeight="1">
      <c r="B106" s="187"/>
      <c r="C106" s="187"/>
      <c r="D106" s="187"/>
      <c r="E106" s="187"/>
      <c r="F106" s="187"/>
      <c r="G106" s="187"/>
      <c r="H106" s="187"/>
      <c r="I106" s="187"/>
      <c r="J106" s="187"/>
      <c r="K106" s="187"/>
      <c r="L106" s="187"/>
      <c r="M106" s="187"/>
      <c r="N106" s="187"/>
      <c r="O106" s="187"/>
      <c r="P106" s="187"/>
      <c r="Q106" s="187"/>
      <c r="R106" s="187"/>
      <c r="S106" s="187"/>
      <c r="T106" s="187"/>
      <c r="U106" s="187"/>
      <c r="V106" s="187"/>
      <c r="W106" s="187"/>
      <c r="X106" s="187"/>
      <c r="Y106" s="187"/>
      <c r="Z106" s="187"/>
      <c r="AA106" s="187"/>
      <c r="AB106" s="187"/>
      <c r="AC106" s="187"/>
      <c r="AD106" s="187"/>
      <c r="AE106" s="187"/>
      <c r="AF106" s="187"/>
      <c r="AG106" s="187"/>
      <c r="AH106" s="187"/>
      <c r="AI106" s="187"/>
      <c r="AJ106" s="187"/>
      <c r="AK106" s="187"/>
      <c r="AL106" s="187"/>
      <c r="AM106" s="187"/>
      <c r="AN106" s="187"/>
      <c r="AO106" s="187"/>
      <c r="AP106" s="187"/>
      <c r="AQ106" s="187"/>
      <c r="AR106" s="187"/>
      <c r="AS106" s="187"/>
      <c r="AT106" s="187"/>
      <c r="AU106" s="187"/>
      <c r="AV106" s="187"/>
      <c r="AW106" s="187"/>
      <c r="AX106" s="187"/>
      <c r="AY106" s="187"/>
      <c r="AZ106" s="187"/>
      <c r="BA106" s="187"/>
      <c r="BB106" s="187"/>
      <c r="BC106" s="187"/>
      <c r="BD106" s="187"/>
      <c r="BE106" s="187"/>
      <c r="BF106" s="187"/>
      <c r="BG106" s="187"/>
      <c r="BH106" s="187"/>
      <c r="BI106" s="638" t="s">
        <v>323</v>
      </c>
      <c r="BJ106" s="638">
        <v>4</v>
      </c>
      <c r="BK106" s="638" t="s">
        <v>324</v>
      </c>
      <c r="BL106" s="670">
        <f t="shared" si="24"/>
        <v>0</v>
      </c>
      <c r="BM106" s="671"/>
      <c r="BN106" s="663"/>
      <c r="BO106" s="289">
        <f>IF(SUM(BM106:BM108=0),0,SUM(BL106:BL108)/SUM(BM106:BM108))</f>
        <v>0</v>
      </c>
      <c r="BP106" s="668">
        <v>5</v>
      </c>
      <c r="BQ106" s="672">
        <f t="shared" si="25"/>
        <v>0</v>
      </c>
      <c r="BR106" s="671"/>
      <c r="BS106" s="663"/>
      <c r="BT106" s="289">
        <f>IF(SUM(BR106:BR108=0),0,SUM(BQ106:BQ108)/SUM(BR106:BR108)/1000)</f>
        <v>0</v>
      </c>
      <c r="BU106" s="668">
        <v>5</v>
      </c>
      <c r="BV106" s="248"/>
      <c r="BW106" s="248"/>
      <c r="BX106" s="791" t="str">
        <f t="shared" si="26"/>
        <v>Jan</v>
      </c>
      <c r="BY106" s="792">
        <f>IF(CB106=$CB115,SUMIF($BI103:$BI114,$BX106,$BR103:$BR114),SUMIF($BI103:$BI114,$BX106,$BM103:$BM114))</f>
        <v>0</v>
      </c>
      <c r="BZ106" s="801">
        <f>IF(IF(CB106=CB115,SUMIF(BI103:BI114,$BX106,BU103:BU114),SUMIF(BI103:BI114,$BX106,BP103:BP114))=0,NA(),IF(CB106=CB115,SUMIF(BI103:BI114,$BX106,BU103:BU114),SUMIF(BI103:BI114,$BX106,BP103:BP114)))</f>
        <v>5</v>
      </c>
      <c r="CA106" s="800" t="e">
        <f>IF(IF(CB106=CB115,SUMIF(BI103:BI114,$BX106,BS103:BS114),SUMIF(BI103:BI114,$BX106,BN103:BN114))=0,NA(),IF(CB106=CB115,SUMIF(BI103:BI114,$BX106,BS103:BS114),SUMIF(BI103:BI114,$BX106,BN103:BN114)))</f>
        <v>#N/A</v>
      </c>
      <c r="CB106" s="645">
        <f t="shared" si="27"/>
        <v>23</v>
      </c>
      <c r="CC106" s="795">
        <f t="shared" si="28"/>
        <v>1</v>
      </c>
    </row>
    <row r="107" spans="2:81" ht="15" customHeight="1">
      <c r="B107" s="187"/>
      <c r="C107" s="187"/>
      <c r="D107" s="187"/>
      <c r="E107" s="187"/>
      <c r="F107" s="187"/>
      <c r="G107" s="187"/>
      <c r="H107" s="187"/>
      <c r="I107" s="187"/>
      <c r="J107" s="187"/>
      <c r="K107" s="187"/>
      <c r="L107" s="187"/>
      <c r="M107" s="187"/>
      <c r="N107" s="187"/>
      <c r="O107" s="187"/>
      <c r="P107" s="187"/>
      <c r="Q107" s="187"/>
      <c r="R107" s="187"/>
      <c r="S107" s="187"/>
      <c r="T107" s="187"/>
      <c r="U107" s="187"/>
      <c r="V107" s="187"/>
      <c r="W107" s="187"/>
      <c r="X107" s="187"/>
      <c r="Y107" s="187"/>
      <c r="Z107" s="187"/>
      <c r="AA107" s="187"/>
      <c r="AB107" s="187"/>
      <c r="AC107" s="187"/>
      <c r="AD107" s="187"/>
      <c r="AE107" s="187"/>
      <c r="AF107" s="187"/>
      <c r="AG107" s="187"/>
      <c r="AH107" s="187"/>
      <c r="AI107" s="187"/>
      <c r="AJ107" s="187"/>
      <c r="AK107" s="187"/>
      <c r="AL107" s="187"/>
      <c r="AM107" s="187"/>
      <c r="AN107" s="187"/>
      <c r="AO107" s="187"/>
      <c r="AP107" s="187"/>
      <c r="AQ107" s="187"/>
      <c r="AR107" s="187"/>
      <c r="AS107" s="187"/>
      <c r="AT107" s="187"/>
      <c r="AU107" s="187"/>
      <c r="AV107" s="187"/>
      <c r="AW107" s="187"/>
      <c r="AX107" s="187"/>
      <c r="AY107" s="187"/>
      <c r="AZ107" s="187"/>
      <c r="BA107" s="187"/>
      <c r="BB107" s="187"/>
      <c r="BC107" s="187"/>
      <c r="BD107" s="187"/>
      <c r="BE107" s="187"/>
      <c r="BF107" s="187"/>
      <c r="BG107" s="187"/>
      <c r="BH107" s="187"/>
      <c r="BI107" s="638" t="s">
        <v>325</v>
      </c>
      <c r="BJ107" s="638">
        <v>5</v>
      </c>
      <c r="BK107" s="638" t="s">
        <v>324</v>
      </c>
      <c r="BL107" s="670">
        <f t="shared" si="24"/>
        <v>0</v>
      </c>
      <c r="BM107" s="671"/>
      <c r="BN107" s="663"/>
      <c r="BO107" s="290"/>
      <c r="BP107" s="668">
        <v>5</v>
      </c>
      <c r="BQ107" s="672">
        <f t="shared" si="25"/>
        <v>0</v>
      </c>
      <c r="BR107" s="671"/>
      <c r="BS107" s="663"/>
      <c r="BT107" s="290"/>
      <c r="BU107" s="668">
        <v>5</v>
      </c>
      <c r="BV107" s="248"/>
      <c r="BW107" s="248"/>
      <c r="BX107" s="791" t="str">
        <f t="shared" si="26"/>
        <v>Feb</v>
      </c>
      <c r="BY107" s="792">
        <f>IF(CB107=$CB115,SUMIF($BI103:$BI114,$BX107,$BR103:$BR114),SUMIF($BI103:$BI114,$BX107,$BM103:$BM114))</f>
        <v>0</v>
      </c>
      <c r="BZ107" s="801">
        <f>IF(IF(CB107=CB115,SUMIF(BI103:BI114,$BX107,BU103:BU114),SUMIF(BI103:BI114,$BX107,BP103:BP114))=0,NA(),IF(CB107=CB115,SUMIF(BI103:BI114,$BX107,BU103:BU114),SUMIF(BI103:BI114,$BX107,BP103:BP114)))</f>
        <v>5</v>
      </c>
      <c r="CA107" s="800" t="e">
        <f>IF(IF(CB107=CB115,SUMIF(BI103:BI114,$BX107,BS103:BS114),SUMIF(BI103:BI114,$BX107,BN103:BN114))=0,NA(),IF(CB107=CB115,SUMIF(BI103:BI114,$BX107,BS103:BS114),SUMIF(BI103:BI114,$BX107,BN103:BN114)))</f>
        <v>#N/A</v>
      </c>
      <c r="CB107" s="645">
        <f t="shared" si="27"/>
        <v>23</v>
      </c>
      <c r="CC107" s="795">
        <f t="shared" si="28"/>
        <v>2</v>
      </c>
    </row>
    <row r="108" spans="2:81" ht="15" customHeight="1">
      <c r="B108" s="187"/>
      <c r="C108" s="187"/>
      <c r="D108" s="187"/>
      <c r="E108" s="187"/>
      <c r="F108" s="187"/>
      <c r="G108" s="187"/>
      <c r="H108" s="187"/>
      <c r="I108" s="187"/>
      <c r="J108" s="187"/>
      <c r="K108" s="187"/>
      <c r="L108" s="187"/>
      <c r="M108" s="187"/>
      <c r="N108" s="187"/>
      <c r="O108" s="187"/>
      <c r="P108" s="187"/>
      <c r="Q108" s="187"/>
      <c r="R108" s="187"/>
      <c r="S108" s="187"/>
      <c r="T108" s="187"/>
      <c r="U108" s="187"/>
      <c r="V108" s="187"/>
      <c r="W108" s="187"/>
      <c r="X108" s="187"/>
      <c r="Y108" s="187"/>
      <c r="Z108" s="187"/>
      <c r="AA108" s="187"/>
      <c r="AB108" s="187"/>
      <c r="AC108" s="187"/>
      <c r="AD108" s="187"/>
      <c r="AE108" s="187"/>
      <c r="AF108" s="187"/>
      <c r="AG108" s="187"/>
      <c r="AH108" s="187"/>
      <c r="AI108" s="187"/>
      <c r="AJ108" s="187"/>
      <c r="AK108" s="187"/>
      <c r="AL108" s="187"/>
      <c r="AM108" s="187"/>
      <c r="AN108" s="187"/>
      <c r="AO108" s="187"/>
      <c r="AP108" s="187"/>
      <c r="AQ108" s="187"/>
      <c r="AR108" s="187"/>
      <c r="AS108" s="187"/>
      <c r="AT108" s="187"/>
      <c r="AU108" s="187"/>
      <c r="AV108" s="187"/>
      <c r="AW108" s="187"/>
      <c r="AX108" s="187"/>
      <c r="AY108" s="187"/>
      <c r="AZ108" s="187"/>
      <c r="BA108" s="187"/>
      <c r="BB108" s="187"/>
      <c r="BC108" s="187"/>
      <c r="BD108" s="187"/>
      <c r="BE108" s="187"/>
      <c r="BF108" s="187"/>
      <c r="BG108" s="187"/>
      <c r="BH108" s="187"/>
      <c r="BI108" s="638" t="s">
        <v>326</v>
      </c>
      <c r="BJ108" s="638">
        <v>6</v>
      </c>
      <c r="BK108" s="638" t="s">
        <v>324</v>
      </c>
      <c r="BL108" s="670">
        <f t="shared" si="24"/>
        <v>0</v>
      </c>
      <c r="BM108" s="673"/>
      <c r="BN108" s="661"/>
      <c r="BO108" s="290"/>
      <c r="BP108" s="668">
        <v>5</v>
      </c>
      <c r="BQ108" s="672">
        <f t="shared" si="25"/>
        <v>0</v>
      </c>
      <c r="BR108" s="673"/>
      <c r="BS108" s="663"/>
      <c r="BT108" s="290"/>
      <c r="BU108" s="668">
        <v>5</v>
      </c>
      <c r="BV108" s="248"/>
      <c r="BW108" s="248"/>
      <c r="BX108" s="791" t="str">
        <f t="shared" si="26"/>
        <v>Mar</v>
      </c>
      <c r="BY108" s="792">
        <f>IF(CB108=$CB115,SUMIF($BI103:$BI114,$BX108,$BR103:$BR114),SUMIF($BI103:$BI114,$BX108,$BM103:$BM114))</f>
        <v>0</v>
      </c>
      <c r="BZ108" s="801">
        <f>IF(IF(CB108=CB115,SUMIF(BI103:BI114,$BX108,BU103:BU114),SUMIF(BI103:BI114,$BX108,BP103:BP114))=0,NA(),IF(CB108=CB115,SUMIF(BI103:BI114,$BX108,BU103:BU114),SUMIF(BI103:BI114,$BX108,BP103:BP114)))</f>
        <v>5</v>
      </c>
      <c r="CA108" s="800" t="e">
        <f>IF(IF(CB108=CB115,SUMIF(BI103:BI114,$BX108,BS103:BS114),SUMIF(BI103:BI114,$BX108,BN103:BN114))=0,NA(),IF(CB108=CB115,SUMIF(BI103:BI114,$BX108,BS103:BS114),SUMIF(BI103:BI114,$BX108,BN103:BN114)))</f>
        <v>#N/A</v>
      </c>
      <c r="CB108" s="645">
        <f t="shared" si="27"/>
        <v>23</v>
      </c>
      <c r="CC108" s="795">
        <f t="shared" si="28"/>
        <v>3</v>
      </c>
    </row>
    <row r="109" spans="2:81" ht="15" customHeight="1">
      <c r="B109" s="187"/>
      <c r="C109" s="187"/>
      <c r="D109" s="187"/>
      <c r="E109" s="187"/>
      <c r="F109" s="187"/>
      <c r="G109" s="187"/>
      <c r="H109" s="187"/>
      <c r="I109" s="187"/>
      <c r="J109" s="187"/>
      <c r="K109" s="187"/>
      <c r="L109" s="187"/>
      <c r="M109" s="187"/>
      <c r="N109" s="187"/>
      <c r="O109" s="187"/>
      <c r="P109" s="187"/>
      <c r="Q109" s="187"/>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638" t="s">
        <v>327</v>
      </c>
      <c r="BJ109" s="638">
        <v>7</v>
      </c>
      <c r="BK109" s="638" t="s">
        <v>328</v>
      </c>
      <c r="BL109" s="670">
        <f t="shared" si="24"/>
        <v>0</v>
      </c>
      <c r="BM109" s="639"/>
      <c r="BN109" s="674"/>
      <c r="BO109" s="289">
        <f>IF(SUM(BM109:BM111=0),0,SUM(BL109:BL111)/SUM(BM109:BM111))</f>
        <v>0</v>
      </c>
      <c r="BP109" s="668">
        <v>5</v>
      </c>
      <c r="BQ109" s="672">
        <f t="shared" si="25"/>
        <v>0</v>
      </c>
      <c r="BR109" s="639"/>
      <c r="BS109" s="674"/>
      <c r="BT109" s="289">
        <f>IF(SUM(BR109:BR111=0),0,SUM(BQ109:BQ111)/SUM(BR109:BR111)/1000)</f>
        <v>0</v>
      </c>
      <c r="BU109" s="668">
        <v>5</v>
      </c>
      <c r="BV109" s="248"/>
      <c r="BW109" s="248"/>
      <c r="BX109" s="791" t="str">
        <f t="shared" si="26"/>
        <v>Apr</v>
      </c>
      <c r="BY109" s="792">
        <f>IF(CB109=$CB115,SUMIF($BI103:$BI114,$BX109,$BR103:$BR114),SUMIF($BI103:$BI114,$BX109,$BM103:$BM114))</f>
        <v>0</v>
      </c>
      <c r="BZ109" s="801">
        <f>IF(IF(CB109=CB115,SUMIF(BI103:BI114,$BX109,BU103:BU114),SUMIF(BI103:BI114,$BX109,BP103:BP114))=0,NA(),IF(CB109=CB115,SUMIF(BI103:BI114,$BX109,BU103:BU114),SUMIF(BI103:BI114,$BX109,BP103:BP114)))</f>
        <v>5</v>
      </c>
      <c r="CA109" s="800" t="e">
        <f>IF(IF(CB109=CB115,SUMIF(BI103:BI114,$BX109,BS103:BS114),SUMIF(BI103:BI114,$BX109,BN103:BN114))=0,NA(),IF(CB109=CB115,SUMIF(BI103:BI114,$BX109,BS103:BS114),SUMIF(BI103:BI114,$BX109,BN103:BN114)))</f>
        <v>#N/A</v>
      </c>
      <c r="CB109" s="645">
        <f t="shared" si="27"/>
        <v>23</v>
      </c>
      <c r="CC109" s="795">
        <f t="shared" si="28"/>
        <v>4</v>
      </c>
    </row>
    <row r="110" spans="2:81" ht="15" customHeight="1">
      <c r="B110" s="187"/>
      <c r="C110" s="187"/>
      <c r="D110" s="187"/>
      <c r="E110" s="187"/>
      <c r="F110" s="187"/>
      <c r="G110" s="187"/>
      <c r="H110" s="187"/>
      <c r="I110" s="187"/>
      <c r="J110" s="187"/>
      <c r="K110" s="187"/>
      <c r="L110" s="187"/>
      <c r="M110" s="187"/>
      <c r="N110" s="187"/>
      <c r="O110" s="187"/>
      <c r="P110" s="187"/>
      <c r="Q110" s="187"/>
      <c r="R110" s="187"/>
      <c r="S110" s="187"/>
      <c r="T110" s="187"/>
      <c r="U110" s="187"/>
      <c r="V110" s="187"/>
      <c r="W110" s="187"/>
      <c r="X110" s="187"/>
      <c r="Y110" s="187"/>
      <c r="Z110" s="187"/>
      <c r="AA110" s="187"/>
      <c r="AB110" s="187"/>
      <c r="AC110" s="187"/>
      <c r="AD110" s="187"/>
      <c r="AE110" s="187"/>
      <c r="AF110" s="187"/>
      <c r="AG110" s="187"/>
      <c r="AH110" s="187"/>
      <c r="AI110" s="187"/>
      <c r="AJ110" s="187"/>
      <c r="AK110" s="187"/>
      <c r="AL110" s="187"/>
      <c r="AM110" s="187"/>
      <c r="AN110" s="187"/>
      <c r="AO110" s="187"/>
      <c r="AP110" s="187"/>
      <c r="AQ110" s="187"/>
      <c r="AR110" s="187"/>
      <c r="AS110" s="187"/>
      <c r="AT110" s="187"/>
      <c r="AU110" s="187"/>
      <c r="AV110" s="187"/>
      <c r="AW110" s="187"/>
      <c r="AX110" s="187"/>
      <c r="AY110" s="187"/>
      <c r="AZ110" s="187"/>
      <c r="BA110" s="187"/>
      <c r="BB110" s="187"/>
      <c r="BC110" s="187"/>
      <c r="BD110" s="187"/>
      <c r="BE110" s="187"/>
      <c r="BF110" s="187"/>
      <c r="BG110" s="187"/>
      <c r="BH110" s="187"/>
      <c r="BI110" s="638" t="s">
        <v>329</v>
      </c>
      <c r="BJ110" s="638">
        <v>8</v>
      </c>
      <c r="BK110" s="638" t="s">
        <v>328</v>
      </c>
      <c r="BL110" s="670">
        <f t="shared" si="24"/>
        <v>0</v>
      </c>
      <c r="BM110" s="639"/>
      <c r="BN110" s="661"/>
      <c r="BO110" s="290"/>
      <c r="BP110" s="668">
        <v>5</v>
      </c>
      <c r="BQ110" s="672">
        <f t="shared" si="25"/>
        <v>0</v>
      </c>
      <c r="BR110" s="639"/>
      <c r="BS110" s="661"/>
      <c r="BT110" s="290"/>
      <c r="BU110" s="668">
        <v>5</v>
      </c>
      <c r="BV110" s="248"/>
      <c r="BW110" s="248"/>
      <c r="BX110" s="791" t="str">
        <f t="shared" si="26"/>
        <v>May</v>
      </c>
      <c r="BY110" s="792">
        <f>IF(CB110=$CB115,SUMIF($BI103:$BI114,$BX110,$BR103:$BR114),SUMIF($BI103:$BI114,$BX110,$BM103:$BM114))</f>
        <v>0</v>
      </c>
      <c r="BZ110" s="801">
        <f>IF(IF(CB110=CB115,SUMIF(BI103:BI114,$BX110,BU103:BU114),SUMIF(BI103:BI114,$BX110,BP103:BP114))=0,NA(),IF(CB110=CB115,SUMIF(BI103:BI114,$BX110,BU103:BU114),SUMIF(BI103:BI114,$BX110,BP103:BP114)))</f>
        <v>5</v>
      </c>
      <c r="CA110" s="800" t="e">
        <f>IF(IF(CB110=CB115,SUMIF(BI103:BI114,$BX110,BS103:BS114),SUMIF(BI103:BI114,$BX110,BN103:BN114))=0,NA(),IF(CB110=CB115,SUMIF(BI103:BI114,$BX110,BS103:BS114),SUMIF(BI103:BI114,$BX110,BN103:BN114)))</f>
        <v>#N/A</v>
      </c>
      <c r="CB110" s="645">
        <f t="shared" si="27"/>
        <v>23</v>
      </c>
      <c r="CC110" s="795">
        <f t="shared" si="28"/>
        <v>5</v>
      </c>
    </row>
    <row r="111" spans="2:81" ht="15" customHeight="1">
      <c r="B111" s="187"/>
      <c r="C111" s="187"/>
      <c r="D111" s="187"/>
      <c r="E111" s="187"/>
      <c r="F111" s="187"/>
      <c r="G111" s="187"/>
      <c r="H111" s="187"/>
      <c r="I111" s="187"/>
      <c r="J111" s="187"/>
      <c r="K111" s="187"/>
      <c r="L111" s="187"/>
      <c r="M111" s="187"/>
      <c r="N111" s="187"/>
      <c r="O111" s="187"/>
      <c r="P111" s="187"/>
      <c r="Q111" s="187"/>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638" t="s">
        <v>331</v>
      </c>
      <c r="BJ111" s="638">
        <v>9</v>
      </c>
      <c r="BK111" s="638" t="s">
        <v>328</v>
      </c>
      <c r="BL111" s="670">
        <f t="shared" si="24"/>
        <v>0</v>
      </c>
      <c r="BM111" s="639"/>
      <c r="BN111" s="661"/>
      <c r="BO111" s="290"/>
      <c r="BP111" s="668">
        <v>5</v>
      </c>
      <c r="BQ111" s="672">
        <f t="shared" si="25"/>
        <v>0</v>
      </c>
      <c r="BR111" s="639"/>
      <c r="BS111" s="661"/>
      <c r="BT111" s="290"/>
      <c r="BU111" s="668">
        <v>5</v>
      </c>
      <c r="BV111" s="248"/>
      <c r="BW111" s="248"/>
      <c r="BX111" s="791" t="str">
        <f t="shared" si="26"/>
        <v>Jun</v>
      </c>
      <c r="BY111" s="792">
        <f>IF(CB111=$CB115,SUMIF($BI103:$BI114,$BX111,$BR103:$BR114),SUMIF($BI103:$BI114,$BX111,$BM103:$BM114))</f>
        <v>0</v>
      </c>
      <c r="BZ111" s="801">
        <f>IF(IF(CB111=CB115,SUMIF(BI103:BI114,$BX111,BU103:BU114),SUMIF(BI103:BI114,$BX111,BP103:BP114))=0,NA(),IF(CB111=CB115,SUMIF(BI103:BI114,$BX111,BU103:BU114),SUMIF(BI103:BI114,$BX111,BP103:BP114)))</f>
        <v>5</v>
      </c>
      <c r="CA111" s="800" t="e">
        <f>IF(IF(CB111=CB115,SUMIF(BI103:BI114,$BX111,BS103:BS114),SUMIF(BI103:BI114,$BX111,BN103:BN114))=0,NA(),IF(CB111=CB115,SUMIF(BI103:BI114,$BX111,BS103:BS114),SUMIF(BI103:BI114,$BX111,BN103:BN114)))</f>
        <v>#N/A</v>
      </c>
      <c r="CB111" s="645">
        <f t="shared" si="27"/>
        <v>23</v>
      </c>
      <c r="CC111" s="795">
        <f t="shared" si="28"/>
        <v>6</v>
      </c>
    </row>
    <row r="112" spans="2:81" ht="15" customHeight="1">
      <c r="B112" s="187"/>
      <c r="C112" s="187"/>
      <c r="D112" s="187"/>
      <c r="E112" s="187"/>
      <c r="F112" s="187"/>
      <c r="G112" s="187"/>
      <c r="H112" s="187"/>
      <c r="I112" s="187"/>
      <c r="J112" s="187"/>
      <c r="K112" s="187"/>
      <c r="L112" s="187"/>
      <c r="M112" s="187"/>
      <c r="N112" s="187"/>
      <c r="O112" s="187"/>
      <c r="P112" s="187"/>
      <c r="Q112" s="187"/>
      <c r="R112" s="187"/>
      <c r="S112" s="187"/>
      <c r="T112" s="187"/>
      <c r="U112" s="187"/>
      <c r="V112" s="187"/>
      <c r="W112" s="187"/>
      <c r="X112" s="187"/>
      <c r="Y112" s="187"/>
      <c r="Z112" s="187"/>
      <c r="AA112" s="187"/>
      <c r="AB112" s="187"/>
      <c r="AC112" s="187"/>
      <c r="AD112" s="187"/>
      <c r="AE112" s="187"/>
      <c r="AF112" s="187"/>
      <c r="AG112" s="187"/>
      <c r="AH112" s="187"/>
      <c r="AI112" s="187"/>
      <c r="AJ112" s="187"/>
      <c r="AK112" s="187"/>
      <c r="AL112" s="187"/>
      <c r="AM112" s="187"/>
      <c r="AN112" s="187"/>
      <c r="AO112" s="187"/>
      <c r="AP112" s="187"/>
      <c r="AQ112" s="187"/>
      <c r="AR112" s="187"/>
      <c r="AS112" s="187"/>
      <c r="AT112" s="187"/>
      <c r="AU112" s="187"/>
      <c r="AV112" s="187"/>
      <c r="AW112" s="187"/>
      <c r="AX112" s="187"/>
      <c r="AY112" s="187"/>
      <c r="AZ112" s="187"/>
      <c r="BA112" s="187"/>
      <c r="BB112" s="187"/>
      <c r="BC112" s="187"/>
      <c r="BD112" s="187"/>
      <c r="BE112" s="187"/>
      <c r="BF112" s="187"/>
      <c r="BG112" s="187"/>
      <c r="BH112" s="187"/>
      <c r="BI112" s="638" t="s">
        <v>337</v>
      </c>
      <c r="BJ112" s="638">
        <v>10</v>
      </c>
      <c r="BK112" s="638" t="s">
        <v>338</v>
      </c>
      <c r="BL112" s="670">
        <f t="shared" si="24"/>
        <v>0</v>
      </c>
      <c r="BM112" s="639"/>
      <c r="BN112" s="661"/>
      <c r="BO112" s="289">
        <f>IF(SUM(BM112:BM114=0),0,SUM(BL112:BL114)/SUM(BM112:BM114))</f>
        <v>0</v>
      </c>
      <c r="BP112" s="668">
        <v>5</v>
      </c>
      <c r="BQ112" s="672">
        <f t="shared" si="25"/>
        <v>0</v>
      </c>
      <c r="BR112" s="639"/>
      <c r="BS112" s="661"/>
      <c r="BT112" s="289">
        <f>IF(SUM(BR112:BR114=0),0,SUM(BQ112:BQ114)/SUM(BR112:BR114)/1000)</f>
        <v>0</v>
      </c>
      <c r="BU112" s="668">
        <v>5</v>
      </c>
      <c r="BV112" s="248"/>
      <c r="BW112" s="248"/>
      <c r="BX112" s="791" t="str">
        <f t="shared" si="26"/>
        <v>Jul</v>
      </c>
      <c r="BY112" s="792">
        <f>IF(CB112=$CB115,SUMIF($BI103:$BI114,$BX112,$BR103:$BR114),SUMIF($BI103:$BI114,$BX112,$BM103:$BM114))</f>
        <v>0</v>
      </c>
      <c r="BZ112" s="801">
        <f>IF(IF(CB112=CB115,SUMIF(BI103:BI114,$BX112,BU103:BU114),SUMIF(BI103:BI114,$BX112,BP103:BP114))=0,NA(),IF(CB112=CB115,SUMIF(BI103:BI114,$BX112,BU103:BU114),SUMIF(BI103:BI114,$BX112,BP103:BP114)))</f>
        <v>5</v>
      </c>
      <c r="CA112" s="800" t="e">
        <f>IF(IF(CB112=CB115,SUMIF(BI103:BI114,$BX112,BS103:BS114),SUMIF(BI103:BI114,$BX112,BN103:BN114))=0,NA(),IF(CB112=CB115,SUMIF(BI103:BI114,$BX112,BS103:BS114),SUMIF(BI103:BI114,$BX112,BN103:BN114)))</f>
        <v>#N/A</v>
      </c>
      <c r="CB112" s="645">
        <f t="shared" si="27"/>
        <v>23</v>
      </c>
      <c r="CC112" s="795">
        <f t="shared" si="28"/>
        <v>7</v>
      </c>
    </row>
    <row r="113" spans="2:81" ht="15" customHeight="1">
      <c r="B113" s="187"/>
      <c r="C113" s="187"/>
      <c r="D113" s="187"/>
      <c r="E113" s="187"/>
      <c r="F113" s="187"/>
      <c r="G113" s="187"/>
      <c r="H113" s="187"/>
      <c r="I113" s="187"/>
      <c r="J113" s="187"/>
      <c r="K113" s="187"/>
      <c r="L113" s="187"/>
      <c r="M113" s="187"/>
      <c r="N113" s="187"/>
      <c r="O113" s="187"/>
      <c r="P113" s="187"/>
      <c r="Q113" s="187"/>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638" t="s">
        <v>343</v>
      </c>
      <c r="BJ113" s="638">
        <v>11</v>
      </c>
      <c r="BK113" s="638" t="s">
        <v>338</v>
      </c>
      <c r="BL113" s="670">
        <f t="shared" si="24"/>
        <v>0</v>
      </c>
      <c r="BM113" s="639"/>
      <c r="BN113" s="661"/>
      <c r="BO113" s="290"/>
      <c r="BP113" s="668">
        <v>5</v>
      </c>
      <c r="BQ113" s="672">
        <f t="shared" si="25"/>
        <v>0</v>
      </c>
      <c r="BR113" s="639"/>
      <c r="BS113" s="661"/>
      <c r="BT113" s="290"/>
      <c r="BU113" s="668">
        <v>5</v>
      </c>
      <c r="BV113" s="248"/>
      <c r="BW113" s="248"/>
      <c r="BX113" s="791" t="str">
        <f t="shared" si="26"/>
        <v>Aug</v>
      </c>
      <c r="BY113" s="792">
        <f>IF(CB113=$CB115,SUMIF($BI103:$BI114,$BX113,$BR103:$BR114),SUMIF($BI103:$BI114,$BX113,$BM103:$BM114))</f>
        <v>0</v>
      </c>
      <c r="BZ113" s="801">
        <f>IF(IF(CB113=CB115,SUMIF(BI103:BI114,$BX113,BU103:BU114),SUMIF(BI103:BI114,$BX113,BP103:BP114))=0,NA(),IF(CB113=CB115,SUMIF(BI103:BI114,$BX113,BU103:BU114),SUMIF(BI103:BI114,$BX113,BP103:BP114)))</f>
        <v>5</v>
      </c>
      <c r="CA113" s="800" t="e">
        <f>IF(IF(CB113=CB115,SUMIF(BI103:BI114,$BX113,BS103:BS114),SUMIF(BI103:BI114,$BX113,BN103:BN114))=0,NA(),IF(CB113=CB115,SUMIF(BI103:BI114,$BX113,BS103:BS114),SUMIF(BI103:BI114,$BX113,BN103:BN114)))</f>
        <v>#N/A</v>
      </c>
      <c r="CB113" s="645">
        <f t="shared" si="27"/>
        <v>23</v>
      </c>
      <c r="CC113" s="795">
        <f t="shared" si="28"/>
        <v>8</v>
      </c>
    </row>
    <row r="114" spans="2:81" ht="15" customHeight="1">
      <c r="B114" s="187"/>
      <c r="C114" s="187"/>
      <c r="D114" s="187"/>
      <c r="E114" s="187"/>
      <c r="F114" s="187"/>
      <c r="G114" s="187"/>
      <c r="H114" s="187"/>
      <c r="I114" s="187"/>
      <c r="J114" s="187"/>
      <c r="K114" s="187"/>
      <c r="L114" s="187"/>
      <c r="M114" s="187"/>
      <c r="N114" s="187"/>
      <c r="O114" s="187"/>
      <c r="P114" s="187"/>
      <c r="Q114" s="187"/>
      <c r="R114" s="187"/>
      <c r="S114" s="187"/>
      <c r="T114" s="187"/>
      <c r="U114" s="187"/>
      <c r="V114" s="187"/>
      <c r="W114" s="187"/>
      <c r="X114" s="187"/>
      <c r="Y114" s="187"/>
      <c r="Z114" s="187"/>
      <c r="AA114" s="187"/>
      <c r="AB114" s="187"/>
      <c r="AC114" s="187"/>
      <c r="AD114" s="187"/>
      <c r="AE114" s="187"/>
      <c r="AF114" s="187"/>
      <c r="AG114" s="187"/>
      <c r="AH114" s="187"/>
      <c r="AI114" s="187"/>
      <c r="AJ114" s="187"/>
      <c r="AK114" s="187"/>
      <c r="AL114" s="187"/>
      <c r="AM114" s="187"/>
      <c r="AN114" s="187"/>
      <c r="AO114" s="187"/>
      <c r="AP114" s="187"/>
      <c r="AQ114" s="187"/>
      <c r="AR114" s="187"/>
      <c r="AS114" s="187"/>
      <c r="AT114" s="187"/>
      <c r="AU114" s="187"/>
      <c r="AV114" s="187"/>
      <c r="AW114" s="187"/>
      <c r="AX114" s="187"/>
      <c r="AY114" s="187"/>
      <c r="AZ114" s="187"/>
      <c r="BA114" s="187"/>
      <c r="BB114" s="187"/>
      <c r="BC114" s="187"/>
      <c r="BD114" s="187"/>
      <c r="BE114" s="187"/>
      <c r="BF114" s="187"/>
      <c r="BG114" s="187"/>
      <c r="BH114" s="187"/>
      <c r="BI114" s="638" t="s">
        <v>344</v>
      </c>
      <c r="BJ114" s="638">
        <v>12</v>
      </c>
      <c r="BK114" s="638" t="s">
        <v>338</v>
      </c>
      <c r="BL114" s="670">
        <f t="shared" si="24"/>
        <v>0</v>
      </c>
      <c r="BM114" s="639"/>
      <c r="BN114" s="661"/>
      <c r="BO114" s="290"/>
      <c r="BP114" s="668">
        <v>5</v>
      </c>
      <c r="BQ114" s="672">
        <f t="shared" si="25"/>
        <v>0</v>
      </c>
      <c r="BR114" s="639"/>
      <c r="BS114" s="661"/>
      <c r="BT114" s="290"/>
      <c r="BU114" s="668">
        <v>5</v>
      </c>
      <c r="BV114" s="248"/>
      <c r="BW114" s="248"/>
      <c r="BX114" s="791" t="str">
        <f t="shared" si="26"/>
        <v>Sep</v>
      </c>
      <c r="BY114" s="792">
        <f>IF(CB114=$CB115,SUMIF($BI103:$BI114,$BX114,$BR103:$BR114),SUMIF($BI103:$BI114,$BX114,$BM103:$BM114))</f>
        <v>0</v>
      </c>
      <c r="BZ114" s="801">
        <f>IF(IF(CB114=CB115,SUMIF(BI103:BI114,$BX114,BU103:BU114),SUMIF(BI103:BI114,$BX114,BP103:BP114))=0,NA(),IF(CB114=CB115,SUMIF(BI103:BI114,$BX114,BU103:BU114),SUMIF(BI103:BI114,$BX114,BP103:BP114)))</f>
        <v>5</v>
      </c>
      <c r="CA114" s="800" t="e">
        <f>IF(IF(CB114=CB115,SUMIF(BI103:BI114,$BX114,BS103:BS114),SUMIF(BI103:BI114,$BX114,BN103:BN114))=0,NA(),IF(CB114=CB115,SUMIF(BI103:BI114,$BX114,BS103:BS114),SUMIF(BI103:BI114,$BX114,BN103:BN114)))</f>
        <v>#N/A</v>
      </c>
      <c r="CB114" s="645">
        <f t="shared" si="27"/>
        <v>23</v>
      </c>
      <c r="CC114" s="795">
        <f t="shared" si="28"/>
        <v>9</v>
      </c>
    </row>
    <row r="115" spans="2:81" ht="15" customHeight="1">
      <c r="B115" s="187"/>
      <c r="C115" s="187"/>
      <c r="D115" s="187"/>
      <c r="E115" s="187"/>
      <c r="F115" s="187"/>
      <c r="G115" s="187"/>
      <c r="H115" s="187"/>
      <c r="I115" s="187"/>
      <c r="J115" s="187"/>
      <c r="K115" s="187"/>
      <c r="L115" s="187"/>
      <c r="M115" s="187"/>
      <c r="N115" s="187"/>
      <c r="O115" s="187"/>
      <c r="P115" s="187"/>
      <c r="Q115" s="187"/>
      <c r="R115" s="187"/>
      <c r="S115" s="187"/>
      <c r="T115" s="187"/>
      <c r="U115" s="187"/>
      <c r="V115" s="187"/>
      <c r="W115" s="187"/>
      <c r="X115" s="187"/>
      <c r="Y115" s="187"/>
      <c r="Z115" s="187"/>
      <c r="AA115" s="187"/>
      <c r="AB115" s="187"/>
      <c r="AC115" s="187"/>
      <c r="AD115" s="187"/>
      <c r="AE115" s="187"/>
      <c r="AF115" s="187"/>
      <c r="AG115" s="187"/>
      <c r="AH115" s="187"/>
      <c r="AI115" s="187"/>
      <c r="AJ115" s="187"/>
      <c r="AK115" s="187"/>
      <c r="AL115" s="187"/>
      <c r="AM115" s="187"/>
      <c r="AN115" s="187"/>
      <c r="AO115" s="187"/>
      <c r="AP115" s="187"/>
      <c r="AQ115" s="187"/>
      <c r="AR115" s="187"/>
      <c r="AS115" s="187"/>
      <c r="AT115" s="187"/>
      <c r="AU115" s="187"/>
      <c r="AV115" s="187"/>
      <c r="AW115" s="187"/>
      <c r="AX115" s="187"/>
      <c r="AY115" s="187"/>
      <c r="AZ115" s="187"/>
      <c r="BA115" s="187"/>
      <c r="BB115" s="187"/>
      <c r="BC115" s="187"/>
      <c r="BD115" s="187"/>
      <c r="BE115" s="187"/>
      <c r="BF115" s="187"/>
      <c r="BG115" s="187"/>
      <c r="BH115" s="187"/>
      <c r="BJ115" s="248"/>
      <c r="BK115" s="248"/>
      <c r="BL115" s="248"/>
      <c r="BM115" s="248"/>
      <c r="BN115" s="248"/>
      <c r="BO115" s="248"/>
      <c r="BP115" s="248"/>
      <c r="BQ115" s="248"/>
      <c r="BR115" s="248"/>
      <c r="BS115" s="248"/>
      <c r="BT115" s="248"/>
      <c r="BU115" s="248"/>
      <c r="BV115" s="248"/>
      <c r="BW115" s="796" t="str">
        <f>Cover!$M$34</f>
        <v>OCT FY-24</v>
      </c>
      <c r="BX115" s="791" t="str">
        <f t="shared" si="26"/>
        <v>Oct</v>
      </c>
      <c r="BY115" s="792">
        <f>SUMIF($BI103:$BI114,$BX115,$BR103:$BR114)</f>
        <v>0</v>
      </c>
      <c r="BZ115" s="801">
        <f>IF(IF(CB115=CB115,SUMIF(BI103:BI114,$BX115,BU103:BU114),SUMIF(BI103:BI114,$BX115,BP103:BP114))=0,NA(),IF(CB115=CB115,SUMIF(BI103:BI114,$BX115,BU103:BU114),SUMIF(BI103:BI114,$BX115,BP103:BP114)))</f>
        <v>5</v>
      </c>
      <c r="CA115" s="800" t="e">
        <f>IF(SUMIF($BI103:$BI114,$BX115,$BS103:$BS114)=0,NA(),SUMIF($BI103:$BI114,$BX115,$BS103:$BS114))</f>
        <v>#N/A</v>
      </c>
      <c r="CB115" s="645">
        <f t="shared" si="27"/>
        <v>24</v>
      </c>
      <c r="CC115" s="795">
        <f>MONTH(DATEVALUE(LEFT(BW115,3)&amp;" 1"))</f>
        <v>10</v>
      </c>
    </row>
    <row r="116" spans="2:81" ht="15" customHeight="1">
      <c r="B116" s="187"/>
      <c r="C116" s="187"/>
      <c r="D116" s="187"/>
      <c r="E116" s="187"/>
      <c r="F116" s="187"/>
      <c r="G116" s="187"/>
      <c r="H116" s="187"/>
      <c r="I116" s="187"/>
      <c r="J116" s="187"/>
      <c r="K116" s="187"/>
      <c r="L116" s="187"/>
      <c r="M116" s="187"/>
      <c r="N116" s="187"/>
      <c r="O116" s="187"/>
      <c r="P116" s="187"/>
      <c r="Q116" s="187"/>
      <c r="R116" s="187"/>
      <c r="S116" s="187"/>
      <c r="T116" s="187"/>
      <c r="U116" s="187"/>
      <c r="V116" s="187"/>
      <c r="W116" s="187"/>
      <c r="X116" s="187"/>
      <c r="Y116" s="187"/>
      <c r="Z116" s="187"/>
      <c r="AA116" s="187"/>
      <c r="AB116" s="187"/>
      <c r="AC116" s="187"/>
      <c r="AD116" s="187"/>
      <c r="AE116" s="187"/>
      <c r="AF116" s="187"/>
      <c r="AG116" s="187"/>
      <c r="AH116" s="187"/>
      <c r="AI116" s="187"/>
      <c r="AJ116" s="187"/>
      <c r="AK116" s="187"/>
      <c r="AL116" s="187"/>
      <c r="AM116" s="187"/>
      <c r="AN116" s="187"/>
      <c r="AO116" s="187"/>
      <c r="AP116" s="187"/>
      <c r="AQ116" s="187"/>
      <c r="AR116" s="187"/>
      <c r="AS116" s="187"/>
      <c r="AT116" s="187"/>
      <c r="AU116" s="187"/>
      <c r="AV116" s="187"/>
      <c r="AW116" s="187"/>
      <c r="AX116" s="187"/>
      <c r="AY116" s="187"/>
      <c r="AZ116" s="187"/>
      <c r="BA116" s="187"/>
      <c r="BB116" s="187"/>
      <c r="BC116" s="187"/>
      <c r="BD116" s="187"/>
      <c r="BE116" s="187"/>
      <c r="BF116" s="187"/>
      <c r="BG116" s="187"/>
      <c r="BH116" s="187"/>
      <c r="BI116" s="187"/>
      <c r="BJ116" s="187"/>
      <c r="BK116" s="187"/>
      <c r="BL116" s="187"/>
      <c r="BM116" s="187"/>
      <c r="BN116" s="187"/>
      <c r="BO116" s="187"/>
      <c r="BP116" s="187"/>
      <c r="BQ116" s="187"/>
      <c r="BR116" s="187"/>
      <c r="BS116" s="187"/>
      <c r="BT116" s="187"/>
      <c r="BU116" s="187"/>
      <c r="BV116"/>
      <c r="BW116" s="6"/>
      <c r="BX116" s="6"/>
      <c r="BY116" s="6"/>
      <c r="BZ116" s="6"/>
      <c r="CA116" s="6"/>
      <c r="CB116" s="6"/>
      <c r="CC116" s="6"/>
    </row>
    <row r="117" spans="2:81" ht="15" customHeight="1">
      <c r="B117" s="187"/>
      <c r="C117" s="187"/>
      <c r="D117" s="187"/>
      <c r="E117" s="187"/>
      <c r="F117" s="187"/>
      <c r="G117" s="187"/>
      <c r="H117" s="187"/>
      <c r="I117" s="187"/>
      <c r="J117" s="187"/>
      <c r="K117" s="187"/>
      <c r="L117" s="187"/>
      <c r="M117" s="187"/>
      <c r="N117" s="187"/>
      <c r="O117" s="187"/>
      <c r="P117" s="187"/>
      <c r="Q117" s="187"/>
      <c r="R117" s="187"/>
      <c r="S117" s="187"/>
      <c r="T117" s="187"/>
      <c r="U117" s="187"/>
      <c r="V117" s="187"/>
      <c r="W117" s="187"/>
      <c r="X117" s="187"/>
      <c r="Y117" s="187"/>
      <c r="Z117" s="187"/>
      <c r="AA117" s="187"/>
      <c r="AB117" s="187"/>
      <c r="AC117" s="187"/>
      <c r="AD117" s="187"/>
      <c r="AE117" s="187"/>
      <c r="AF117" s="187"/>
      <c r="AG117" s="187"/>
      <c r="AH117" s="187"/>
      <c r="AI117" s="187"/>
      <c r="AJ117" s="187"/>
      <c r="AK117" s="187"/>
      <c r="AL117" s="187"/>
      <c r="AM117" s="187"/>
      <c r="AN117" s="187"/>
      <c r="AO117" s="187"/>
      <c r="AP117" s="187"/>
      <c r="AQ117" s="187"/>
      <c r="AR117" s="187"/>
      <c r="AS117" s="187"/>
      <c r="AT117" s="187"/>
      <c r="AU117" s="187"/>
      <c r="AV117" s="187"/>
      <c r="AW117" s="187"/>
      <c r="AX117" s="187"/>
      <c r="AY117" s="187"/>
      <c r="AZ117" s="187"/>
      <c r="BA117" s="187"/>
      <c r="BB117" s="187"/>
      <c r="BC117" s="187"/>
      <c r="BD117" s="187"/>
      <c r="BE117" s="187"/>
      <c r="BF117" s="187"/>
      <c r="BG117" s="187"/>
      <c r="BH117" s="187"/>
    </row>
    <row r="118" spans="2:81" ht="15" customHeight="1">
      <c r="B118" s="187"/>
      <c r="C118" s="187"/>
      <c r="D118" s="187"/>
      <c r="E118" s="187"/>
      <c r="F118" s="187"/>
      <c r="G118" s="187"/>
      <c r="H118" s="187"/>
      <c r="I118" s="187"/>
      <c r="J118" s="187"/>
      <c r="K118" s="187"/>
      <c r="L118" s="187"/>
      <c r="M118" s="187"/>
      <c r="N118" s="187"/>
      <c r="O118" s="187"/>
      <c r="P118" s="187"/>
      <c r="Q118" s="187"/>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row>
    <row r="119" spans="2:81" ht="15" customHeight="1">
      <c r="B119" s="187"/>
      <c r="C119" s="187"/>
      <c r="D119" s="187"/>
      <c r="E119" s="187"/>
      <c r="F119" s="187"/>
      <c r="G119" s="187"/>
      <c r="H119" s="187"/>
      <c r="I119" s="187"/>
      <c r="J119" s="187"/>
      <c r="K119" s="187"/>
      <c r="L119" s="187"/>
      <c r="M119" s="187"/>
      <c r="N119" s="187"/>
      <c r="O119" s="187"/>
      <c r="P119" s="187"/>
      <c r="Q119" s="187"/>
      <c r="R119" s="187"/>
      <c r="S119" s="187"/>
      <c r="T119" s="187"/>
      <c r="U119" s="187"/>
      <c r="V119" s="187"/>
      <c r="W119" s="187"/>
      <c r="X119" s="187"/>
      <c r="Y119" s="187"/>
      <c r="Z119" s="187"/>
      <c r="AA119" s="187"/>
      <c r="AB119" s="187"/>
      <c r="AC119" s="187"/>
      <c r="AD119" s="187"/>
      <c r="AE119" s="187"/>
      <c r="AF119" s="187"/>
      <c r="AG119" s="187"/>
      <c r="AH119" s="187"/>
      <c r="AI119" s="187"/>
      <c r="AJ119" s="187"/>
      <c r="AK119" s="187"/>
      <c r="AL119" s="187"/>
      <c r="AM119" s="187"/>
      <c r="AN119" s="187"/>
      <c r="AO119" s="187"/>
      <c r="AP119" s="187"/>
      <c r="AQ119" s="187"/>
      <c r="AR119" s="187"/>
      <c r="AS119" s="187"/>
      <c r="AT119" s="187"/>
      <c r="AU119" s="187"/>
      <c r="AV119" s="187"/>
      <c r="AW119" s="187"/>
      <c r="AX119" s="187"/>
      <c r="AY119" s="187"/>
      <c r="AZ119" s="187"/>
      <c r="BA119" s="187"/>
      <c r="BB119" s="187"/>
      <c r="BC119" s="187"/>
      <c r="BD119" s="187"/>
      <c r="BE119" s="187"/>
      <c r="BF119" s="187"/>
      <c r="BG119" s="187"/>
      <c r="BH119" s="187"/>
    </row>
    <row r="120" spans="2:81" ht="15" customHeight="1">
      <c r="B120" s="187"/>
      <c r="C120" s="187"/>
      <c r="D120" s="187"/>
      <c r="E120" s="187"/>
      <c r="F120" s="187"/>
      <c r="G120" s="187"/>
      <c r="H120" s="187"/>
      <c r="I120" s="187"/>
      <c r="J120" s="187"/>
      <c r="K120" s="187"/>
      <c r="L120" s="187"/>
      <c r="M120" s="187"/>
      <c r="N120" s="187"/>
      <c r="O120" s="187"/>
      <c r="P120" s="187"/>
      <c r="Q120" s="187"/>
      <c r="R120" s="187"/>
      <c r="S120" s="187"/>
      <c r="T120" s="187"/>
      <c r="U120" s="187"/>
      <c r="V120" s="187"/>
      <c r="W120" s="187"/>
      <c r="X120" s="187"/>
      <c r="Y120" s="187"/>
      <c r="Z120" s="187"/>
      <c r="AA120" s="187"/>
      <c r="AB120" s="187"/>
      <c r="AC120" s="187"/>
      <c r="AD120" s="187"/>
      <c r="AE120" s="187"/>
      <c r="AF120" s="187"/>
      <c r="AG120" s="187"/>
      <c r="AH120" s="187"/>
      <c r="AI120" s="187"/>
      <c r="AJ120" s="187"/>
      <c r="AK120" s="187"/>
      <c r="AL120" s="187"/>
      <c r="AM120" s="187"/>
      <c r="AN120" s="187"/>
      <c r="AO120" s="187"/>
      <c r="AP120" s="187"/>
      <c r="AQ120" s="187"/>
      <c r="AR120" s="187"/>
      <c r="AS120" s="187"/>
      <c r="AT120" s="187"/>
      <c r="AU120" s="187"/>
      <c r="AV120" s="187"/>
      <c r="AW120" s="187"/>
      <c r="AX120" s="187"/>
      <c r="AY120" s="187"/>
      <c r="AZ120" s="187"/>
      <c r="BA120" s="187"/>
      <c r="BB120" s="187"/>
      <c r="BC120" s="187"/>
      <c r="BD120" s="187"/>
      <c r="BE120" s="187"/>
      <c r="BF120" s="187"/>
      <c r="BG120" s="187"/>
      <c r="BH120" s="187"/>
    </row>
    <row r="121" spans="2:81" ht="15" customHeight="1">
      <c r="B121" s="187"/>
      <c r="C121" s="187"/>
      <c r="D121" s="187"/>
      <c r="E121" s="187"/>
      <c r="F121" s="187"/>
      <c r="G121" s="187"/>
      <c r="H121" s="187"/>
      <c r="I121" s="187"/>
      <c r="J121" s="187"/>
      <c r="K121" s="187"/>
      <c r="L121" s="187"/>
      <c r="M121" s="187"/>
      <c r="N121" s="187"/>
      <c r="O121" s="187"/>
      <c r="P121" s="187"/>
      <c r="Q121" s="187"/>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row>
    <row r="122" spans="2:81" ht="15" customHeight="1">
      <c r="B122" s="187"/>
      <c r="C122" s="187"/>
      <c r="D122" s="187"/>
      <c r="E122" s="187"/>
      <c r="F122" s="187"/>
      <c r="G122" s="187"/>
      <c r="H122" s="187"/>
      <c r="I122" s="187"/>
      <c r="J122" s="187"/>
      <c r="K122" s="187"/>
      <c r="L122" s="187"/>
      <c r="M122" s="187"/>
      <c r="N122" s="187"/>
      <c r="O122" s="187"/>
      <c r="P122" s="187"/>
      <c r="Q122" s="187"/>
      <c r="R122" s="187"/>
      <c r="S122" s="187"/>
      <c r="T122" s="187"/>
      <c r="U122" s="187"/>
      <c r="V122" s="187"/>
      <c r="W122" s="187"/>
      <c r="X122" s="187"/>
      <c r="Y122" s="187"/>
      <c r="Z122" s="187"/>
      <c r="AA122" s="187"/>
      <c r="AB122" s="187"/>
      <c r="AC122" s="187"/>
      <c r="AD122" s="187"/>
      <c r="AE122" s="187"/>
      <c r="AF122" s="187"/>
      <c r="AG122" s="187"/>
      <c r="AH122" s="187"/>
      <c r="AI122" s="187"/>
      <c r="AJ122" s="187"/>
      <c r="AK122" s="187"/>
      <c r="AL122" s="187"/>
      <c r="AM122" s="187"/>
      <c r="AN122" s="187"/>
      <c r="AO122" s="187"/>
      <c r="AP122" s="187"/>
      <c r="AQ122" s="187"/>
      <c r="AR122" s="187"/>
      <c r="AS122" s="187"/>
      <c r="AT122" s="187"/>
      <c r="AU122" s="187"/>
      <c r="AV122" s="187"/>
      <c r="AW122" s="187"/>
      <c r="AX122" s="187"/>
      <c r="AY122" s="187"/>
      <c r="AZ122" s="187"/>
      <c r="BA122" s="187"/>
      <c r="BB122" s="187"/>
      <c r="BC122" s="187"/>
      <c r="BD122" s="187"/>
      <c r="BE122" s="187"/>
      <c r="BF122" s="187"/>
      <c r="BG122" s="187"/>
      <c r="BH122" s="187"/>
    </row>
    <row r="123" spans="2:81" ht="15" customHeight="1">
      <c r="B123" s="187"/>
      <c r="C123" s="187"/>
      <c r="D123" s="187"/>
      <c r="E123" s="187"/>
      <c r="F123" s="187"/>
      <c r="G123" s="187"/>
      <c r="H123" s="187"/>
      <c r="I123" s="187"/>
      <c r="J123" s="187"/>
      <c r="K123" s="187"/>
      <c r="L123" s="187"/>
      <c r="M123" s="187"/>
      <c r="N123" s="187"/>
      <c r="O123" s="187"/>
      <c r="P123" s="187"/>
      <c r="Q123" s="187"/>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row>
    <row r="124" spans="2:81" ht="15" customHeight="1">
      <c r="B124" s="187"/>
      <c r="C124" s="187"/>
      <c r="D124" s="187"/>
      <c r="E124" s="187"/>
      <c r="F124" s="187"/>
      <c r="G124" s="187"/>
      <c r="H124" s="187"/>
      <c r="I124" s="187"/>
      <c r="J124" s="187"/>
      <c r="K124" s="187"/>
      <c r="L124" s="187"/>
      <c r="M124" s="187"/>
      <c r="N124" s="187"/>
      <c r="O124" s="187"/>
      <c r="P124" s="187"/>
      <c r="Q124" s="187"/>
      <c r="R124" s="187"/>
      <c r="S124" s="187"/>
      <c r="T124" s="187"/>
      <c r="U124" s="187"/>
      <c r="V124" s="187"/>
      <c r="W124" s="187"/>
      <c r="X124" s="187"/>
      <c r="Y124" s="187"/>
      <c r="Z124" s="187"/>
      <c r="AA124" s="187"/>
      <c r="AB124" s="187"/>
      <c r="AC124" s="187"/>
      <c r="AD124" s="187"/>
      <c r="AE124" s="187"/>
      <c r="AF124" s="187"/>
      <c r="AG124" s="187"/>
      <c r="AH124" s="187"/>
      <c r="AI124" s="187"/>
      <c r="AJ124" s="187"/>
      <c r="AK124" s="187"/>
      <c r="AL124" s="187"/>
      <c r="AM124" s="187"/>
      <c r="AN124" s="187"/>
      <c r="AO124" s="187"/>
      <c r="AP124" s="187"/>
      <c r="AQ124" s="187"/>
      <c r="AR124" s="187"/>
      <c r="AS124" s="187"/>
      <c r="AT124" s="187"/>
      <c r="AU124" s="187"/>
      <c r="AV124" s="187"/>
      <c r="AW124" s="187"/>
      <c r="AX124" s="187"/>
      <c r="AY124" s="187"/>
      <c r="AZ124" s="187"/>
      <c r="BA124" s="187"/>
      <c r="BB124" s="187"/>
      <c r="BC124" s="187"/>
      <c r="BD124" s="187"/>
      <c r="BE124" s="187"/>
      <c r="BF124" s="187"/>
      <c r="BG124" s="187"/>
      <c r="BH124" s="187"/>
    </row>
    <row r="125" spans="2:81" ht="15" customHeight="1">
      <c r="B125" s="187"/>
      <c r="C125" s="187"/>
      <c r="D125" s="187"/>
      <c r="E125" s="187"/>
      <c r="F125" s="187"/>
      <c r="G125" s="187"/>
      <c r="H125" s="187"/>
      <c r="I125" s="187"/>
      <c r="J125" s="187"/>
      <c r="K125" s="187"/>
      <c r="L125" s="187"/>
      <c r="M125" s="187"/>
      <c r="N125" s="187"/>
      <c r="O125" s="187"/>
      <c r="P125" s="187"/>
      <c r="Q125" s="187"/>
      <c r="R125" s="187"/>
      <c r="S125" s="187"/>
      <c r="T125" s="187"/>
      <c r="U125" s="187"/>
      <c r="V125" s="187"/>
      <c r="W125" s="187"/>
      <c r="X125" s="187"/>
      <c r="Y125" s="187"/>
      <c r="Z125" s="187"/>
      <c r="AA125" s="187"/>
      <c r="AB125" s="187"/>
      <c r="AC125" s="187"/>
      <c r="AD125" s="187"/>
      <c r="AE125" s="187"/>
      <c r="AF125" s="187"/>
      <c r="AG125" s="187"/>
      <c r="AH125" s="187"/>
      <c r="AI125" s="187"/>
      <c r="AJ125" s="187"/>
      <c r="AK125" s="187"/>
      <c r="AL125" s="187"/>
      <c r="AM125" s="187"/>
      <c r="AN125" s="187"/>
      <c r="AO125" s="187"/>
      <c r="AP125" s="187"/>
      <c r="AQ125" s="187"/>
      <c r="AR125" s="187"/>
      <c r="AS125" s="187"/>
      <c r="AT125" s="187"/>
      <c r="AU125" s="187"/>
      <c r="AV125" s="187"/>
      <c r="AW125" s="187"/>
      <c r="AX125" s="187"/>
      <c r="AY125" s="187"/>
      <c r="AZ125" s="187"/>
      <c r="BA125" s="187"/>
      <c r="BB125" s="187"/>
      <c r="BC125" s="187"/>
      <c r="BD125" s="187"/>
      <c r="BE125" s="187"/>
      <c r="BF125" s="187"/>
      <c r="BG125" s="187"/>
      <c r="BH125" s="187"/>
    </row>
    <row r="126" spans="2:81" ht="15" customHeight="1">
      <c r="B126" s="187"/>
      <c r="C126" s="187"/>
      <c r="D126" s="187"/>
      <c r="E126" s="187"/>
      <c r="F126" s="187"/>
      <c r="G126" s="187"/>
      <c r="H126" s="187"/>
      <c r="I126" s="187"/>
      <c r="J126" s="187"/>
      <c r="K126" s="187"/>
      <c r="L126" s="187"/>
      <c r="M126" s="187"/>
      <c r="N126" s="187"/>
      <c r="O126" s="187"/>
      <c r="P126" s="187"/>
      <c r="Q126" s="187"/>
      <c r="R126" s="187"/>
      <c r="S126" s="187"/>
      <c r="T126" s="187"/>
      <c r="U126" s="187"/>
      <c r="V126" s="187"/>
      <c r="W126" s="187"/>
      <c r="X126" s="187"/>
      <c r="Y126" s="187"/>
      <c r="Z126" s="187"/>
      <c r="AA126" s="187"/>
      <c r="AB126" s="187"/>
      <c r="AC126" s="187"/>
      <c r="AD126" s="187"/>
      <c r="AE126" s="187"/>
      <c r="AF126" s="187"/>
      <c r="AG126" s="187"/>
      <c r="AH126" s="187"/>
      <c r="AI126" s="187"/>
      <c r="AJ126" s="187"/>
      <c r="AK126" s="187"/>
      <c r="AL126" s="187"/>
      <c r="AM126" s="187"/>
      <c r="AN126" s="187"/>
      <c r="AO126" s="187"/>
      <c r="AP126" s="187"/>
      <c r="AQ126" s="187"/>
      <c r="AR126" s="187"/>
      <c r="AS126" s="187"/>
      <c r="AT126" s="187"/>
      <c r="AU126" s="187"/>
      <c r="AV126" s="187"/>
      <c r="AW126" s="187"/>
      <c r="AX126" s="187"/>
      <c r="AY126" s="187"/>
      <c r="AZ126" s="187"/>
      <c r="BA126" s="187"/>
      <c r="BB126" s="187"/>
      <c r="BC126" s="187"/>
      <c r="BD126" s="187"/>
      <c r="BE126" s="187"/>
      <c r="BF126" s="187"/>
      <c r="BG126" s="187"/>
      <c r="BH126" s="187"/>
    </row>
    <row r="127" spans="2:81" ht="15" customHeight="1">
      <c r="B127" s="187"/>
      <c r="C127" s="187"/>
      <c r="D127" s="187"/>
      <c r="E127" s="187"/>
      <c r="F127" s="187"/>
      <c r="G127" s="187"/>
      <c r="H127" s="187"/>
      <c r="I127" s="187"/>
      <c r="J127" s="187"/>
      <c r="K127" s="187"/>
      <c r="L127" s="187"/>
      <c r="M127" s="187"/>
      <c r="N127" s="187"/>
      <c r="O127" s="187"/>
      <c r="P127" s="187"/>
      <c r="Q127" s="187"/>
      <c r="R127" s="187"/>
      <c r="S127" s="187"/>
      <c r="T127" s="187"/>
      <c r="U127" s="187"/>
      <c r="V127" s="187"/>
      <c r="W127" s="187"/>
      <c r="X127" s="187"/>
      <c r="Y127" s="187"/>
      <c r="Z127" s="187"/>
      <c r="AA127" s="187"/>
      <c r="AB127" s="187"/>
      <c r="AC127" s="187"/>
      <c r="AD127" s="187"/>
      <c r="AE127" s="187"/>
      <c r="AF127" s="187"/>
      <c r="AG127" s="187"/>
      <c r="AH127" s="187"/>
      <c r="AI127" s="187"/>
      <c r="AJ127" s="187"/>
      <c r="AK127" s="187"/>
      <c r="AL127" s="187"/>
      <c r="AM127" s="187"/>
      <c r="AN127" s="187"/>
      <c r="AO127" s="187"/>
      <c r="AP127" s="187"/>
      <c r="AQ127" s="187"/>
      <c r="AR127" s="187"/>
      <c r="AS127" s="187"/>
      <c r="AT127" s="187"/>
      <c r="AU127" s="187"/>
      <c r="AV127" s="187"/>
      <c r="AW127" s="187"/>
      <c r="AX127" s="187"/>
      <c r="AY127" s="187"/>
      <c r="AZ127" s="187"/>
      <c r="BA127" s="187"/>
      <c r="BB127" s="187"/>
      <c r="BC127" s="187"/>
      <c r="BD127" s="187"/>
      <c r="BE127" s="187"/>
      <c r="BF127" s="187"/>
      <c r="BG127" s="187"/>
      <c r="BH127" s="187"/>
    </row>
    <row r="128" spans="2:81" ht="15" customHeight="1">
      <c r="B128" s="187"/>
      <c r="C128" s="187"/>
      <c r="D128" s="187"/>
      <c r="E128" s="187"/>
      <c r="F128" s="187"/>
      <c r="G128" s="187"/>
      <c r="H128" s="187"/>
      <c r="I128" s="187"/>
      <c r="J128" s="187"/>
      <c r="K128" s="187"/>
      <c r="L128" s="187"/>
      <c r="M128" s="187"/>
      <c r="N128" s="187"/>
      <c r="O128" s="187"/>
      <c r="P128" s="187"/>
      <c r="Q128" s="187"/>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row>
    <row r="129" spans="2:60" ht="15" customHeight="1">
      <c r="B129" s="187"/>
      <c r="C129" s="187"/>
      <c r="D129" s="187"/>
      <c r="E129" s="187"/>
      <c r="F129" s="187"/>
      <c r="G129" s="187"/>
      <c r="H129" s="187"/>
      <c r="I129" s="187"/>
      <c r="J129" s="187"/>
      <c r="K129" s="187"/>
      <c r="L129" s="187"/>
      <c r="M129" s="187"/>
      <c r="N129" s="187"/>
      <c r="O129" s="187"/>
      <c r="P129" s="187"/>
      <c r="Q129" s="187"/>
      <c r="R129" s="187"/>
      <c r="S129" s="187"/>
      <c r="T129" s="187"/>
      <c r="U129" s="187"/>
      <c r="V129" s="187"/>
      <c r="W129" s="187"/>
      <c r="X129" s="187"/>
      <c r="Y129" s="187"/>
      <c r="Z129" s="187"/>
      <c r="AA129" s="187"/>
      <c r="AB129" s="187"/>
      <c r="AC129" s="187"/>
      <c r="AD129" s="187"/>
      <c r="AE129" s="187"/>
      <c r="AF129" s="187"/>
      <c r="AG129" s="187"/>
      <c r="AH129" s="187"/>
      <c r="AI129" s="187"/>
      <c r="AJ129" s="187"/>
      <c r="AK129" s="187"/>
      <c r="AL129" s="187"/>
      <c r="AM129" s="187"/>
      <c r="AN129" s="187"/>
      <c r="AO129" s="187"/>
      <c r="AP129" s="187"/>
      <c r="AQ129" s="187"/>
      <c r="AR129" s="187"/>
      <c r="AS129" s="187"/>
      <c r="AT129" s="187"/>
      <c r="AU129" s="187"/>
      <c r="AV129" s="187"/>
      <c r="AW129" s="187"/>
      <c r="AX129" s="187"/>
      <c r="AY129" s="187"/>
      <c r="AZ129" s="187"/>
      <c r="BA129" s="187"/>
      <c r="BB129" s="187"/>
      <c r="BC129" s="187"/>
      <c r="BD129" s="187"/>
      <c r="BE129" s="187"/>
      <c r="BF129" s="187"/>
      <c r="BG129" s="187"/>
      <c r="BH129" s="187"/>
    </row>
    <row r="130" spans="2:60" ht="15" customHeight="1">
      <c r="B130" s="187"/>
      <c r="C130" s="187"/>
      <c r="D130" s="187"/>
      <c r="E130" s="187"/>
      <c r="F130" s="187"/>
      <c r="G130" s="187"/>
      <c r="H130" s="187"/>
      <c r="I130" s="187"/>
      <c r="J130" s="187"/>
      <c r="K130" s="187"/>
      <c r="L130" s="187"/>
      <c r="M130" s="187"/>
      <c r="N130" s="187"/>
      <c r="O130" s="187"/>
      <c r="P130" s="187"/>
      <c r="Q130" s="187"/>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row>
    <row r="131" spans="2:60" ht="15" customHeight="1">
      <c r="B131" s="187"/>
      <c r="C131" s="187"/>
      <c r="D131" s="187"/>
      <c r="E131" s="187"/>
      <c r="F131" s="187"/>
      <c r="G131" s="187"/>
      <c r="H131" s="187"/>
      <c r="I131" s="187"/>
      <c r="J131" s="187"/>
      <c r="K131" s="187"/>
      <c r="L131" s="187"/>
      <c r="M131" s="187"/>
      <c r="N131" s="187"/>
      <c r="O131" s="187"/>
      <c r="P131" s="187"/>
      <c r="Q131" s="187"/>
      <c r="R131" s="187"/>
      <c r="S131" s="187"/>
      <c r="T131" s="187"/>
      <c r="U131" s="187"/>
      <c r="V131" s="187"/>
      <c r="W131" s="187"/>
      <c r="X131" s="187"/>
      <c r="Y131" s="187"/>
      <c r="Z131" s="187"/>
      <c r="AA131" s="187"/>
      <c r="AB131" s="187"/>
      <c r="AC131" s="187"/>
      <c r="AD131" s="187"/>
      <c r="AE131" s="187"/>
      <c r="AF131" s="187"/>
      <c r="AG131" s="187"/>
      <c r="AH131" s="187"/>
      <c r="AI131" s="187"/>
      <c r="AJ131" s="187"/>
      <c r="AK131" s="187"/>
      <c r="AL131" s="187"/>
      <c r="AM131" s="187"/>
      <c r="AN131" s="187"/>
      <c r="AO131" s="187"/>
      <c r="AP131" s="187"/>
      <c r="AQ131" s="187"/>
      <c r="AR131" s="187"/>
      <c r="AS131" s="187"/>
      <c r="AT131" s="187"/>
      <c r="AU131" s="187"/>
      <c r="AV131" s="187"/>
      <c r="AW131" s="187"/>
      <c r="AX131" s="187"/>
      <c r="AY131" s="187"/>
      <c r="AZ131" s="187"/>
      <c r="BA131" s="187"/>
      <c r="BB131" s="187"/>
      <c r="BC131" s="187"/>
      <c r="BD131" s="187"/>
      <c r="BE131" s="187"/>
      <c r="BF131" s="187"/>
      <c r="BG131" s="187"/>
      <c r="BH131" s="187"/>
    </row>
    <row r="132" spans="2:60" ht="15" customHeight="1">
      <c r="B132" s="187"/>
      <c r="C132" s="187"/>
      <c r="D132" s="187"/>
      <c r="E132" s="187"/>
      <c r="F132" s="187"/>
      <c r="G132" s="187"/>
      <c r="H132" s="187"/>
      <c r="I132" s="187"/>
      <c r="J132" s="187"/>
      <c r="K132" s="187"/>
      <c r="L132" s="187"/>
      <c r="M132" s="187"/>
      <c r="N132" s="187"/>
      <c r="O132" s="187"/>
      <c r="P132" s="187"/>
      <c r="Q132" s="187"/>
      <c r="R132" s="187"/>
      <c r="S132" s="187"/>
      <c r="T132" s="187"/>
      <c r="U132" s="187"/>
      <c r="V132" s="187"/>
      <c r="W132" s="187"/>
      <c r="X132" s="187"/>
      <c r="Y132" s="187"/>
      <c r="Z132" s="187"/>
      <c r="AA132" s="187"/>
      <c r="AB132" s="187"/>
      <c r="AC132" s="187"/>
      <c r="AD132" s="187"/>
      <c r="AE132" s="187"/>
      <c r="AF132" s="187"/>
      <c r="AG132" s="187"/>
      <c r="AH132" s="187"/>
      <c r="AI132" s="187"/>
      <c r="AJ132" s="187"/>
      <c r="AK132" s="187"/>
      <c r="AL132" s="187"/>
      <c r="AM132" s="187"/>
      <c r="AN132" s="187"/>
      <c r="AO132" s="187"/>
      <c r="AP132" s="187"/>
      <c r="AQ132" s="187"/>
      <c r="AR132" s="187"/>
      <c r="AS132" s="187"/>
      <c r="AT132" s="187"/>
      <c r="AU132" s="187"/>
      <c r="AV132" s="187"/>
      <c r="AW132" s="187"/>
      <c r="AX132" s="187"/>
      <c r="AY132" s="187"/>
      <c r="AZ132" s="187"/>
      <c r="BA132" s="187"/>
      <c r="BB132" s="187"/>
      <c r="BC132" s="187"/>
      <c r="BD132" s="187"/>
      <c r="BE132" s="187"/>
      <c r="BF132" s="187"/>
      <c r="BG132" s="187"/>
      <c r="BH132" s="187"/>
    </row>
    <row r="133" spans="2:60" ht="15" customHeight="1">
      <c r="B133" s="187"/>
      <c r="C133" s="187"/>
      <c r="D133" s="187"/>
      <c r="E133" s="187"/>
      <c r="F133" s="187"/>
      <c r="G133" s="187"/>
      <c r="H133" s="187"/>
      <c r="I133" s="187"/>
      <c r="J133" s="187"/>
      <c r="K133" s="187"/>
      <c r="L133" s="187"/>
      <c r="M133" s="187"/>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row>
    <row r="134" spans="2:60" ht="15" customHeight="1">
      <c r="B134" s="187"/>
      <c r="C134" s="187"/>
      <c r="D134" s="187"/>
      <c r="E134" s="187"/>
      <c r="F134" s="187"/>
      <c r="G134" s="187"/>
      <c r="H134" s="187"/>
      <c r="I134" s="187"/>
      <c r="J134" s="187"/>
      <c r="K134" s="187"/>
      <c r="L134" s="187"/>
      <c r="M134" s="187"/>
      <c r="N134" s="187"/>
      <c r="O134" s="187"/>
      <c r="P134" s="187"/>
      <c r="Q134" s="187"/>
      <c r="R134" s="187"/>
      <c r="S134" s="187"/>
      <c r="T134" s="187"/>
      <c r="U134" s="187"/>
      <c r="V134" s="187"/>
      <c r="W134" s="187"/>
      <c r="X134" s="187"/>
      <c r="Y134" s="187"/>
      <c r="Z134" s="187"/>
      <c r="AA134" s="187"/>
      <c r="AB134" s="187"/>
      <c r="AC134" s="187"/>
      <c r="AD134" s="187"/>
      <c r="AE134" s="187"/>
      <c r="AF134" s="187"/>
      <c r="AG134" s="187"/>
      <c r="AH134" s="187"/>
      <c r="AI134" s="187"/>
      <c r="AJ134" s="187"/>
      <c r="AK134" s="187"/>
      <c r="AL134" s="187"/>
      <c r="AM134" s="187"/>
      <c r="AN134" s="187"/>
      <c r="AO134" s="187"/>
      <c r="AP134" s="187"/>
      <c r="AQ134" s="187"/>
      <c r="AR134" s="187"/>
      <c r="AS134" s="187"/>
      <c r="AT134" s="187"/>
      <c r="AU134" s="187"/>
      <c r="AV134" s="187"/>
      <c r="AW134" s="187"/>
      <c r="AX134" s="187"/>
      <c r="AY134" s="187"/>
      <c r="AZ134" s="187"/>
      <c r="BA134" s="187"/>
      <c r="BB134" s="187"/>
      <c r="BC134" s="187"/>
      <c r="BD134" s="187"/>
      <c r="BE134" s="187"/>
      <c r="BF134" s="187"/>
      <c r="BG134" s="187"/>
      <c r="BH134" s="187"/>
    </row>
    <row r="135" spans="2:60" ht="15" customHeight="1">
      <c r="B135" s="187"/>
      <c r="C135" s="187"/>
      <c r="D135" s="187"/>
      <c r="E135" s="187"/>
      <c r="F135" s="187"/>
      <c r="G135" s="187"/>
      <c r="H135" s="187"/>
      <c r="I135" s="187"/>
      <c r="J135" s="187"/>
      <c r="K135" s="187"/>
      <c r="L135" s="187"/>
      <c r="M135" s="187"/>
      <c r="N135" s="187"/>
      <c r="O135" s="187"/>
      <c r="P135" s="187"/>
      <c r="Q135" s="187"/>
      <c r="R135" s="187"/>
      <c r="S135" s="187"/>
      <c r="T135" s="187"/>
      <c r="U135" s="187"/>
      <c r="V135" s="187"/>
      <c r="W135" s="187"/>
      <c r="X135" s="187"/>
      <c r="Y135" s="187"/>
      <c r="Z135" s="187"/>
      <c r="AA135" s="187"/>
      <c r="AB135" s="187"/>
      <c r="AC135" s="187"/>
      <c r="AD135" s="187"/>
      <c r="AE135" s="187"/>
      <c r="AF135" s="187"/>
      <c r="AG135" s="187"/>
      <c r="AH135" s="187"/>
      <c r="AI135" s="187"/>
      <c r="AJ135" s="187"/>
      <c r="AK135" s="187"/>
      <c r="AL135" s="187"/>
      <c r="AM135" s="187"/>
      <c r="AN135" s="187"/>
      <c r="AO135" s="187"/>
      <c r="AP135" s="187"/>
      <c r="AQ135" s="187"/>
      <c r="AR135" s="187"/>
      <c r="AS135" s="187"/>
      <c r="AT135" s="187"/>
      <c r="AU135" s="187"/>
      <c r="AV135" s="187"/>
      <c r="AW135" s="187"/>
      <c r="AX135" s="187"/>
      <c r="AY135" s="187"/>
      <c r="AZ135" s="187"/>
      <c r="BA135" s="187"/>
      <c r="BB135" s="187"/>
      <c r="BC135" s="187"/>
      <c r="BD135" s="187"/>
      <c r="BE135" s="187"/>
      <c r="BF135" s="187"/>
      <c r="BG135" s="187"/>
      <c r="BH135" s="187"/>
    </row>
    <row r="136" spans="2:60" ht="15" customHeight="1">
      <c r="B136" s="187"/>
      <c r="C136" s="187"/>
      <c r="D136" s="187"/>
      <c r="E136" s="187"/>
      <c r="F136" s="187"/>
      <c r="G136" s="187"/>
      <c r="H136" s="187"/>
      <c r="I136" s="187"/>
      <c r="J136" s="187"/>
      <c r="K136" s="187"/>
      <c r="L136" s="187"/>
      <c r="M136" s="187"/>
      <c r="N136" s="187"/>
      <c r="O136" s="187"/>
      <c r="P136" s="187"/>
      <c r="Q136" s="187"/>
      <c r="R136" s="187"/>
      <c r="S136" s="187"/>
      <c r="T136" s="187"/>
      <c r="U136" s="187"/>
      <c r="V136" s="187"/>
      <c r="W136" s="187"/>
      <c r="X136" s="187"/>
      <c r="Y136" s="187"/>
      <c r="Z136" s="187"/>
      <c r="AA136" s="187"/>
      <c r="AB136" s="187"/>
      <c r="AC136" s="187"/>
      <c r="AD136" s="187"/>
      <c r="AE136" s="187"/>
      <c r="AF136" s="187"/>
      <c r="AG136" s="187"/>
      <c r="AH136" s="187"/>
      <c r="AI136" s="187"/>
      <c r="AJ136" s="187"/>
      <c r="AK136" s="187"/>
      <c r="AL136" s="187"/>
      <c r="AM136" s="187"/>
      <c r="AN136" s="187"/>
      <c r="AO136" s="187"/>
      <c r="AP136" s="187"/>
      <c r="AQ136" s="187"/>
      <c r="AR136" s="187"/>
      <c r="AS136" s="187"/>
      <c r="AT136" s="187"/>
      <c r="AU136" s="187"/>
      <c r="AV136" s="187"/>
      <c r="AW136" s="187"/>
      <c r="AX136" s="187"/>
      <c r="AY136" s="187"/>
      <c r="AZ136" s="187"/>
      <c r="BA136" s="187"/>
      <c r="BB136" s="187"/>
      <c r="BC136" s="187"/>
      <c r="BD136" s="187"/>
      <c r="BE136" s="187"/>
      <c r="BF136" s="187"/>
      <c r="BG136" s="187"/>
      <c r="BH136" s="187"/>
    </row>
    <row r="137" spans="2:60" ht="15" customHeight="1">
      <c r="B137" s="187"/>
      <c r="C137" s="187"/>
      <c r="D137" s="187"/>
      <c r="E137" s="187"/>
      <c r="F137" s="187"/>
      <c r="G137" s="187"/>
      <c r="H137" s="187"/>
      <c r="I137" s="187"/>
      <c r="J137" s="187"/>
      <c r="K137" s="187"/>
      <c r="L137" s="187"/>
      <c r="M137" s="187"/>
      <c r="N137" s="187"/>
      <c r="O137" s="187"/>
      <c r="P137" s="187"/>
      <c r="Q137" s="187"/>
      <c r="R137" s="187"/>
      <c r="S137" s="187"/>
      <c r="T137" s="187"/>
      <c r="U137" s="187"/>
      <c r="V137" s="187"/>
      <c r="W137" s="187"/>
      <c r="X137" s="187"/>
      <c r="Y137" s="187"/>
      <c r="Z137" s="187"/>
      <c r="AA137" s="187"/>
      <c r="AB137" s="187"/>
      <c r="AC137" s="187"/>
      <c r="AD137" s="187"/>
      <c r="AE137" s="187"/>
      <c r="AF137" s="187"/>
      <c r="AG137" s="187"/>
      <c r="AH137" s="187"/>
      <c r="AI137" s="187"/>
      <c r="AJ137" s="187"/>
      <c r="AK137" s="187"/>
      <c r="AL137" s="187"/>
      <c r="AM137" s="187"/>
      <c r="AN137" s="187"/>
      <c r="AO137" s="187"/>
      <c r="AP137" s="187"/>
      <c r="AQ137" s="187"/>
      <c r="AR137" s="187"/>
      <c r="AS137" s="187"/>
      <c r="AT137" s="187"/>
      <c r="AU137" s="187"/>
      <c r="AV137" s="187"/>
      <c r="AW137" s="187"/>
      <c r="AX137" s="187"/>
      <c r="AY137" s="187"/>
      <c r="AZ137" s="187"/>
      <c r="BA137" s="187"/>
      <c r="BB137" s="187"/>
      <c r="BC137" s="187"/>
      <c r="BD137" s="187"/>
      <c r="BE137" s="187"/>
      <c r="BF137" s="187"/>
      <c r="BG137" s="187"/>
      <c r="BH137" s="187"/>
    </row>
    <row r="138" spans="2:60" ht="15" customHeight="1">
      <c r="B138" s="187"/>
      <c r="C138" s="187"/>
      <c r="D138" s="187"/>
      <c r="E138" s="187"/>
      <c r="F138" s="187"/>
      <c r="G138" s="187"/>
      <c r="H138" s="187"/>
      <c r="I138" s="187"/>
      <c r="J138" s="187"/>
      <c r="K138" s="187"/>
      <c r="L138" s="187"/>
      <c r="M138" s="187"/>
      <c r="N138" s="187"/>
      <c r="O138" s="187"/>
      <c r="P138" s="187"/>
      <c r="Q138" s="187"/>
      <c r="R138" s="187"/>
      <c r="S138" s="187"/>
      <c r="T138" s="187"/>
      <c r="U138" s="187"/>
      <c r="V138" s="187"/>
      <c r="W138" s="187"/>
      <c r="X138" s="187"/>
      <c r="Y138" s="187"/>
      <c r="Z138" s="187"/>
      <c r="AA138" s="187"/>
      <c r="AB138" s="187"/>
      <c r="AC138" s="187"/>
      <c r="AD138" s="187"/>
      <c r="AE138" s="187"/>
      <c r="AF138" s="187"/>
      <c r="AG138" s="187"/>
      <c r="AH138" s="187"/>
      <c r="AI138" s="187"/>
      <c r="AJ138" s="187"/>
      <c r="AK138" s="187"/>
      <c r="AL138" s="187"/>
      <c r="AM138" s="187"/>
      <c r="AN138" s="187"/>
      <c r="AO138" s="187"/>
      <c r="AP138" s="187"/>
      <c r="AQ138" s="187"/>
      <c r="AR138" s="187"/>
      <c r="AS138" s="187"/>
      <c r="AT138" s="187"/>
      <c r="AU138" s="187"/>
      <c r="AV138" s="187"/>
      <c r="AW138" s="187"/>
      <c r="AX138" s="187"/>
      <c r="AY138" s="187"/>
      <c r="AZ138" s="187"/>
      <c r="BA138" s="187"/>
      <c r="BB138" s="187"/>
      <c r="BC138" s="187"/>
      <c r="BD138" s="187"/>
      <c r="BE138" s="187"/>
      <c r="BF138" s="187"/>
      <c r="BG138" s="187"/>
      <c r="BH138" s="187"/>
    </row>
    <row r="139" spans="2:60" ht="15" customHeight="1">
      <c r="B139" s="187"/>
      <c r="C139" s="187"/>
      <c r="D139" s="187"/>
      <c r="E139" s="187"/>
      <c r="F139" s="187"/>
      <c r="G139" s="187"/>
      <c r="H139" s="187"/>
      <c r="I139" s="187"/>
      <c r="J139" s="187"/>
      <c r="K139" s="187"/>
      <c r="L139" s="187"/>
      <c r="M139" s="187"/>
      <c r="N139" s="187"/>
      <c r="O139" s="187"/>
      <c r="P139" s="187"/>
      <c r="Q139" s="187"/>
      <c r="R139" s="187"/>
      <c r="S139" s="187"/>
      <c r="T139" s="187"/>
      <c r="U139" s="187"/>
      <c r="V139" s="187"/>
      <c r="W139" s="187"/>
      <c r="X139" s="187"/>
      <c r="Y139" s="187"/>
      <c r="Z139" s="187"/>
      <c r="AA139" s="187"/>
      <c r="AB139" s="187"/>
      <c r="AC139" s="187"/>
      <c r="AD139" s="187"/>
      <c r="AE139" s="187"/>
      <c r="AF139" s="187"/>
      <c r="AG139" s="187"/>
      <c r="AH139" s="187"/>
      <c r="AI139" s="187"/>
      <c r="AJ139" s="187"/>
      <c r="AK139" s="187"/>
      <c r="AL139" s="187"/>
      <c r="AM139" s="187"/>
      <c r="AN139" s="187"/>
      <c r="AO139" s="187"/>
      <c r="AP139" s="187"/>
      <c r="AQ139" s="187"/>
      <c r="AR139" s="187"/>
      <c r="AS139" s="187"/>
      <c r="AT139" s="187"/>
      <c r="AU139" s="187"/>
      <c r="AV139" s="187"/>
      <c r="AW139" s="187"/>
      <c r="AX139" s="187"/>
      <c r="AY139" s="187"/>
      <c r="AZ139" s="187"/>
      <c r="BA139" s="187"/>
      <c r="BB139" s="187"/>
      <c r="BC139" s="187"/>
      <c r="BD139" s="187"/>
      <c r="BE139" s="187"/>
      <c r="BF139" s="187"/>
      <c r="BG139" s="187"/>
      <c r="BH139" s="187"/>
    </row>
    <row r="140" spans="2:60" ht="15" customHeight="1">
      <c r="B140" s="187"/>
      <c r="C140" s="187"/>
      <c r="D140" s="187"/>
      <c r="E140" s="187"/>
      <c r="F140" s="187"/>
      <c r="G140" s="187"/>
      <c r="H140" s="187"/>
      <c r="I140" s="187"/>
      <c r="J140" s="187"/>
      <c r="K140" s="187"/>
      <c r="L140" s="187"/>
      <c r="M140" s="187"/>
      <c r="N140" s="187"/>
      <c r="O140" s="187"/>
      <c r="P140" s="187"/>
      <c r="Q140" s="187"/>
      <c r="R140" s="187"/>
      <c r="S140" s="187"/>
      <c r="T140" s="187"/>
      <c r="U140" s="187"/>
      <c r="V140" s="187"/>
      <c r="W140" s="187"/>
      <c r="X140" s="187"/>
      <c r="Y140" s="187"/>
      <c r="Z140" s="187"/>
      <c r="AA140" s="187"/>
      <c r="AB140" s="187"/>
      <c r="AC140" s="187"/>
      <c r="AD140" s="187"/>
      <c r="AE140" s="187"/>
      <c r="AF140" s="187"/>
      <c r="AG140" s="187"/>
      <c r="AH140" s="187"/>
      <c r="AI140" s="187"/>
      <c r="AJ140" s="187"/>
      <c r="AK140" s="187"/>
      <c r="AL140" s="187"/>
      <c r="AM140" s="187"/>
      <c r="AN140" s="187"/>
      <c r="AO140" s="187"/>
      <c r="AP140" s="187"/>
      <c r="AQ140" s="187"/>
      <c r="AR140" s="187"/>
      <c r="AS140" s="187"/>
      <c r="AT140" s="187"/>
      <c r="AU140" s="187"/>
      <c r="AV140" s="187"/>
      <c r="AW140" s="187"/>
      <c r="AX140" s="187"/>
      <c r="AY140" s="187"/>
      <c r="AZ140" s="187"/>
      <c r="BA140" s="187"/>
      <c r="BB140" s="187"/>
      <c r="BC140" s="187"/>
      <c r="BD140" s="187"/>
      <c r="BE140" s="187"/>
      <c r="BF140" s="187"/>
      <c r="BG140" s="187"/>
      <c r="BH140" s="187"/>
    </row>
    <row r="141" spans="2:60" ht="15" customHeight="1">
      <c r="B141" s="187"/>
      <c r="C141" s="187"/>
      <c r="D141" s="187"/>
      <c r="E141" s="187"/>
      <c r="F141" s="187"/>
      <c r="G141" s="187"/>
      <c r="H141" s="187"/>
      <c r="I141" s="187"/>
      <c r="J141" s="187"/>
      <c r="K141" s="187"/>
      <c r="L141" s="187"/>
      <c r="M141" s="187"/>
      <c r="N141" s="187"/>
      <c r="O141" s="187"/>
      <c r="P141" s="187"/>
      <c r="Q141" s="187"/>
      <c r="R141" s="187"/>
      <c r="S141" s="187"/>
      <c r="T141" s="187"/>
      <c r="U141" s="187"/>
      <c r="V141" s="187"/>
      <c r="W141" s="187"/>
      <c r="X141" s="187"/>
      <c r="Y141" s="187"/>
      <c r="Z141" s="187"/>
      <c r="AA141" s="187"/>
      <c r="AB141" s="187"/>
      <c r="AC141" s="187"/>
      <c r="AD141" s="187"/>
      <c r="AE141" s="187"/>
      <c r="AF141" s="187"/>
      <c r="AG141" s="187"/>
      <c r="AH141" s="187"/>
      <c r="AI141" s="187"/>
      <c r="AJ141" s="187"/>
      <c r="AK141" s="187"/>
      <c r="AL141" s="187"/>
      <c r="AM141" s="187"/>
      <c r="AN141" s="187"/>
      <c r="AO141" s="187"/>
      <c r="AP141" s="187"/>
      <c r="AQ141" s="187"/>
      <c r="AR141" s="187"/>
      <c r="AS141" s="187"/>
      <c r="AT141" s="187"/>
      <c r="AU141" s="187"/>
      <c r="AV141" s="187"/>
      <c r="AW141" s="187"/>
      <c r="AX141" s="187"/>
      <c r="AY141" s="187"/>
      <c r="AZ141" s="187"/>
      <c r="BA141" s="187"/>
      <c r="BB141" s="187"/>
      <c r="BC141" s="187"/>
      <c r="BD141" s="187"/>
      <c r="BE141" s="187"/>
      <c r="BF141" s="187"/>
      <c r="BG141" s="187"/>
      <c r="BH141" s="187"/>
    </row>
    <row r="142" spans="2:60" ht="15" customHeight="1">
      <c r="B142" s="187"/>
      <c r="C142" s="187"/>
      <c r="D142" s="187"/>
      <c r="E142" s="187"/>
      <c r="F142" s="187"/>
      <c r="G142" s="187"/>
      <c r="H142" s="187"/>
      <c r="I142" s="187"/>
      <c r="J142" s="187"/>
      <c r="K142" s="187"/>
      <c r="L142" s="187"/>
      <c r="M142" s="187"/>
      <c r="N142" s="187"/>
      <c r="O142" s="187"/>
      <c r="P142" s="187"/>
      <c r="Q142" s="187"/>
      <c r="R142" s="187"/>
      <c r="S142" s="187"/>
      <c r="T142" s="187"/>
      <c r="U142" s="187"/>
      <c r="V142" s="187"/>
      <c r="W142" s="187"/>
      <c r="X142" s="187"/>
      <c r="Y142" s="187"/>
      <c r="Z142" s="187"/>
      <c r="AA142" s="187"/>
      <c r="AB142" s="187"/>
      <c r="AC142" s="187"/>
      <c r="AD142" s="187"/>
      <c r="AE142" s="187"/>
      <c r="AF142" s="187"/>
      <c r="AG142" s="187"/>
      <c r="AH142" s="187"/>
      <c r="AI142" s="187"/>
      <c r="AJ142" s="187"/>
      <c r="AK142" s="187"/>
      <c r="AL142" s="187"/>
      <c r="AM142" s="187"/>
      <c r="AN142" s="187"/>
      <c r="AO142" s="187"/>
      <c r="AP142" s="187"/>
      <c r="AQ142" s="187"/>
      <c r="AR142" s="187"/>
      <c r="AS142" s="187"/>
      <c r="AT142" s="187"/>
      <c r="AU142" s="187"/>
      <c r="AV142" s="187"/>
      <c r="AW142" s="187"/>
      <c r="AX142" s="187"/>
      <c r="AY142" s="187"/>
      <c r="AZ142" s="187"/>
      <c r="BB142" s="187"/>
      <c r="BC142" s="187"/>
      <c r="BD142" s="187"/>
      <c r="BE142" s="187"/>
      <c r="BF142" s="187"/>
      <c r="BG142" s="187"/>
      <c r="BH142" s="187"/>
    </row>
    <row r="143" spans="2:60" ht="15" customHeight="1">
      <c r="B143" s="187"/>
      <c r="C143" s="187"/>
      <c r="D143" s="187"/>
      <c r="E143" s="187"/>
      <c r="F143" s="187"/>
      <c r="G143" s="187"/>
      <c r="H143" s="187"/>
      <c r="I143" s="187"/>
      <c r="J143" s="187"/>
      <c r="K143" s="187"/>
      <c r="L143" s="187"/>
      <c r="M143" s="187"/>
      <c r="N143" s="187"/>
      <c r="O143" s="187"/>
      <c r="P143" s="187"/>
      <c r="Q143" s="187"/>
      <c r="R143" s="187"/>
      <c r="S143" s="187"/>
      <c r="T143" s="187"/>
      <c r="U143" s="187"/>
      <c r="V143" s="187"/>
      <c r="W143" s="187"/>
      <c r="X143" s="187"/>
      <c r="Y143" s="187"/>
      <c r="Z143" s="187"/>
      <c r="AA143" s="187"/>
      <c r="AB143" s="187"/>
      <c r="AC143" s="187"/>
      <c r="AD143" s="187"/>
      <c r="AE143" s="187"/>
      <c r="AF143" s="187"/>
      <c r="AG143" s="187"/>
      <c r="AH143" s="187"/>
      <c r="AI143" s="187"/>
      <c r="AJ143" s="187"/>
      <c r="AK143" s="187"/>
      <c r="AL143" s="187"/>
      <c r="AM143" s="187"/>
      <c r="AN143" s="187"/>
      <c r="AO143" s="187"/>
      <c r="AP143" s="187"/>
      <c r="AQ143" s="187"/>
      <c r="AR143" s="187"/>
      <c r="AS143" s="187"/>
      <c r="AT143" s="187"/>
      <c r="AU143" s="187"/>
      <c r="AV143" s="187"/>
      <c r="AW143" s="187"/>
      <c r="AX143" s="187"/>
      <c r="AY143" s="187"/>
      <c r="AZ143" s="187"/>
      <c r="BA143" s="187"/>
      <c r="BB143" s="187"/>
      <c r="BC143" s="187"/>
      <c r="BD143" s="187"/>
      <c r="BE143" s="187"/>
      <c r="BF143" s="187"/>
      <c r="BG143" s="187"/>
      <c r="BH143" s="187"/>
    </row>
    <row r="144" spans="2:60" ht="15" customHeight="1">
      <c r="B144" s="187"/>
      <c r="C144" s="187"/>
      <c r="D144" s="187"/>
      <c r="E144" s="187"/>
      <c r="F144" s="187"/>
      <c r="G144" s="187"/>
      <c r="H144" s="187"/>
      <c r="I144" s="187"/>
      <c r="J144" s="187"/>
      <c r="K144" s="187"/>
      <c r="L144" s="187"/>
      <c r="M144" s="187"/>
      <c r="N144" s="187"/>
      <c r="O144" s="187"/>
      <c r="P144" s="187"/>
      <c r="Q144" s="187"/>
      <c r="R144" s="187"/>
      <c r="S144" s="187"/>
      <c r="T144" s="187"/>
      <c r="U144" s="187"/>
      <c r="V144" s="187"/>
      <c r="W144" s="187"/>
      <c r="X144" s="187"/>
      <c r="Y144" s="187"/>
      <c r="Z144" s="187"/>
      <c r="AA144" s="187"/>
      <c r="AB144" s="187"/>
      <c r="AC144" s="187"/>
      <c r="AD144" s="187"/>
      <c r="AE144" s="187"/>
      <c r="AF144" s="187"/>
      <c r="AG144" s="187"/>
      <c r="AH144" s="187"/>
      <c r="AI144" s="187"/>
      <c r="AJ144" s="187"/>
      <c r="AK144" s="187"/>
      <c r="AL144" s="187"/>
      <c r="AM144" s="187"/>
      <c r="AN144" s="187"/>
      <c r="AO144" s="187"/>
      <c r="AP144" s="187"/>
      <c r="AQ144" s="187"/>
      <c r="AR144" s="187"/>
      <c r="AS144" s="187"/>
      <c r="AT144" s="187"/>
      <c r="AU144" s="187"/>
      <c r="AV144" s="187"/>
      <c r="AW144" s="187"/>
      <c r="AX144" s="187"/>
      <c r="AY144" s="187"/>
      <c r="AZ144" s="187"/>
      <c r="BA144" s="187"/>
      <c r="BB144" s="187"/>
      <c r="BC144" s="187"/>
      <c r="BD144" s="187"/>
      <c r="BE144" s="187"/>
      <c r="BF144" s="187"/>
      <c r="BG144" s="187"/>
      <c r="BH144" s="187"/>
    </row>
    <row r="145" spans="2:60" ht="15" customHeight="1">
      <c r="B145" s="187"/>
      <c r="C145" s="187"/>
      <c r="D145" s="187"/>
      <c r="E145" s="187"/>
      <c r="F145" s="187"/>
      <c r="G145" s="187"/>
      <c r="H145" s="187"/>
      <c r="I145" s="187"/>
      <c r="J145" s="187"/>
      <c r="K145" s="187"/>
      <c r="L145" s="187"/>
      <c r="M145" s="187"/>
      <c r="N145" s="187"/>
      <c r="O145" s="187"/>
      <c r="P145" s="187"/>
      <c r="Q145" s="187"/>
      <c r="R145" s="187"/>
      <c r="S145" s="187"/>
      <c r="T145" s="187"/>
      <c r="U145" s="187"/>
      <c r="V145" s="187"/>
      <c r="W145" s="187"/>
      <c r="X145" s="187"/>
      <c r="Y145" s="187"/>
      <c r="Z145" s="187"/>
      <c r="AA145" s="187"/>
      <c r="AB145" s="187"/>
      <c r="AC145" s="187"/>
      <c r="AD145" s="187"/>
      <c r="AE145" s="187"/>
      <c r="AF145" s="187"/>
      <c r="AG145" s="187"/>
      <c r="AH145" s="187"/>
      <c r="AI145" s="187"/>
      <c r="AJ145" s="187"/>
      <c r="AK145" s="187"/>
      <c r="AL145" s="187"/>
      <c r="AM145" s="187"/>
      <c r="AN145" s="187"/>
      <c r="AO145" s="187"/>
      <c r="AP145" s="187"/>
      <c r="AQ145" s="187"/>
      <c r="AR145" s="187"/>
      <c r="AS145" s="187"/>
      <c r="AT145" s="187"/>
      <c r="AU145" s="187"/>
      <c r="AV145" s="187"/>
      <c r="AW145" s="187"/>
      <c r="AX145" s="187"/>
      <c r="AY145" s="187"/>
      <c r="AZ145" s="187"/>
      <c r="BA145" s="187"/>
      <c r="BB145" s="187"/>
      <c r="BC145" s="187"/>
      <c r="BD145" s="187"/>
      <c r="BE145" s="187"/>
      <c r="BF145" s="187"/>
      <c r="BG145" s="187"/>
      <c r="BH145" s="187"/>
    </row>
    <row r="146" spans="2:60" ht="15" customHeight="1">
      <c r="B146" s="187"/>
      <c r="C146" s="187"/>
      <c r="D146" s="187"/>
      <c r="E146" s="187"/>
      <c r="F146" s="187"/>
      <c r="G146" s="187"/>
      <c r="H146" s="187"/>
      <c r="I146" s="187"/>
      <c r="J146" s="187"/>
      <c r="K146" s="187"/>
      <c r="L146" s="187"/>
      <c r="M146" s="187"/>
      <c r="N146" s="187"/>
      <c r="O146" s="187"/>
      <c r="P146" s="187"/>
      <c r="Q146" s="187"/>
      <c r="R146" s="187"/>
      <c r="S146" s="187"/>
      <c r="T146" s="187"/>
      <c r="U146" s="187"/>
      <c r="V146" s="187"/>
      <c r="W146" s="187"/>
      <c r="X146" s="187"/>
      <c r="Y146" s="187"/>
      <c r="Z146" s="187"/>
      <c r="AA146" s="187"/>
      <c r="AB146" s="187"/>
      <c r="AC146" s="187"/>
      <c r="AD146" s="187"/>
      <c r="AE146" s="187"/>
      <c r="AF146" s="187"/>
      <c r="AG146" s="187"/>
      <c r="AH146" s="187"/>
      <c r="AI146" s="187"/>
      <c r="AJ146" s="187"/>
      <c r="AK146" s="187"/>
      <c r="AL146" s="187"/>
      <c r="AM146" s="187"/>
      <c r="AN146" s="187"/>
      <c r="AO146" s="187"/>
      <c r="AP146" s="187"/>
      <c r="AQ146" s="187"/>
      <c r="AR146" s="187"/>
      <c r="AS146" s="187"/>
      <c r="AT146" s="187"/>
      <c r="AU146" s="187"/>
      <c r="AV146" s="187"/>
      <c r="AW146" s="187"/>
      <c r="AX146" s="187"/>
      <c r="AY146" s="187"/>
      <c r="AZ146" s="187"/>
      <c r="BA146" s="187"/>
      <c r="BB146" s="187"/>
      <c r="BC146" s="187"/>
      <c r="BD146" s="187"/>
      <c r="BE146" s="187"/>
      <c r="BF146" s="187"/>
      <c r="BG146" s="187"/>
      <c r="BH146" s="187"/>
    </row>
    <row r="147" spans="2:60" ht="15" customHeight="1">
      <c r="B147" s="187"/>
      <c r="C147" s="187"/>
      <c r="D147" s="187"/>
      <c r="E147" s="187"/>
      <c r="F147" s="187"/>
      <c r="G147" s="187"/>
      <c r="H147" s="187"/>
      <c r="I147" s="187"/>
      <c r="J147" s="187"/>
      <c r="K147" s="187"/>
      <c r="L147" s="187"/>
      <c r="M147" s="187"/>
      <c r="N147" s="187"/>
      <c r="O147" s="187"/>
      <c r="P147" s="187"/>
      <c r="Q147" s="187"/>
      <c r="R147" s="187"/>
      <c r="S147" s="187"/>
      <c r="T147" s="187"/>
      <c r="U147" s="187"/>
      <c r="V147" s="187"/>
      <c r="W147" s="187"/>
      <c r="X147" s="187"/>
      <c r="Y147" s="187"/>
      <c r="Z147" s="187"/>
      <c r="AA147" s="187"/>
      <c r="AB147" s="187"/>
      <c r="AC147" s="187"/>
      <c r="AD147" s="187"/>
      <c r="AE147" s="187"/>
      <c r="AF147" s="187"/>
      <c r="AG147" s="187"/>
      <c r="AH147" s="187"/>
      <c r="AI147" s="187"/>
      <c r="AJ147" s="187"/>
      <c r="AK147" s="187"/>
      <c r="AL147" s="187"/>
      <c r="AM147" s="187"/>
      <c r="AN147" s="187"/>
      <c r="AO147" s="187"/>
      <c r="AP147" s="187"/>
      <c r="AQ147" s="187"/>
      <c r="AR147" s="187"/>
      <c r="AS147" s="187"/>
      <c r="AT147" s="187"/>
      <c r="AU147" s="187"/>
      <c r="AV147" s="187"/>
      <c r="AW147" s="187"/>
      <c r="AX147" s="187"/>
      <c r="AY147" s="187"/>
      <c r="AZ147" s="187"/>
      <c r="BA147" s="187"/>
      <c r="BB147" s="187"/>
      <c r="BC147" s="187"/>
      <c r="BD147" s="187"/>
      <c r="BE147" s="187"/>
      <c r="BF147" s="187"/>
      <c r="BG147" s="187"/>
      <c r="BH147" s="187"/>
    </row>
    <row r="148" spans="2:60" ht="15" customHeight="1">
      <c r="B148" s="187"/>
      <c r="C148" s="187"/>
      <c r="D148" s="187"/>
      <c r="E148" s="187"/>
      <c r="F148" s="187"/>
      <c r="G148" s="187"/>
      <c r="H148" s="187"/>
      <c r="I148" s="187"/>
      <c r="J148" s="187"/>
      <c r="K148" s="187"/>
      <c r="L148" s="187"/>
      <c r="M148" s="187"/>
      <c r="N148" s="187"/>
      <c r="O148" s="187"/>
      <c r="P148" s="187"/>
      <c r="Q148" s="187"/>
      <c r="R148" s="187"/>
      <c r="S148" s="187"/>
      <c r="T148" s="187"/>
      <c r="U148" s="187"/>
      <c r="V148" s="187"/>
      <c r="W148" s="187"/>
      <c r="X148" s="187"/>
      <c r="Y148" s="187"/>
      <c r="Z148" s="187"/>
      <c r="AA148" s="187"/>
      <c r="AB148" s="187"/>
      <c r="AC148" s="187"/>
      <c r="AD148" s="187"/>
      <c r="AE148" s="187"/>
      <c r="AF148" s="187"/>
      <c r="AG148" s="187"/>
      <c r="AH148" s="187"/>
      <c r="AI148" s="187"/>
      <c r="AJ148" s="187"/>
      <c r="AK148" s="187"/>
      <c r="AL148" s="187"/>
      <c r="AM148" s="187"/>
      <c r="AN148" s="187"/>
      <c r="AO148" s="187"/>
      <c r="AP148" s="187"/>
      <c r="AQ148" s="187"/>
      <c r="AR148" s="187"/>
      <c r="AS148" s="187"/>
      <c r="AT148" s="187"/>
      <c r="AU148" s="187"/>
      <c r="AV148" s="187"/>
      <c r="AW148" s="187"/>
      <c r="AX148" s="187"/>
      <c r="AY148" s="187"/>
      <c r="AZ148" s="187"/>
      <c r="BA148" s="187"/>
      <c r="BB148" s="187"/>
      <c r="BC148" s="187"/>
      <c r="BD148" s="187"/>
      <c r="BE148" s="187"/>
      <c r="BF148" s="187"/>
      <c r="BG148" s="187"/>
      <c r="BH148" s="187"/>
    </row>
    <row r="149" spans="2:60" ht="15" customHeight="1">
      <c r="B149" s="187"/>
      <c r="C149" s="187"/>
      <c r="D149" s="187"/>
      <c r="E149" s="187"/>
      <c r="F149" s="187"/>
      <c r="G149" s="187"/>
      <c r="H149" s="187"/>
      <c r="I149" s="187"/>
      <c r="J149" s="187"/>
      <c r="K149" s="187"/>
      <c r="L149" s="187"/>
      <c r="M149" s="187"/>
      <c r="N149" s="187"/>
      <c r="O149" s="187"/>
      <c r="P149" s="187"/>
      <c r="Q149" s="187"/>
      <c r="R149" s="187"/>
      <c r="S149" s="187"/>
      <c r="T149" s="187"/>
      <c r="U149" s="187"/>
      <c r="V149" s="187"/>
      <c r="W149" s="187"/>
      <c r="X149" s="187"/>
      <c r="Y149" s="187"/>
      <c r="Z149" s="187"/>
      <c r="AA149" s="187"/>
      <c r="AB149" s="187"/>
      <c r="AC149" s="187"/>
      <c r="AD149" s="187"/>
      <c r="AE149" s="187"/>
      <c r="AF149" s="187"/>
      <c r="AG149" s="187"/>
      <c r="AH149" s="187"/>
      <c r="AI149" s="187"/>
      <c r="AJ149" s="187"/>
      <c r="AK149" s="187"/>
      <c r="AL149" s="187"/>
      <c r="AM149" s="187"/>
      <c r="AN149" s="187"/>
      <c r="AO149" s="187"/>
      <c r="AP149" s="187"/>
      <c r="AQ149" s="187"/>
      <c r="AR149" s="187"/>
      <c r="AS149" s="187"/>
      <c r="AT149" s="187"/>
      <c r="AU149" s="187"/>
      <c r="AV149" s="187"/>
      <c r="AW149" s="187"/>
      <c r="AX149" s="187"/>
      <c r="AY149" s="187"/>
      <c r="AZ149" s="187"/>
      <c r="BA149" s="187"/>
      <c r="BB149" s="187"/>
      <c r="BC149" s="187"/>
      <c r="BD149" s="187"/>
      <c r="BE149" s="187"/>
      <c r="BF149" s="187"/>
      <c r="BG149" s="187"/>
      <c r="BH149" s="187"/>
    </row>
    <row r="150" spans="2:60" ht="15" customHeight="1">
      <c r="B150" s="187"/>
      <c r="C150" s="187"/>
      <c r="D150" s="187"/>
      <c r="E150" s="187"/>
      <c r="F150" s="187"/>
      <c r="G150" s="187"/>
      <c r="H150" s="187"/>
      <c r="I150" s="187"/>
      <c r="J150" s="187"/>
      <c r="K150" s="187"/>
      <c r="L150" s="187"/>
      <c r="M150" s="187"/>
      <c r="N150" s="187"/>
      <c r="O150" s="187"/>
      <c r="P150" s="187"/>
      <c r="Q150" s="187"/>
      <c r="R150" s="187"/>
      <c r="S150" s="187"/>
      <c r="T150" s="187"/>
      <c r="U150" s="187"/>
      <c r="V150" s="187"/>
      <c r="W150" s="187"/>
      <c r="X150" s="187"/>
      <c r="Y150" s="187"/>
      <c r="Z150" s="187"/>
      <c r="AA150" s="187"/>
      <c r="AB150" s="187"/>
      <c r="AC150" s="187"/>
      <c r="AD150" s="187"/>
      <c r="AE150" s="187"/>
      <c r="AF150" s="187"/>
      <c r="AG150" s="187"/>
      <c r="AH150" s="187"/>
      <c r="AI150" s="187"/>
      <c r="AJ150" s="187"/>
      <c r="AK150" s="187"/>
      <c r="AL150" s="187"/>
      <c r="AM150" s="187"/>
      <c r="AN150" s="187"/>
      <c r="AO150" s="187"/>
      <c r="AP150" s="187"/>
      <c r="AQ150" s="187"/>
      <c r="AR150" s="187"/>
      <c r="AS150" s="187"/>
      <c r="AT150" s="187"/>
      <c r="AU150" s="187"/>
      <c r="AV150" s="187"/>
      <c r="AW150" s="187"/>
      <c r="AX150" s="187"/>
      <c r="AY150" s="187"/>
      <c r="AZ150" s="187"/>
      <c r="BA150" s="187"/>
      <c r="BB150" s="187"/>
      <c r="BC150" s="187"/>
      <c r="BD150" s="187"/>
      <c r="BE150" s="187"/>
      <c r="BF150" s="187"/>
      <c r="BG150" s="187"/>
      <c r="BH150" s="187"/>
    </row>
    <row r="151" spans="2:60" ht="15" customHeight="1">
      <c r="B151" s="187"/>
      <c r="C151" s="187"/>
      <c r="D151" s="187"/>
      <c r="E151" s="187"/>
      <c r="F151" s="187"/>
      <c r="G151" s="187"/>
      <c r="H151" s="187"/>
      <c r="I151" s="187"/>
      <c r="J151" s="187"/>
      <c r="K151" s="187"/>
      <c r="L151" s="187"/>
      <c r="M151" s="187"/>
      <c r="N151" s="187"/>
      <c r="O151" s="187"/>
      <c r="P151" s="187"/>
      <c r="Q151" s="187"/>
      <c r="R151" s="187"/>
      <c r="S151" s="187"/>
      <c r="T151" s="187"/>
      <c r="U151" s="187"/>
      <c r="V151" s="187"/>
      <c r="W151" s="187"/>
      <c r="X151" s="187"/>
      <c r="Y151" s="187"/>
      <c r="Z151" s="187"/>
      <c r="AA151" s="187"/>
      <c r="AB151" s="187"/>
      <c r="AC151" s="187"/>
      <c r="AD151" s="187"/>
      <c r="AE151" s="187"/>
      <c r="AF151" s="187"/>
      <c r="AG151" s="187"/>
      <c r="AH151" s="187"/>
      <c r="AI151" s="187"/>
      <c r="AJ151" s="187"/>
      <c r="AK151" s="187"/>
      <c r="AL151" s="187"/>
      <c r="AM151" s="187"/>
      <c r="AN151" s="187"/>
      <c r="AO151" s="187"/>
      <c r="AP151" s="187"/>
      <c r="AQ151" s="187"/>
      <c r="AR151" s="187"/>
      <c r="AS151" s="187"/>
      <c r="AT151" s="187"/>
      <c r="AU151" s="187"/>
      <c r="AV151" s="187"/>
      <c r="AW151" s="187"/>
      <c r="AX151" s="187"/>
      <c r="AY151" s="187"/>
      <c r="AZ151" s="187"/>
      <c r="BA151" s="187"/>
      <c r="BB151" s="187"/>
      <c r="BC151" s="187"/>
      <c r="BD151" s="187"/>
      <c r="BE151" s="187"/>
      <c r="BF151" s="187"/>
      <c r="BG151" s="187"/>
      <c r="BH151" s="187"/>
    </row>
    <row r="152" spans="2:60" ht="15" customHeight="1">
      <c r="B152" s="187"/>
      <c r="C152" s="187"/>
      <c r="D152" s="187"/>
      <c r="E152" s="187"/>
      <c r="F152" s="187"/>
      <c r="G152" s="187"/>
      <c r="H152" s="187"/>
      <c r="I152" s="187"/>
      <c r="J152" s="187"/>
      <c r="K152" s="187"/>
      <c r="L152" s="187"/>
      <c r="M152" s="187"/>
      <c r="N152" s="187"/>
      <c r="O152" s="187"/>
      <c r="P152" s="187"/>
      <c r="Q152" s="187"/>
      <c r="R152" s="187"/>
      <c r="S152" s="187"/>
      <c r="T152" s="187"/>
      <c r="U152" s="187"/>
      <c r="V152" s="187"/>
      <c r="W152" s="187"/>
      <c r="X152" s="187"/>
      <c r="Y152" s="187"/>
      <c r="Z152" s="187"/>
      <c r="AA152" s="187"/>
      <c r="AB152" s="187"/>
      <c r="AC152" s="187"/>
      <c r="AD152" s="187"/>
      <c r="AE152" s="187"/>
      <c r="AF152" s="187"/>
      <c r="AG152" s="187"/>
      <c r="AH152" s="187"/>
      <c r="AI152" s="187"/>
      <c r="AJ152" s="187"/>
      <c r="AK152" s="187"/>
      <c r="AL152" s="187"/>
      <c r="AM152" s="187"/>
      <c r="AN152" s="187"/>
      <c r="AO152" s="187"/>
      <c r="AP152" s="187"/>
      <c r="AQ152" s="187"/>
      <c r="AR152" s="187"/>
      <c r="AS152" s="187"/>
      <c r="AT152" s="187"/>
      <c r="AU152" s="187"/>
      <c r="AV152" s="187"/>
      <c r="AW152" s="187"/>
      <c r="AX152" s="187"/>
      <c r="AY152" s="187"/>
      <c r="AZ152" s="187"/>
      <c r="BA152" s="187"/>
      <c r="BB152" s="187"/>
      <c r="BC152" s="187"/>
      <c r="BD152" s="187"/>
      <c r="BE152" s="187"/>
      <c r="BF152" s="187"/>
      <c r="BG152" s="187"/>
      <c r="BH152" s="187"/>
    </row>
    <row r="153" spans="2:60" ht="15" customHeight="1">
      <c r="B153" s="187"/>
      <c r="C153" s="187"/>
      <c r="D153" s="187"/>
      <c r="E153" s="187"/>
      <c r="F153" s="187"/>
      <c r="G153" s="187"/>
      <c r="H153" s="187"/>
      <c r="I153" s="187"/>
      <c r="J153" s="187"/>
      <c r="K153" s="187"/>
      <c r="L153" s="187"/>
      <c r="M153" s="187"/>
      <c r="N153" s="187"/>
      <c r="O153" s="187"/>
      <c r="P153" s="187"/>
      <c r="Q153" s="187"/>
      <c r="R153" s="187"/>
      <c r="S153" s="187"/>
      <c r="T153" s="187"/>
      <c r="U153" s="187"/>
      <c r="V153" s="187"/>
      <c r="W153" s="187"/>
      <c r="X153" s="187"/>
      <c r="Y153" s="187"/>
      <c r="Z153" s="187"/>
      <c r="AA153" s="187"/>
      <c r="AB153" s="187"/>
      <c r="AC153" s="187"/>
      <c r="AD153" s="187"/>
      <c r="AE153" s="187"/>
      <c r="AF153" s="187"/>
      <c r="AG153" s="187"/>
      <c r="AH153" s="187"/>
      <c r="AI153" s="187"/>
      <c r="AJ153" s="187"/>
      <c r="AK153" s="187"/>
      <c r="AL153" s="187"/>
      <c r="AM153" s="187"/>
      <c r="AN153" s="187"/>
      <c r="AO153" s="187"/>
      <c r="AP153" s="187"/>
      <c r="AQ153" s="187"/>
      <c r="AR153" s="187"/>
      <c r="AS153" s="187"/>
      <c r="AT153" s="187"/>
      <c r="AU153" s="187"/>
      <c r="AV153" s="187"/>
      <c r="AW153" s="187"/>
      <c r="AX153" s="187"/>
      <c r="AY153" s="187"/>
      <c r="AZ153" s="187"/>
      <c r="BA153" s="187"/>
      <c r="BB153" s="187"/>
      <c r="BC153" s="187"/>
      <c r="BD153" s="187"/>
      <c r="BE153" s="187"/>
      <c r="BF153" s="187"/>
      <c r="BG153" s="187"/>
      <c r="BH153" s="187"/>
    </row>
    <row r="154" spans="2:60" ht="15" customHeight="1">
      <c r="B154" s="187"/>
      <c r="C154" s="187"/>
      <c r="D154" s="187"/>
      <c r="E154" s="187"/>
      <c r="F154" s="187"/>
      <c r="G154" s="187"/>
      <c r="H154" s="187"/>
      <c r="I154" s="187"/>
      <c r="J154" s="187"/>
      <c r="K154" s="187"/>
      <c r="L154" s="187"/>
      <c r="M154" s="187"/>
      <c r="N154" s="187"/>
      <c r="O154" s="187"/>
      <c r="P154" s="187"/>
      <c r="Q154" s="187"/>
      <c r="R154" s="187"/>
      <c r="S154" s="187"/>
      <c r="T154" s="187"/>
      <c r="U154" s="187"/>
      <c r="V154" s="187"/>
      <c r="W154" s="187"/>
      <c r="X154" s="187"/>
      <c r="Y154" s="187"/>
      <c r="Z154" s="187"/>
      <c r="AA154" s="187"/>
      <c r="AB154" s="187"/>
      <c r="AC154" s="187"/>
      <c r="AD154" s="187"/>
      <c r="AE154" s="187"/>
      <c r="AF154" s="187"/>
      <c r="AG154" s="187"/>
      <c r="AH154" s="187"/>
      <c r="AI154" s="187"/>
      <c r="AJ154" s="187"/>
      <c r="AK154" s="187"/>
      <c r="AL154" s="187"/>
      <c r="AM154" s="187"/>
      <c r="AN154" s="187"/>
      <c r="AO154" s="187"/>
      <c r="AP154" s="187"/>
      <c r="AQ154" s="187"/>
      <c r="AR154" s="187"/>
      <c r="AS154" s="187"/>
      <c r="AT154" s="187"/>
      <c r="AU154" s="187"/>
      <c r="AV154" s="187"/>
      <c r="AW154" s="187"/>
      <c r="AX154" s="187"/>
      <c r="AY154" s="187"/>
      <c r="AZ154" s="187"/>
      <c r="BA154" s="187"/>
      <c r="BB154" s="187"/>
      <c r="BC154" s="187"/>
      <c r="BD154" s="187"/>
      <c r="BE154" s="187"/>
      <c r="BF154" s="187"/>
      <c r="BG154" s="187"/>
      <c r="BH154" s="187"/>
    </row>
    <row r="155" spans="2:60" ht="15" customHeight="1">
      <c r="B155" s="187"/>
      <c r="C155" s="187"/>
      <c r="D155" s="187"/>
      <c r="E155" s="187"/>
      <c r="F155" s="187"/>
      <c r="G155" s="187"/>
      <c r="H155" s="187"/>
      <c r="I155" s="187"/>
      <c r="J155" s="187"/>
      <c r="K155" s="187"/>
      <c r="L155" s="187"/>
      <c r="M155" s="187"/>
      <c r="N155" s="187"/>
      <c r="O155" s="187"/>
      <c r="P155" s="187"/>
      <c r="Q155" s="187"/>
      <c r="R155" s="187"/>
      <c r="S155" s="187"/>
      <c r="T155" s="187"/>
      <c r="U155" s="187"/>
      <c r="V155" s="187"/>
      <c r="W155" s="187"/>
      <c r="X155" s="187"/>
      <c r="Y155" s="187"/>
      <c r="Z155" s="187"/>
      <c r="AA155" s="187"/>
      <c r="AB155" s="187"/>
      <c r="AC155" s="187"/>
      <c r="AD155" s="187"/>
      <c r="AE155" s="187"/>
      <c r="AF155" s="187"/>
      <c r="AG155" s="187"/>
      <c r="AH155" s="187"/>
      <c r="AI155" s="187"/>
      <c r="AJ155" s="187"/>
      <c r="AK155" s="187"/>
      <c r="AL155" s="187"/>
      <c r="AM155" s="187"/>
      <c r="AN155" s="187"/>
      <c r="AO155" s="187"/>
      <c r="AP155" s="187"/>
      <c r="AQ155" s="187"/>
      <c r="AR155" s="187"/>
      <c r="AS155" s="187"/>
      <c r="AT155" s="187"/>
      <c r="AU155" s="187"/>
      <c r="AV155" s="187"/>
      <c r="AW155" s="187"/>
      <c r="AX155" s="187"/>
      <c r="AY155" s="187"/>
      <c r="AZ155" s="187"/>
      <c r="BA155" s="187"/>
      <c r="BB155" s="187"/>
      <c r="BC155" s="187"/>
      <c r="BD155" s="187"/>
      <c r="BE155" s="187"/>
      <c r="BF155" s="187"/>
      <c r="BG155" s="187"/>
      <c r="BH155" s="187"/>
    </row>
    <row r="156" spans="2:60" ht="15" customHeight="1">
      <c r="B156" s="187"/>
      <c r="C156" s="187"/>
      <c r="D156" s="187"/>
      <c r="E156" s="187"/>
      <c r="F156" s="187"/>
      <c r="G156" s="187"/>
      <c r="H156" s="187"/>
      <c r="I156" s="187"/>
      <c r="J156" s="187"/>
      <c r="K156" s="187"/>
      <c r="L156" s="187"/>
      <c r="M156" s="187"/>
      <c r="N156" s="187"/>
      <c r="O156" s="187"/>
      <c r="P156" s="187"/>
      <c r="Q156" s="187"/>
      <c r="R156" s="187"/>
      <c r="S156" s="187"/>
      <c r="T156" s="187"/>
      <c r="U156" s="187"/>
      <c r="V156" s="187"/>
      <c r="W156" s="187"/>
      <c r="X156" s="187"/>
      <c r="Y156" s="187"/>
      <c r="Z156" s="187"/>
      <c r="AA156" s="187"/>
      <c r="AB156" s="187"/>
      <c r="AC156" s="187"/>
      <c r="AD156" s="187"/>
      <c r="AE156" s="187"/>
      <c r="AF156" s="187"/>
      <c r="AG156" s="187"/>
      <c r="AH156" s="187"/>
      <c r="AI156" s="187"/>
      <c r="AJ156" s="187"/>
      <c r="AK156" s="187"/>
      <c r="AL156" s="187"/>
      <c r="AM156" s="187"/>
      <c r="AN156" s="187"/>
      <c r="AO156" s="187"/>
      <c r="AP156" s="187"/>
      <c r="AQ156" s="187"/>
      <c r="AR156" s="187"/>
      <c r="AS156" s="187"/>
      <c r="AT156" s="187"/>
      <c r="AU156" s="187"/>
      <c r="AV156" s="187"/>
      <c r="AW156" s="187"/>
      <c r="AX156" s="187"/>
      <c r="AY156" s="187"/>
      <c r="AZ156" s="187"/>
      <c r="BA156" s="187"/>
      <c r="BB156" s="187"/>
      <c r="BC156" s="187"/>
      <c r="BD156" s="187"/>
      <c r="BE156" s="187"/>
      <c r="BF156" s="187"/>
      <c r="BG156" s="187"/>
      <c r="BH156" s="187"/>
    </row>
    <row r="157" spans="2:60" ht="15" customHeight="1">
      <c r="B157" s="187"/>
      <c r="C157" s="187"/>
      <c r="D157" s="187"/>
      <c r="E157" s="187"/>
      <c r="F157" s="187"/>
      <c r="G157" s="187"/>
      <c r="H157" s="187"/>
      <c r="I157" s="187"/>
      <c r="J157" s="187"/>
      <c r="K157" s="187"/>
      <c r="L157" s="187"/>
      <c r="M157" s="187"/>
      <c r="N157" s="187"/>
      <c r="O157" s="187"/>
      <c r="P157" s="187"/>
      <c r="Q157" s="187"/>
      <c r="R157" s="187"/>
      <c r="S157" s="187"/>
      <c r="T157" s="187"/>
      <c r="U157" s="187"/>
      <c r="V157" s="187"/>
      <c r="W157" s="187"/>
      <c r="X157" s="187"/>
      <c r="Y157" s="187"/>
      <c r="Z157" s="187"/>
      <c r="AA157" s="187"/>
      <c r="AB157" s="187"/>
      <c r="AC157" s="187"/>
      <c r="AD157" s="187"/>
      <c r="AE157" s="187"/>
      <c r="AF157" s="187"/>
      <c r="AG157" s="187"/>
      <c r="AH157" s="187"/>
      <c r="AI157" s="187"/>
      <c r="AJ157" s="187"/>
      <c r="AK157" s="187"/>
      <c r="AL157" s="187"/>
      <c r="AM157" s="187"/>
      <c r="AN157" s="187"/>
      <c r="AO157" s="187"/>
      <c r="AP157" s="187"/>
      <c r="AQ157" s="187"/>
      <c r="AR157" s="187"/>
      <c r="AS157" s="187"/>
      <c r="AT157" s="187"/>
      <c r="AU157" s="187"/>
      <c r="AV157" s="187"/>
      <c r="AW157" s="187"/>
      <c r="AX157" s="187"/>
      <c r="AY157" s="187"/>
      <c r="AZ157" s="187"/>
      <c r="BA157" s="187"/>
      <c r="BB157" s="187"/>
      <c r="BC157" s="187"/>
      <c r="BD157" s="187"/>
      <c r="BE157" s="187"/>
      <c r="BF157" s="187"/>
      <c r="BG157" s="187"/>
      <c r="BH157" s="187"/>
    </row>
    <row r="158" spans="2:60" ht="15" customHeight="1">
      <c r="B158" s="187"/>
      <c r="C158" s="187"/>
      <c r="D158" s="187"/>
      <c r="E158" s="187"/>
      <c r="F158" s="187"/>
      <c r="G158" s="187"/>
      <c r="H158" s="187"/>
      <c r="I158" s="187"/>
      <c r="J158" s="187"/>
      <c r="K158" s="187"/>
      <c r="L158" s="187"/>
      <c r="M158" s="187"/>
      <c r="N158" s="187"/>
      <c r="O158" s="187"/>
      <c r="P158" s="187"/>
      <c r="Q158" s="187"/>
      <c r="R158" s="187"/>
      <c r="S158" s="187"/>
      <c r="T158" s="187"/>
      <c r="U158" s="187"/>
      <c r="V158" s="187"/>
      <c r="W158" s="187"/>
      <c r="X158" s="187"/>
      <c r="Y158" s="187"/>
      <c r="Z158" s="187"/>
      <c r="AA158" s="187"/>
      <c r="AB158" s="187"/>
      <c r="AC158" s="187"/>
      <c r="AD158" s="187"/>
      <c r="AE158" s="187"/>
      <c r="AF158" s="187"/>
      <c r="AG158" s="187"/>
      <c r="AH158" s="187"/>
      <c r="AI158" s="187"/>
      <c r="AJ158" s="187"/>
      <c r="AK158" s="187"/>
      <c r="AL158" s="187"/>
      <c r="AM158" s="187"/>
      <c r="AN158" s="187"/>
      <c r="AO158" s="187"/>
      <c r="AP158" s="187"/>
      <c r="AQ158" s="187"/>
      <c r="AR158" s="187"/>
      <c r="AS158" s="187"/>
      <c r="AT158" s="187"/>
      <c r="AU158" s="187"/>
      <c r="AV158" s="187"/>
      <c r="AW158" s="187"/>
      <c r="AX158" s="187"/>
      <c r="AY158" s="187"/>
      <c r="AZ158" s="187"/>
      <c r="BA158" s="187"/>
      <c r="BB158" s="187"/>
      <c r="BC158" s="187"/>
      <c r="BD158" s="187"/>
      <c r="BE158" s="187"/>
      <c r="BF158" s="187"/>
      <c r="BG158" s="187"/>
      <c r="BH158" s="187"/>
    </row>
    <row r="159" spans="2:60" ht="15" customHeight="1">
      <c r="B159" s="187"/>
      <c r="C159" s="187"/>
      <c r="D159" s="187"/>
      <c r="E159" s="187"/>
      <c r="F159" s="187"/>
      <c r="G159" s="187"/>
      <c r="H159" s="187"/>
      <c r="I159" s="187"/>
      <c r="J159" s="187"/>
      <c r="K159" s="187"/>
      <c r="L159" s="187"/>
      <c r="M159" s="187"/>
      <c r="N159" s="187"/>
      <c r="O159" s="187"/>
      <c r="P159" s="187"/>
      <c r="Q159" s="187"/>
      <c r="R159" s="187"/>
      <c r="S159" s="187"/>
      <c r="T159" s="187"/>
      <c r="U159" s="187"/>
      <c r="V159" s="187"/>
      <c r="W159" s="187"/>
      <c r="X159" s="187"/>
      <c r="Y159" s="187"/>
      <c r="Z159" s="187"/>
      <c r="AA159" s="187"/>
      <c r="AB159" s="187"/>
      <c r="AC159" s="187"/>
      <c r="AD159" s="187"/>
      <c r="AE159" s="187"/>
      <c r="AF159" s="187"/>
      <c r="AG159" s="187"/>
      <c r="AH159" s="187"/>
      <c r="AI159" s="187"/>
      <c r="AJ159" s="187"/>
      <c r="AK159" s="187"/>
      <c r="AL159" s="187"/>
      <c r="AM159" s="187"/>
      <c r="AN159" s="187"/>
      <c r="AO159" s="187"/>
      <c r="AP159" s="187"/>
      <c r="AQ159" s="187"/>
      <c r="AR159" s="187"/>
      <c r="AS159" s="187"/>
      <c r="AT159" s="187"/>
      <c r="AU159" s="187"/>
      <c r="AV159" s="187"/>
      <c r="AW159" s="187"/>
      <c r="AX159" s="187"/>
      <c r="AY159" s="187"/>
      <c r="AZ159" s="187"/>
      <c r="BA159" s="187"/>
      <c r="BB159" s="187"/>
      <c r="BC159" s="187"/>
      <c r="BD159" s="187"/>
      <c r="BE159" s="187"/>
      <c r="BF159" s="187"/>
      <c r="BG159" s="187"/>
      <c r="BH159" s="187"/>
    </row>
    <row r="160" spans="2:60" ht="15" customHeight="1">
      <c r="B160" s="187"/>
      <c r="C160" s="187"/>
      <c r="D160" s="187"/>
      <c r="E160" s="187"/>
      <c r="F160" s="187"/>
      <c r="G160" s="187"/>
      <c r="H160" s="187"/>
      <c r="I160" s="187"/>
      <c r="J160" s="187"/>
      <c r="K160" s="187"/>
      <c r="L160" s="187"/>
      <c r="M160" s="187"/>
      <c r="N160" s="187"/>
      <c r="O160" s="187"/>
      <c r="P160" s="187"/>
      <c r="Q160" s="187"/>
      <c r="R160" s="187"/>
      <c r="S160" s="187"/>
      <c r="T160" s="187"/>
      <c r="U160" s="187"/>
      <c r="V160" s="187"/>
      <c r="W160" s="187"/>
      <c r="X160" s="187"/>
      <c r="Y160" s="187"/>
      <c r="Z160" s="187"/>
      <c r="AA160" s="187"/>
      <c r="AB160" s="187"/>
      <c r="AC160" s="187"/>
      <c r="AD160" s="187"/>
      <c r="AE160" s="187"/>
      <c r="AF160" s="187"/>
      <c r="AG160" s="187"/>
      <c r="AH160" s="187"/>
      <c r="AI160" s="187"/>
      <c r="AJ160" s="187"/>
      <c r="AK160" s="187"/>
      <c r="AL160" s="187"/>
      <c r="AM160" s="187"/>
      <c r="AN160" s="187"/>
      <c r="AO160" s="187"/>
      <c r="AP160" s="187"/>
      <c r="AQ160" s="187"/>
      <c r="AR160" s="187"/>
      <c r="AS160" s="187"/>
      <c r="AT160" s="187"/>
      <c r="AU160" s="187"/>
      <c r="AV160" s="187"/>
      <c r="AW160" s="187"/>
      <c r="AX160" s="187"/>
      <c r="AY160" s="187"/>
      <c r="AZ160" s="187"/>
      <c r="BA160" s="187"/>
      <c r="BB160" s="187"/>
      <c r="BC160" s="187"/>
      <c r="BD160" s="187"/>
      <c r="BE160" s="187"/>
      <c r="BF160" s="187"/>
      <c r="BG160" s="187"/>
      <c r="BH160" s="187"/>
    </row>
    <row r="161" spans="2:60" ht="15" customHeight="1">
      <c r="B161" s="187"/>
      <c r="C161" s="187"/>
      <c r="D161" s="187"/>
      <c r="E161" s="187"/>
      <c r="F161" s="187"/>
      <c r="G161" s="187"/>
      <c r="H161" s="187"/>
      <c r="I161" s="187"/>
      <c r="J161" s="187"/>
      <c r="K161" s="187"/>
      <c r="L161" s="187"/>
      <c r="M161" s="187"/>
      <c r="N161" s="187"/>
      <c r="O161" s="187"/>
      <c r="P161" s="187"/>
      <c r="Q161" s="187"/>
      <c r="R161" s="187"/>
      <c r="S161" s="187"/>
      <c r="T161" s="187"/>
      <c r="U161" s="187"/>
      <c r="V161" s="187"/>
      <c r="W161" s="187"/>
      <c r="X161" s="187"/>
      <c r="Y161" s="187"/>
      <c r="Z161" s="187"/>
      <c r="AA161" s="187"/>
      <c r="AB161" s="187"/>
      <c r="AC161" s="187"/>
      <c r="AD161" s="187"/>
      <c r="AE161" s="187"/>
      <c r="AF161" s="187"/>
      <c r="AG161" s="187"/>
      <c r="AH161" s="187"/>
      <c r="AI161" s="187"/>
      <c r="AJ161" s="187"/>
      <c r="AK161" s="187"/>
      <c r="AL161" s="187"/>
      <c r="AM161" s="187"/>
      <c r="AN161" s="187"/>
      <c r="AO161" s="187"/>
      <c r="AP161" s="187"/>
      <c r="AQ161" s="187"/>
      <c r="AR161" s="187"/>
      <c r="AS161" s="187"/>
      <c r="AT161" s="187"/>
      <c r="AU161" s="187"/>
      <c r="AV161" s="187"/>
      <c r="AW161" s="187"/>
      <c r="AX161" s="187"/>
      <c r="AY161" s="187"/>
      <c r="AZ161" s="187"/>
      <c r="BA161" s="187"/>
      <c r="BB161" s="187"/>
      <c r="BC161" s="187"/>
      <c r="BD161" s="187"/>
      <c r="BE161" s="187"/>
      <c r="BF161" s="187"/>
      <c r="BG161" s="187"/>
      <c r="BH161" s="187"/>
    </row>
    <row r="162" spans="2:60" ht="15" customHeight="1">
      <c r="B162" s="187"/>
      <c r="C162" s="187"/>
      <c r="D162" s="187"/>
      <c r="E162" s="187"/>
      <c r="F162" s="187"/>
      <c r="G162" s="187"/>
      <c r="H162" s="187"/>
      <c r="I162" s="187"/>
      <c r="J162" s="187"/>
      <c r="K162" s="187"/>
      <c r="L162" s="187"/>
      <c r="M162" s="187"/>
      <c r="N162" s="187"/>
      <c r="O162" s="187"/>
      <c r="P162" s="187"/>
      <c r="Q162" s="187"/>
      <c r="R162" s="187"/>
      <c r="S162" s="187"/>
      <c r="T162" s="187"/>
      <c r="U162" s="187"/>
      <c r="V162" s="187"/>
      <c r="W162" s="187"/>
      <c r="X162" s="187"/>
      <c r="Y162" s="187"/>
      <c r="Z162" s="187"/>
      <c r="AA162" s="187"/>
      <c r="AB162" s="187"/>
      <c r="AC162" s="187"/>
      <c r="AD162" s="187"/>
      <c r="AE162" s="187"/>
      <c r="AF162" s="187"/>
      <c r="AG162" s="187"/>
      <c r="AH162" s="187"/>
      <c r="AI162" s="187"/>
      <c r="AJ162" s="187"/>
      <c r="AK162" s="187"/>
      <c r="AL162" s="187"/>
      <c r="AM162" s="187"/>
      <c r="AN162" s="187"/>
      <c r="AO162" s="187"/>
      <c r="AP162" s="187"/>
      <c r="AQ162" s="187"/>
      <c r="AR162" s="187"/>
      <c r="AS162" s="187"/>
      <c r="AT162" s="187"/>
      <c r="AU162" s="187"/>
      <c r="AV162" s="187"/>
      <c r="AW162" s="187"/>
      <c r="AX162" s="187"/>
      <c r="AY162" s="187"/>
      <c r="AZ162" s="187"/>
      <c r="BA162" s="187"/>
      <c r="BB162" s="187"/>
      <c r="BC162" s="187"/>
      <c r="BD162" s="187"/>
      <c r="BE162" s="187"/>
      <c r="BF162" s="187"/>
      <c r="BG162" s="187"/>
      <c r="BH162" s="187"/>
    </row>
    <row r="163" spans="2:60" ht="15" customHeight="1">
      <c r="B163" s="187"/>
      <c r="C163" s="187"/>
      <c r="D163" s="187"/>
      <c r="E163" s="187"/>
      <c r="F163" s="187"/>
      <c r="G163" s="187"/>
      <c r="H163" s="187"/>
      <c r="I163" s="187"/>
      <c r="J163" s="187"/>
      <c r="K163" s="187"/>
      <c r="L163" s="187"/>
      <c r="M163" s="187"/>
      <c r="N163" s="187"/>
      <c r="O163" s="187"/>
      <c r="P163" s="187"/>
      <c r="Q163" s="187"/>
      <c r="R163" s="187"/>
      <c r="S163" s="187"/>
      <c r="T163" s="187"/>
      <c r="U163" s="187"/>
      <c r="V163" s="187"/>
      <c r="W163" s="187"/>
      <c r="X163" s="187"/>
      <c r="Y163" s="187"/>
      <c r="Z163" s="187"/>
      <c r="AA163" s="187"/>
      <c r="AB163" s="187"/>
      <c r="AC163" s="187"/>
      <c r="AD163" s="187"/>
      <c r="AE163" s="187"/>
      <c r="AF163" s="187"/>
      <c r="AG163" s="187"/>
      <c r="AH163" s="187"/>
      <c r="AI163" s="187"/>
      <c r="AJ163" s="187"/>
      <c r="AK163" s="187"/>
      <c r="AL163" s="187"/>
      <c r="AM163" s="187"/>
      <c r="AN163" s="187"/>
      <c r="AO163" s="187"/>
      <c r="AP163" s="187"/>
      <c r="AQ163" s="187"/>
      <c r="AR163" s="187"/>
      <c r="AS163" s="187"/>
      <c r="AT163" s="187"/>
      <c r="AU163" s="187"/>
      <c r="AV163" s="187"/>
      <c r="AW163" s="187"/>
      <c r="AX163" s="187"/>
      <c r="AY163" s="187"/>
      <c r="AZ163" s="187"/>
      <c r="BA163" s="187"/>
      <c r="BB163" s="187"/>
      <c r="BC163" s="187"/>
      <c r="BD163" s="187"/>
      <c r="BE163" s="187"/>
      <c r="BF163" s="187"/>
      <c r="BG163" s="187"/>
      <c r="BH163" s="187"/>
    </row>
    <row r="164" spans="2:60" ht="15" customHeight="1">
      <c r="B164" s="187"/>
      <c r="C164" s="187"/>
      <c r="D164" s="187"/>
      <c r="E164" s="187"/>
      <c r="F164" s="187"/>
      <c r="G164" s="187"/>
      <c r="H164" s="187"/>
      <c r="I164" s="187"/>
      <c r="J164" s="187"/>
      <c r="K164" s="187"/>
      <c r="L164" s="187"/>
      <c r="M164" s="187"/>
      <c r="N164" s="187"/>
      <c r="O164" s="187"/>
      <c r="P164" s="187"/>
      <c r="Q164" s="187"/>
      <c r="R164" s="187"/>
      <c r="S164" s="187"/>
      <c r="T164" s="187"/>
      <c r="U164" s="187"/>
      <c r="V164" s="187"/>
      <c r="W164" s="187"/>
      <c r="X164" s="187"/>
      <c r="Y164" s="187"/>
      <c r="Z164" s="187"/>
      <c r="AA164" s="187"/>
      <c r="AB164" s="187"/>
      <c r="AC164" s="187"/>
      <c r="AD164" s="187"/>
      <c r="AE164" s="187"/>
      <c r="AF164" s="187"/>
      <c r="AG164" s="187"/>
      <c r="AH164" s="187"/>
      <c r="AI164" s="187"/>
      <c r="AJ164" s="187"/>
      <c r="AK164" s="187"/>
      <c r="AL164" s="187"/>
      <c r="AM164" s="187"/>
      <c r="AN164" s="187"/>
      <c r="AO164" s="187"/>
      <c r="AP164" s="187"/>
      <c r="AQ164" s="187"/>
      <c r="AR164" s="187"/>
      <c r="AS164" s="187"/>
      <c r="AT164" s="187"/>
      <c r="AU164" s="187"/>
      <c r="AV164" s="187"/>
      <c r="AW164" s="187"/>
      <c r="AX164" s="187"/>
      <c r="AY164" s="187"/>
      <c r="AZ164" s="187"/>
      <c r="BA164" s="187"/>
      <c r="BB164" s="187"/>
      <c r="BC164" s="187"/>
      <c r="BD164" s="187"/>
      <c r="BE164" s="187"/>
      <c r="BF164" s="187"/>
      <c r="BG164" s="187"/>
      <c r="BH164" s="187"/>
    </row>
    <row r="165" spans="2:60" ht="15" customHeight="1">
      <c r="B165" s="187"/>
      <c r="C165" s="187"/>
      <c r="D165" s="187"/>
      <c r="E165" s="187"/>
      <c r="F165" s="187"/>
      <c r="G165" s="187"/>
      <c r="H165" s="187"/>
      <c r="I165" s="187"/>
      <c r="J165" s="187"/>
      <c r="K165" s="187"/>
      <c r="L165" s="187"/>
      <c r="M165" s="187"/>
      <c r="N165" s="187"/>
      <c r="O165" s="187"/>
      <c r="P165" s="187"/>
      <c r="Q165" s="187"/>
      <c r="R165" s="187"/>
      <c r="S165" s="187"/>
      <c r="T165" s="187"/>
      <c r="U165" s="187"/>
      <c r="V165" s="187"/>
      <c r="W165" s="187"/>
      <c r="X165" s="187"/>
      <c r="Y165" s="187"/>
      <c r="Z165" s="187"/>
      <c r="AA165" s="187"/>
      <c r="AB165" s="187"/>
      <c r="AC165" s="187"/>
      <c r="AD165" s="187"/>
      <c r="AE165" s="187"/>
      <c r="AF165" s="187"/>
      <c r="AG165" s="187"/>
      <c r="AH165" s="187"/>
      <c r="AI165" s="187"/>
      <c r="AJ165" s="187"/>
      <c r="AK165" s="187"/>
      <c r="AL165" s="187"/>
      <c r="AM165" s="187"/>
      <c r="AN165" s="187"/>
      <c r="AO165" s="187"/>
      <c r="AP165" s="187"/>
      <c r="AQ165" s="187"/>
      <c r="AR165" s="187"/>
      <c r="AS165" s="187"/>
      <c r="AT165" s="187"/>
      <c r="AU165" s="187"/>
      <c r="AV165" s="187"/>
      <c r="AW165" s="187"/>
      <c r="AX165" s="187"/>
      <c r="AY165" s="187"/>
      <c r="AZ165" s="187"/>
      <c r="BA165" s="187"/>
      <c r="BB165" s="187"/>
      <c r="BC165" s="187"/>
      <c r="BD165" s="187"/>
      <c r="BE165" s="187"/>
      <c r="BF165" s="187"/>
      <c r="BG165" s="187"/>
      <c r="BH165" s="187"/>
    </row>
    <row r="166" spans="2:60" ht="15" customHeight="1">
      <c r="B166" s="187"/>
      <c r="C166" s="187"/>
      <c r="D166" s="187"/>
      <c r="E166" s="187"/>
      <c r="F166" s="187"/>
      <c r="G166" s="187"/>
      <c r="H166" s="187"/>
      <c r="I166" s="187"/>
      <c r="J166" s="187"/>
      <c r="K166" s="187"/>
      <c r="L166" s="187"/>
      <c r="M166" s="187"/>
      <c r="N166" s="187"/>
      <c r="O166" s="187"/>
      <c r="P166" s="187"/>
      <c r="Q166" s="187"/>
      <c r="R166" s="187"/>
      <c r="S166" s="187"/>
      <c r="T166" s="187"/>
      <c r="U166" s="187"/>
      <c r="V166" s="187"/>
      <c r="W166" s="187"/>
      <c r="X166" s="187"/>
      <c r="Y166" s="187"/>
      <c r="Z166" s="187"/>
      <c r="AA166" s="187"/>
      <c r="AB166" s="187"/>
      <c r="AC166" s="187"/>
      <c r="AD166" s="187"/>
      <c r="AE166" s="187"/>
      <c r="AF166" s="187"/>
      <c r="AG166" s="187"/>
      <c r="AH166" s="187"/>
      <c r="AI166" s="187"/>
      <c r="AJ166" s="187"/>
      <c r="AK166" s="187"/>
      <c r="AL166" s="187"/>
      <c r="AM166" s="187"/>
      <c r="AN166" s="187"/>
      <c r="AO166" s="187"/>
      <c r="AP166" s="187"/>
      <c r="AQ166" s="187"/>
      <c r="AR166" s="187"/>
      <c r="AS166" s="187"/>
      <c r="AT166" s="187"/>
      <c r="AU166" s="187"/>
      <c r="AV166" s="187"/>
      <c r="AW166" s="187"/>
      <c r="AX166" s="187"/>
      <c r="AY166" s="187"/>
      <c r="AZ166" s="187"/>
      <c r="BA166" s="187"/>
      <c r="BB166" s="187"/>
      <c r="BC166" s="187"/>
      <c r="BD166" s="187"/>
      <c r="BE166" s="187"/>
      <c r="BF166" s="187"/>
      <c r="BG166" s="187"/>
      <c r="BH166" s="187"/>
    </row>
    <row r="167" spans="2:60" ht="15" customHeight="1">
      <c r="B167" s="187"/>
      <c r="C167" s="187"/>
      <c r="D167" s="187"/>
      <c r="E167" s="187"/>
      <c r="F167" s="187"/>
      <c r="G167" s="187"/>
      <c r="H167" s="187"/>
      <c r="I167" s="187"/>
      <c r="J167" s="187"/>
      <c r="K167" s="187"/>
      <c r="L167" s="187"/>
      <c r="M167" s="187"/>
      <c r="N167" s="187"/>
      <c r="O167" s="187"/>
      <c r="P167" s="187"/>
      <c r="Q167" s="187"/>
      <c r="R167" s="187"/>
      <c r="S167" s="187"/>
      <c r="T167" s="187"/>
      <c r="U167" s="187"/>
      <c r="V167" s="187"/>
      <c r="W167" s="187"/>
      <c r="X167" s="187"/>
      <c r="Y167" s="187"/>
      <c r="Z167" s="187"/>
      <c r="AA167" s="187"/>
      <c r="AB167" s="187"/>
      <c r="AC167" s="187"/>
      <c r="AD167" s="187"/>
      <c r="AE167" s="187"/>
      <c r="AF167" s="187"/>
      <c r="AG167" s="187"/>
      <c r="AH167" s="187"/>
      <c r="AI167" s="187"/>
      <c r="AJ167" s="187"/>
      <c r="AK167" s="187"/>
      <c r="AL167" s="187"/>
      <c r="AM167" s="187"/>
      <c r="AN167" s="187"/>
      <c r="AO167" s="187"/>
      <c r="AP167" s="187"/>
      <c r="AQ167" s="187"/>
      <c r="AR167" s="187"/>
      <c r="AS167" s="187"/>
      <c r="AT167" s="187"/>
      <c r="AU167" s="187"/>
      <c r="AV167" s="187"/>
      <c r="AW167" s="187"/>
      <c r="AX167" s="187"/>
      <c r="AY167" s="187"/>
      <c r="AZ167" s="187"/>
      <c r="BA167" s="187"/>
      <c r="BB167" s="187"/>
      <c r="BC167" s="187"/>
      <c r="BD167" s="187"/>
      <c r="BE167" s="187"/>
      <c r="BF167" s="187"/>
      <c r="BG167" s="187"/>
      <c r="BH167" s="187"/>
    </row>
    <row r="168" spans="2:60" ht="15" customHeight="1">
      <c r="B168" s="187"/>
      <c r="C168" s="187"/>
      <c r="D168" s="187"/>
      <c r="E168" s="187"/>
      <c r="F168" s="187"/>
      <c r="G168" s="187"/>
      <c r="H168" s="187"/>
      <c r="I168" s="187"/>
      <c r="J168" s="187"/>
      <c r="K168" s="187"/>
      <c r="L168" s="187"/>
      <c r="M168" s="187"/>
      <c r="N168" s="187"/>
      <c r="O168" s="187"/>
      <c r="P168" s="187"/>
      <c r="Q168" s="187"/>
      <c r="R168" s="187"/>
      <c r="S168" s="187"/>
      <c r="T168" s="187"/>
      <c r="U168" s="187"/>
      <c r="V168" s="187"/>
      <c r="W168" s="187"/>
      <c r="X168" s="187"/>
      <c r="Y168" s="187"/>
      <c r="Z168" s="187"/>
      <c r="AA168" s="187"/>
      <c r="AB168" s="187"/>
      <c r="AC168" s="187"/>
      <c r="AD168" s="187"/>
      <c r="AE168" s="187"/>
      <c r="AF168" s="187"/>
      <c r="AG168" s="187"/>
      <c r="AH168" s="187"/>
      <c r="AI168" s="187"/>
      <c r="AJ168" s="187"/>
      <c r="AK168" s="187"/>
      <c r="AL168" s="187"/>
      <c r="AM168" s="187"/>
      <c r="AN168" s="187"/>
      <c r="AO168" s="187"/>
      <c r="AP168" s="187"/>
      <c r="AQ168" s="187"/>
      <c r="AR168" s="187"/>
      <c r="AS168" s="187"/>
      <c r="AT168" s="187"/>
      <c r="AU168" s="187"/>
      <c r="AV168" s="187"/>
      <c r="AW168" s="187"/>
      <c r="AX168" s="187"/>
      <c r="AY168" s="187"/>
      <c r="AZ168" s="187"/>
      <c r="BA168" s="187"/>
      <c r="BB168" s="187"/>
      <c r="BC168" s="187"/>
      <c r="BD168" s="187"/>
      <c r="BE168" s="187"/>
      <c r="BF168" s="187"/>
      <c r="BG168" s="187"/>
      <c r="BH168" s="187"/>
    </row>
    <row r="169" spans="2:60" ht="15" customHeight="1">
      <c r="B169" s="187"/>
      <c r="C169" s="187"/>
      <c r="D169" s="187"/>
      <c r="E169" s="187"/>
      <c r="F169" s="187"/>
      <c r="G169" s="187"/>
      <c r="H169" s="187"/>
      <c r="I169" s="187"/>
      <c r="J169" s="187"/>
      <c r="K169" s="187"/>
      <c r="L169" s="187"/>
      <c r="M169" s="187"/>
      <c r="N169" s="187"/>
      <c r="O169" s="187"/>
      <c r="P169" s="187"/>
      <c r="Q169" s="187"/>
      <c r="R169" s="187"/>
      <c r="S169" s="187"/>
      <c r="T169" s="187"/>
      <c r="U169" s="187"/>
      <c r="V169" s="187"/>
      <c r="W169" s="187"/>
      <c r="X169" s="187"/>
      <c r="Y169" s="187"/>
      <c r="Z169" s="187"/>
      <c r="AA169" s="187"/>
      <c r="AB169" s="187"/>
      <c r="AC169" s="187"/>
      <c r="AD169" s="187"/>
      <c r="AE169" s="187"/>
      <c r="AF169" s="187"/>
      <c r="AG169" s="187"/>
      <c r="AH169" s="187"/>
      <c r="AI169" s="187"/>
      <c r="AJ169" s="187"/>
      <c r="AK169" s="187"/>
      <c r="AL169" s="187"/>
      <c r="AM169" s="187"/>
      <c r="AN169" s="187"/>
      <c r="AO169" s="187"/>
      <c r="AP169" s="187"/>
      <c r="AQ169" s="187"/>
      <c r="AR169" s="187"/>
      <c r="AS169" s="187"/>
      <c r="AT169" s="187"/>
      <c r="AU169" s="187"/>
      <c r="AV169" s="187"/>
      <c r="AW169" s="187"/>
      <c r="AX169" s="187"/>
      <c r="AY169" s="187"/>
      <c r="AZ169" s="187"/>
      <c r="BA169" s="187"/>
      <c r="BB169" s="187"/>
      <c r="BC169" s="187"/>
      <c r="BD169" s="187"/>
      <c r="BE169" s="187"/>
      <c r="BF169" s="187"/>
      <c r="BG169" s="187"/>
      <c r="BH169" s="187"/>
    </row>
    <row r="170" spans="2:60" ht="15" customHeight="1">
      <c r="B170" s="187"/>
      <c r="C170" s="187"/>
      <c r="D170" s="187"/>
      <c r="E170" s="187"/>
      <c r="F170" s="187"/>
      <c r="G170" s="187"/>
      <c r="H170" s="187"/>
      <c r="I170" s="187"/>
      <c r="J170" s="187"/>
      <c r="K170" s="187"/>
      <c r="L170" s="187"/>
      <c r="M170" s="187"/>
      <c r="N170" s="187"/>
      <c r="O170" s="187"/>
      <c r="P170" s="187"/>
      <c r="Q170" s="187"/>
      <c r="R170" s="187"/>
      <c r="S170" s="187"/>
      <c r="T170" s="187"/>
      <c r="U170" s="187"/>
      <c r="V170" s="187"/>
      <c r="W170" s="187"/>
      <c r="X170" s="187"/>
      <c r="Y170" s="187"/>
      <c r="Z170" s="187"/>
      <c r="AA170" s="187"/>
      <c r="AB170" s="187"/>
      <c r="AC170" s="187"/>
      <c r="AD170" s="187"/>
      <c r="AE170" s="187"/>
      <c r="AF170" s="187"/>
      <c r="AG170" s="187"/>
      <c r="AH170" s="187"/>
      <c r="AI170" s="187"/>
      <c r="AJ170" s="187"/>
      <c r="AK170" s="187"/>
      <c r="AL170" s="187"/>
      <c r="AM170" s="187"/>
      <c r="AN170" s="187"/>
      <c r="AO170" s="187"/>
      <c r="AP170" s="187"/>
      <c r="AQ170" s="187"/>
      <c r="AR170" s="187"/>
      <c r="AS170" s="187"/>
      <c r="AT170" s="187"/>
      <c r="AU170" s="187"/>
      <c r="AV170" s="187"/>
      <c r="AW170" s="187"/>
      <c r="AX170" s="187"/>
      <c r="AY170" s="187"/>
      <c r="AZ170" s="187"/>
      <c r="BA170" s="187"/>
      <c r="BB170" s="187"/>
      <c r="BC170" s="187"/>
      <c r="BD170" s="187"/>
      <c r="BE170" s="187"/>
      <c r="BF170" s="187"/>
      <c r="BG170" s="187"/>
      <c r="BH170" s="187"/>
    </row>
    <row r="171" spans="2:60" ht="15" customHeight="1">
      <c r="B171" s="187"/>
      <c r="C171" s="187"/>
      <c r="D171" s="187"/>
      <c r="E171" s="187"/>
      <c r="F171" s="187"/>
      <c r="G171" s="187"/>
      <c r="H171" s="187"/>
      <c r="I171" s="187"/>
      <c r="J171" s="187"/>
      <c r="K171" s="187"/>
      <c r="L171" s="187"/>
      <c r="M171" s="187"/>
      <c r="N171" s="187"/>
      <c r="O171" s="187"/>
      <c r="P171" s="187"/>
      <c r="Q171" s="187"/>
      <c r="R171" s="187"/>
      <c r="S171" s="187"/>
      <c r="T171" s="187"/>
      <c r="U171" s="187"/>
      <c r="V171" s="187"/>
      <c r="W171" s="187"/>
      <c r="X171" s="187"/>
      <c r="Y171" s="187"/>
      <c r="Z171" s="187"/>
      <c r="AA171" s="187"/>
      <c r="AB171" s="187"/>
      <c r="AC171" s="187"/>
      <c r="AD171" s="187"/>
      <c r="AE171" s="187"/>
      <c r="AF171" s="187"/>
      <c r="AG171" s="187"/>
      <c r="AH171" s="187"/>
      <c r="AI171" s="187"/>
      <c r="AJ171" s="187"/>
      <c r="AK171" s="187"/>
      <c r="AL171" s="187"/>
      <c r="AM171" s="187"/>
      <c r="AN171" s="187"/>
      <c r="AO171" s="187"/>
      <c r="AP171" s="187"/>
      <c r="AQ171" s="187"/>
      <c r="AR171" s="187"/>
      <c r="AS171" s="187"/>
      <c r="AT171" s="187"/>
      <c r="AU171" s="187"/>
      <c r="AV171" s="187"/>
      <c r="AW171" s="187"/>
      <c r="AX171" s="187"/>
      <c r="AY171" s="187"/>
      <c r="AZ171" s="187"/>
      <c r="BA171" s="187"/>
      <c r="BB171" s="187"/>
      <c r="BC171" s="187"/>
      <c r="BD171" s="187"/>
      <c r="BE171" s="187"/>
      <c r="BF171" s="187"/>
      <c r="BG171" s="187"/>
      <c r="BH171" s="187"/>
    </row>
    <row r="172" spans="2:60" ht="15" customHeight="1">
      <c r="B172" s="187"/>
      <c r="C172" s="187"/>
      <c r="D172" s="187"/>
      <c r="E172" s="187"/>
      <c r="F172" s="187"/>
      <c r="G172" s="187"/>
      <c r="H172" s="187"/>
      <c r="I172" s="187"/>
      <c r="J172" s="187"/>
      <c r="K172" s="187"/>
      <c r="L172" s="187"/>
      <c r="M172" s="187"/>
      <c r="N172" s="187"/>
      <c r="O172" s="187"/>
      <c r="P172" s="187"/>
      <c r="Q172" s="187"/>
      <c r="R172" s="187"/>
      <c r="S172" s="187"/>
      <c r="T172" s="187"/>
      <c r="U172" s="187"/>
      <c r="V172" s="187"/>
      <c r="W172" s="187"/>
      <c r="X172" s="187"/>
      <c r="Y172" s="187"/>
      <c r="Z172" s="187"/>
      <c r="AA172" s="187"/>
      <c r="AB172" s="187"/>
      <c r="AC172" s="187"/>
      <c r="AD172" s="187"/>
      <c r="AE172" s="187"/>
      <c r="AF172" s="187"/>
      <c r="AG172" s="187"/>
      <c r="AH172" s="187"/>
      <c r="AI172" s="187"/>
      <c r="AJ172" s="187"/>
      <c r="AK172" s="187"/>
      <c r="AL172" s="187"/>
      <c r="AM172" s="187"/>
      <c r="AN172" s="187"/>
      <c r="AO172" s="187"/>
      <c r="AP172" s="187"/>
      <c r="AQ172" s="187"/>
      <c r="AR172" s="187"/>
      <c r="AS172" s="187"/>
      <c r="AT172" s="187"/>
      <c r="AU172" s="187"/>
      <c r="AV172" s="187"/>
      <c r="AW172" s="187"/>
      <c r="AX172" s="187"/>
      <c r="AY172" s="187"/>
      <c r="AZ172" s="187"/>
      <c r="BA172" s="187"/>
      <c r="BB172" s="187"/>
      <c r="BC172" s="187"/>
      <c r="BD172" s="187"/>
      <c r="BE172" s="187"/>
      <c r="BF172" s="187"/>
      <c r="BG172" s="187"/>
      <c r="BH172" s="187"/>
    </row>
    <row r="173" spans="2:60" ht="15" customHeight="1">
      <c r="B173" s="187"/>
      <c r="C173" s="187"/>
      <c r="D173" s="187"/>
      <c r="E173" s="187"/>
      <c r="F173" s="187"/>
      <c r="G173" s="187"/>
      <c r="H173" s="187"/>
      <c r="I173" s="187"/>
      <c r="J173" s="187"/>
      <c r="K173" s="187"/>
      <c r="L173" s="187"/>
      <c r="M173" s="187"/>
      <c r="N173" s="187"/>
      <c r="O173" s="187"/>
      <c r="P173" s="187"/>
      <c r="Q173" s="187"/>
      <c r="R173" s="187"/>
      <c r="S173" s="187"/>
      <c r="T173" s="187"/>
      <c r="U173" s="187"/>
      <c r="V173" s="187"/>
      <c r="W173" s="187"/>
      <c r="X173" s="187"/>
      <c r="Y173" s="187"/>
      <c r="Z173" s="187"/>
      <c r="AA173" s="187"/>
      <c r="AB173" s="187"/>
      <c r="AC173" s="187"/>
      <c r="AD173" s="187"/>
      <c r="AE173" s="187"/>
      <c r="AF173" s="187"/>
      <c r="AG173" s="187"/>
      <c r="AH173" s="187"/>
      <c r="AI173" s="187"/>
      <c r="AJ173" s="187"/>
      <c r="AK173" s="187"/>
      <c r="AL173" s="187"/>
      <c r="AM173" s="187"/>
      <c r="AN173" s="187"/>
      <c r="AO173" s="187"/>
      <c r="AP173" s="187"/>
      <c r="AQ173" s="187"/>
      <c r="AR173" s="187"/>
      <c r="AS173" s="187"/>
      <c r="AT173" s="187"/>
      <c r="AU173" s="187"/>
      <c r="AV173" s="187"/>
      <c r="AW173" s="187"/>
      <c r="AX173" s="187"/>
      <c r="AY173" s="187"/>
      <c r="AZ173" s="187"/>
      <c r="BA173" s="187"/>
      <c r="BB173" s="187"/>
      <c r="BC173" s="187"/>
      <c r="BD173" s="187"/>
      <c r="BE173" s="187"/>
      <c r="BF173" s="187"/>
      <c r="BG173" s="187"/>
      <c r="BH173" s="187"/>
    </row>
    <row r="174" spans="2:60" ht="15" customHeight="1">
      <c r="B174" s="187"/>
      <c r="C174" s="187"/>
      <c r="D174" s="187"/>
      <c r="E174" s="187"/>
      <c r="F174" s="187"/>
      <c r="G174" s="187"/>
      <c r="H174" s="187"/>
      <c r="I174" s="187"/>
      <c r="J174" s="187"/>
      <c r="K174" s="187"/>
      <c r="L174" s="187"/>
      <c r="M174" s="187"/>
      <c r="N174" s="187"/>
      <c r="O174" s="187"/>
      <c r="P174" s="187"/>
      <c r="Q174" s="187"/>
      <c r="R174" s="187"/>
      <c r="S174" s="187"/>
      <c r="T174" s="187"/>
      <c r="U174" s="187"/>
      <c r="V174" s="187"/>
      <c r="W174" s="187"/>
      <c r="X174" s="187"/>
      <c r="Y174" s="187"/>
      <c r="Z174" s="187"/>
      <c r="AA174" s="187"/>
      <c r="AB174" s="187"/>
      <c r="AC174" s="187"/>
      <c r="AD174" s="187"/>
      <c r="AE174" s="187"/>
      <c r="AF174" s="187"/>
      <c r="AG174" s="187"/>
      <c r="AH174" s="187"/>
      <c r="AI174" s="187"/>
      <c r="AJ174" s="187"/>
      <c r="AK174" s="187"/>
      <c r="AL174" s="187"/>
      <c r="AM174" s="187"/>
      <c r="AN174" s="187"/>
      <c r="AO174" s="187"/>
      <c r="AP174" s="187"/>
      <c r="AQ174" s="187"/>
      <c r="AR174" s="187"/>
      <c r="AS174" s="187"/>
      <c r="AT174" s="187"/>
      <c r="AU174" s="187"/>
      <c r="AV174" s="187"/>
      <c r="AW174" s="187"/>
      <c r="AX174" s="187"/>
      <c r="AY174" s="187"/>
      <c r="AZ174" s="187"/>
      <c r="BA174" s="187"/>
      <c r="BB174" s="187"/>
      <c r="BC174" s="187"/>
      <c r="BD174" s="187"/>
      <c r="BE174" s="187"/>
      <c r="BF174" s="187"/>
      <c r="BG174" s="187"/>
      <c r="BH174" s="187"/>
    </row>
    <row r="175" spans="2:60" ht="15" customHeight="1">
      <c r="B175" s="187"/>
      <c r="C175" s="187"/>
      <c r="D175" s="187"/>
      <c r="E175" s="187"/>
      <c r="F175" s="187"/>
      <c r="G175" s="187"/>
      <c r="H175" s="187"/>
      <c r="I175" s="187"/>
      <c r="J175" s="187"/>
      <c r="K175" s="187"/>
      <c r="L175" s="187"/>
      <c r="M175" s="187"/>
      <c r="N175" s="187"/>
      <c r="O175" s="187"/>
      <c r="P175" s="187"/>
      <c r="Q175" s="187"/>
      <c r="R175" s="187"/>
      <c r="S175" s="187"/>
      <c r="T175" s="187"/>
      <c r="U175" s="187"/>
      <c r="V175" s="187"/>
      <c r="W175" s="187"/>
      <c r="X175" s="187"/>
      <c r="Y175" s="187"/>
      <c r="Z175" s="187"/>
      <c r="AA175" s="187"/>
      <c r="AB175" s="187"/>
      <c r="AC175" s="187"/>
      <c r="AD175" s="187"/>
      <c r="AE175" s="187"/>
      <c r="AF175" s="187"/>
      <c r="AG175" s="187"/>
      <c r="AH175" s="187"/>
      <c r="AI175" s="187"/>
      <c r="AJ175" s="187"/>
      <c r="AK175" s="187"/>
      <c r="AL175" s="187"/>
      <c r="AM175" s="187"/>
      <c r="AN175" s="187"/>
      <c r="AO175" s="187"/>
      <c r="AP175" s="187"/>
      <c r="AQ175" s="187"/>
      <c r="AR175" s="187"/>
      <c r="AS175" s="187"/>
      <c r="AT175" s="187"/>
      <c r="AU175" s="187"/>
      <c r="AV175" s="187"/>
      <c r="AW175" s="187"/>
      <c r="AX175" s="187"/>
      <c r="AY175" s="187"/>
      <c r="AZ175" s="187"/>
      <c r="BA175" s="187"/>
      <c r="BB175" s="187"/>
      <c r="BC175" s="187"/>
      <c r="BD175" s="187"/>
      <c r="BE175" s="187"/>
      <c r="BF175" s="187"/>
      <c r="BG175" s="187"/>
      <c r="BH175" s="187"/>
    </row>
    <row r="176" spans="2:60" ht="15" customHeight="1">
      <c r="B176" s="187"/>
      <c r="C176" s="187"/>
      <c r="D176" s="187"/>
      <c r="E176" s="187"/>
      <c r="F176" s="187"/>
      <c r="G176" s="187"/>
      <c r="H176" s="187"/>
      <c r="I176" s="187"/>
      <c r="J176" s="187"/>
      <c r="K176" s="187"/>
      <c r="L176" s="187"/>
      <c r="M176" s="187"/>
      <c r="N176" s="187"/>
      <c r="O176" s="187"/>
      <c r="P176" s="187"/>
      <c r="Q176" s="187"/>
      <c r="R176" s="187"/>
      <c r="S176" s="187"/>
      <c r="T176" s="187"/>
      <c r="U176" s="187"/>
      <c r="V176" s="187"/>
      <c r="W176" s="187"/>
      <c r="X176" s="187"/>
      <c r="Y176" s="187"/>
      <c r="Z176" s="187"/>
      <c r="AA176" s="187"/>
      <c r="AB176" s="187"/>
      <c r="AC176" s="187"/>
      <c r="AD176" s="187"/>
      <c r="AE176" s="187"/>
      <c r="AF176" s="187"/>
      <c r="AG176" s="187"/>
      <c r="AH176" s="187"/>
      <c r="AI176" s="187"/>
      <c r="AJ176" s="187"/>
      <c r="AK176" s="187"/>
      <c r="AL176" s="187"/>
      <c r="AM176" s="187"/>
      <c r="AN176" s="187"/>
      <c r="AO176" s="187"/>
      <c r="AP176" s="187"/>
      <c r="AQ176" s="187"/>
      <c r="AR176" s="187"/>
      <c r="AS176" s="187"/>
      <c r="AT176" s="187"/>
      <c r="AU176" s="187"/>
      <c r="AV176" s="187"/>
      <c r="AW176" s="187"/>
      <c r="AX176" s="187"/>
      <c r="AY176" s="187"/>
      <c r="AZ176" s="187"/>
      <c r="BA176" s="187"/>
      <c r="BB176" s="187"/>
      <c r="BC176" s="187"/>
      <c r="BD176" s="187"/>
      <c r="BE176" s="187"/>
      <c r="BF176" s="187"/>
      <c r="BG176" s="187"/>
      <c r="BH176" s="187"/>
    </row>
    <row r="177" spans="2:60" ht="15" customHeight="1">
      <c r="B177" s="187"/>
      <c r="C177" s="187"/>
      <c r="D177" s="187"/>
      <c r="E177" s="187"/>
      <c r="F177" s="187"/>
      <c r="G177" s="187"/>
      <c r="H177" s="187"/>
      <c r="I177" s="187"/>
      <c r="J177" s="187"/>
      <c r="K177" s="187"/>
      <c r="L177" s="187"/>
      <c r="M177" s="187"/>
      <c r="N177" s="187"/>
      <c r="O177" s="187"/>
      <c r="P177" s="187"/>
      <c r="Q177" s="187"/>
      <c r="R177" s="187"/>
      <c r="S177" s="187"/>
      <c r="T177" s="187"/>
      <c r="U177" s="187"/>
      <c r="V177" s="187"/>
      <c r="W177" s="187"/>
      <c r="X177" s="187"/>
      <c r="Y177" s="187"/>
      <c r="Z177" s="187"/>
      <c r="AA177" s="187"/>
      <c r="AB177" s="187"/>
      <c r="AC177" s="187"/>
      <c r="AD177" s="187"/>
      <c r="AE177" s="187"/>
      <c r="AF177" s="187"/>
      <c r="AG177" s="187"/>
      <c r="AH177" s="187"/>
      <c r="AI177" s="187"/>
      <c r="AJ177" s="187"/>
      <c r="AK177" s="187"/>
      <c r="AL177" s="187"/>
      <c r="AM177" s="187"/>
      <c r="AN177" s="187"/>
      <c r="AO177" s="187"/>
      <c r="AP177" s="187"/>
      <c r="AQ177" s="187"/>
      <c r="AR177" s="187"/>
      <c r="AS177" s="187"/>
      <c r="AT177" s="187"/>
      <c r="AU177" s="187"/>
      <c r="AV177" s="187"/>
      <c r="AW177" s="187"/>
      <c r="AX177" s="187"/>
      <c r="AY177" s="187"/>
      <c r="AZ177" s="187"/>
      <c r="BA177" s="187"/>
      <c r="BB177" s="187"/>
      <c r="BC177" s="187"/>
      <c r="BD177" s="187"/>
      <c r="BE177" s="187"/>
      <c r="BF177" s="187"/>
      <c r="BG177" s="187"/>
      <c r="BH177" s="187"/>
    </row>
    <row r="178" spans="2:60" ht="15" customHeight="1">
      <c r="B178" s="187"/>
      <c r="C178" s="187"/>
      <c r="D178" s="187"/>
      <c r="E178" s="187"/>
      <c r="F178" s="187"/>
      <c r="G178" s="187"/>
      <c r="H178" s="187"/>
      <c r="I178" s="187"/>
      <c r="J178" s="187"/>
      <c r="K178" s="187"/>
      <c r="L178" s="187"/>
      <c r="M178" s="187"/>
      <c r="N178" s="187"/>
      <c r="O178" s="187"/>
      <c r="P178" s="187"/>
      <c r="Q178" s="187"/>
      <c r="R178" s="187"/>
      <c r="S178" s="187"/>
      <c r="T178" s="187"/>
      <c r="U178" s="187"/>
      <c r="V178" s="187"/>
      <c r="W178" s="187"/>
      <c r="X178" s="187"/>
      <c r="Y178" s="187"/>
      <c r="Z178" s="187"/>
      <c r="AA178" s="187"/>
      <c r="AB178" s="187"/>
      <c r="AC178" s="187"/>
      <c r="AD178" s="187"/>
      <c r="AE178" s="187"/>
      <c r="AF178" s="187"/>
      <c r="AG178" s="187"/>
      <c r="AH178" s="187"/>
      <c r="AI178" s="187"/>
      <c r="AJ178" s="187"/>
      <c r="AK178" s="187"/>
      <c r="AL178" s="187"/>
      <c r="AM178" s="187"/>
      <c r="AN178" s="187"/>
      <c r="AO178" s="187"/>
      <c r="AP178" s="187"/>
      <c r="AQ178" s="187"/>
      <c r="AR178" s="187"/>
      <c r="AS178" s="187"/>
      <c r="AT178" s="187"/>
      <c r="AU178" s="187"/>
      <c r="AV178" s="187"/>
      <c r="AW178" s="187"/>
      <c r="AX178" s="187"/>
      <c r="AY178" s="187"/>
      <c r="AZ178" s="187"/>
      <c r="BA178" s="187"/>
      <c r="BB178" s="187"/>
      <c r="BC178" s="187"/>
      <c r="BD178" s="187"/>
      <c r="BE178" s="187"/>
      <c r="BF178" s="187"/>
      <c r="BG178" s="187"/>
      <c r="BH178" s="187"/>
    </row>
    <row r="179" spans="2:60" ht="15" customHeight="1">
      <c r="B179" s="187"/>
      <c r="C179" s="187"/>
      <c r="D179" s="18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c r="AA179" s="187"/>
      <c r="AB179" s="187"/>
      <c r="AC179" s="187"/>
      <c r="AD179" s="187"/>
      <c r="AE179" s="187"/>
      <c r="AF179" s="187"/>
      <c r="AG179" s="187"/>
      <c r="AH179" s="187"/>
      <c r="AI179" s="187"/>
      <c r="AJ179" s="187"/>
      <c r="AK179" s="187"/>
      <c r="AL179" s="187"/>
      <c r="AM179" s="187"/>
      <c r="AN179" s="187"/>
      <c r="AO179" s="187"/>
      <c r="AP179" s="187"/>
      <c r="AQ179" s="187"/>
      <c r="AR179" s="187"/>
      <c r="AS179" s="187"/>
      <c r="AT179" s="187"/>
      <c r="AU179" s="187"/>
      <c r="AV179" s="187"/>
      <c r="AW179" s="187"/>
      <c r="AX179" s="187"/>
      <c r="AY179" s="187"/>
      <c r="AZ179" s="187"/>
      <c r="BA179" s="187"/>
      <c r="BB179" s="187"/>
      <c r="BC179" s="187"/>
      <c r="BD179" s="187"/>
      <c r="BE179" s="187"/>
      <c r="BF179" s="187"/>
      <c r="BG179" s="187"/>
      <c r="BH179" s="187"/>
    </row>
    <row r="180" spans="2:60" ht="15" customHeight="1">
      <c r="B180" s="187"/>
      <c r="C180" s="187"/>
      <c r="D180" s="187"/>
      <c r="E180" s="187"/>
      <c r="F180" s="187"/>
      <c r="G180" s="187"/>
      <c r="H180" s="187"/>
      <c r="I180" s="187"/>
      <c r="J180" s="187"/>
      <c r="K180" s="187"/>
      <c r="L180" s="187"/>
      <c r="M180" s="187"/>
      <c r="N180" s="187"/>
      <c r="O180" s="187"/>
      <c r="P180" s="187"/>
      <c r="Q180" s="187"/>
      <c r="R180" s="187"/>
      <c r="S180" s="187"/>
      <c r="T180" s="187"/>
      <c r="U180" s="187"/>
      <c r="V180" s="187"/>
      <c r="W180" s="187"/>
      <c r="X180" s="187"/>
      <c r="Y180" s="187"/>
      <c r="Z180" s="187"/>
      <c r="AA180" s="187"/>
      <c r="AB180" s="187"/>
      <c r="AC180" s="187"/>
      <c r="AD180" s="187"/>
      <c r="AE180" s="187"/>
      <c r="AF180" s="187"/>
      <c r="AG180" s="187"/>
      <c r="AH180" s="187"/>
      <c r="AI180" s="187"/>
      <c r="AJ180" s="187"/>
      <c r="AK180" s="187"/>
      <c r="AL180" s="187"/>
      <c r="AM180" s="187"/>
      <c r="AN180" s="187"/>
      <c r="AO180" s="187"/>
      <c r="AP180" s="187"/>
      <c r="AQ180" s="187"/>
      <c r="AR180" s="187"/>
      <c r="AS180" s="187"/>
      <c r="AT180" s="187"/>
      <c r="AU180" s="187"/>
      <c r="AV180" s="187"/>
      <c r="AW180" s="187"/>
      <c r="AX180" s="187"/>
      <c r="AY180" s="187"/>
      <c r="AZ180" s="187"/>
      <c r="BA180" s="187"/>
      <c r="BB180" s="187"/>
      <c r="BC180" s="187"/>
      <c r="BD180" s="187"/>
      <c r="BE180" s="187"/>
      <c r="BF180" s="187"/>
      <c r="BG180" s="187"/>
      <c r="BH180" s="187"/>
    </row>
    <row r="181" spans="2:60" ht="15" customHeight="1">
      <c r="B181" s="187"/>
      <c r="C181" s="187"/>
      <c r="D181" s="187"/>
      <c r="E181" s="187"/>
      <c r="F181" s="187"/>
      <c r="G181" s="187"/>
      <c r="H181" s="187"/>
      <c r="I181" s="187"/>
      <c r="J181" s="187"/>
      <c r="K181" s="187"/>
      <c r="L181" s="187"/>
      <c r="M181" s="187"/>
      <c r="N181" s="187"/>
      <c r="O181" s="187"/>
      <c r="P181" s="187"/>
      <c r="Q181" s="187"/>
      <c r="R181" s="187"/>
      <c r="S181" s="187"/>
      <c r="T181" s="187"/>
      <c r="U181" s="187"/>
      <c r="V181" s="187"/>
      <c r="W181" s="187"/>
      <c r="X181" s="187"/>
      <c r="Y181" s="187"/>
      <c r="Z181" s="187"/>
      <c r="AA181" s="187"/>
      <c r="AB181" s="187"/>
      <c r="AC181" s="187"/>
      <c r="AD181" s="187"/>
      <c r="AE181" s="187"/>
      <c r="AF181" s="187"/>
      <c r="AG181" s="187"/>
      <c r="AH181" s="187"/>
      <c r="AI181" s="187"/>
      <c r="AJ181" s="187"/>
      <c r="AK181" s="187"/>
      <c r="AL181" s="187"/>
      <c r="AM181" s="187"/>
      <c r="AN181" s="187"/>
      <c r="AO181" s="187"/>
      <c r="AP181" s="187"/>
      <c r="AQ181" s="187"/>
      <c r="AR181" s="187"/>
      <c r="AS181" s="187"/>
      <c r="AT181" s="187"/>
      <c r="AU181" s="187"/>
      <c r="AV181" s="187"/>
      <c r="AW181" s="187"/>
      <c r="AX181" s="187"/>
      <c r="AY181" s="187"/>
      <c r="AZ181" s="187"/>
      <c r="BA181" s="187"/>
      <c r="BB181" s="187"/>
      <c r="BC181" s="187"/>
      <c r="BD181" s="187"/>
      <c r="BE181" s="187"/>
      <c r="BF181" s="187"/>
      <c r="BG181" s="187"/>
      <c r="BH181" s="187"/>
    </row>
    <row r="182" spans="2:60" ht="15" customHeight="1">
      <c r="B182" s="187"/>
      <c r="C182" s="187"/>
      <c r="D182" s="187"/>
      <c r="E182" s="187"/>
      <c r="F182" s="187"/>
      <c r="G182" s="187"/>
      <c r="H182" s="187"/>
      <c r="I182" s="187"/>
      <c r="J182" s="187"/>
      <c r="K182" s="187"/>
      <c r="L182" s="187"/>
      <c r="M182" s="187"/>
      <c r="N182" s="187"/>
      <c r="O182" s="187"/>
      <c r="P182" s="187"/>
      <c r="Q182" s="187"/>
      <c r="R182" s="187"/>
      <c r="S182" s="187"/>
      <c r="T182" s="187"/>
      <c r="U182" s="187"/>
      <c r="V182" s="187"/>
      <c r="W182" s="187"/>
      <c r="X182" s="187"/>
      <c r="Y182" s="187"/>
      <c r="Z182" s="187"/>
      <c r="AA182" s="187"/>
      <c r="AB182" s="187"/>
      <c r="AC182" s="187"/>
      <c r="AD182" s="187"/>
      <c r="AE182" s="187"/>
      <c r="AF182" s="187"/>
      <c r="AG182" s="187"/>
      <c r="AH182" s="187"/>
      <c r="AI182" s="187"/>
      <c r="AJ182" s="187"/>
      <c r="AK182" s="187"/>
      <c r="AL182" s="187"/>
      <c r="AM182" s="187"/>
      <c r="AN182" s="187"/>
      <c r="AO182" s="187"/>
      <c r="AP182" s="187"/>
      <c r="AQ182" s="187"/>
      <c r="AR182" s="187"/>
      <c r="AS182" s="187"/>
      <c r="AT182" s="187"/>
      <c r="AU182" s="187"/>
      <c r="AV182" s="187"/>
      <c r="AW182" s="187"/>
      <c r="AX182" s="187"/>
      <c r="AY182" s="187"/>
      <c r="AZ182" s="187"/>
      <c r="BA182" s="187"/>
      <c r="BB182" s="187"/>
      <c r="BC182" s="187"/>
      <c r="BD182" s="187"/>
      <c r="BE182" s="187"/>
      <c r="BF182" s="187"/>
      <c r="BG182" s="187"/>
      <c r="BH182" s="187"/>
    </row>
    <row r="183" spans="2:60" ht="15" customHeight="1">
      <c r="B183" s="187"/>
      <c r="C183" s="187"/>
      <c r="D183" s="187"/>
      <c r="E183" s="187"/>
      <c r="F183" s="187"/>
      <c r="G183" s="187"/>
      <c r="H183" s="187"/>
      <c r="I183" s="187"/>
      <c r="J183" s="187"/>
      <c r="K183" s="187"/>
      <c r="L183" s="187"/>
      <c r="M183" s="187"/>
      <c r="N183" s="187"/>
      <c r="O183" s="187"/>
      <c r="P183" s="187"/>
      <c r="Q183" s="187"/>
      <c r="R183" s="187"/>
      <c r="S183" s="187"/>
      <c r="T183" s="187"/>
      <c r="U183" s="187"/>
      <c r="V183" s="187"/>
      <c r="W183" s="187"/>
      <c r="X183" s="187"/>
      <c r="Y183" s="187"/>
      <c r="Z183" s="187"/>
      <c r="AA183" s="187"/>
      <c r="AB183" s="187"/>
      <c r="AC183" s="187"/>
      <c r="AD183" s="187"/>
      <c r="AE183" s="187"/>
      <c r="AF183" s="187"/>
      <c r="AG183" s="187"/>
      <c r="AH183" s="187"/>
      <c r="AI183" s="187"/>
      <c r="AJ183" s="187"/>
      <c r="AK183" s="187"/>
      <c r="AL183" s="187"/>
      <c r="AM183" s="187"/>
      <c r="AN183" s="187"/>
      <c r="AO183" s="187"/>
      <c r="AP183" s="187"/>
      <c r="AQ183" s="187"/>
      <c r="AR183" s="187"/>
      <c r="AS183" s="187"/>
      <c r="AT183" s="187"/>
      <c r="AU183" s="187"/>
      <c r="AV183" s="187"/>
      <c r="AW183" s="187"/>
      <c r="AX183" s="187"/>
      <c r="AY183" s="187"/>
      <c r="AZ183" s="187"/>
      <c r="BA183" s="187"/>
      <c r="BB183" s="187"/>
      <c r="BC183" s="187"/>
      <c r="BD183" s="187"/>
      <c r="BE183" s="187"/>
      <c r="BF183" s="187"/>
      <c r="BG183" s="187"/>
      <c r="BH183" s="187"/>
    </row>
    <row r="184" spans="2:60" ht="15" customHeight="1">
      <c r="B184" s="187"/>
      <c r="C184" s="187"/>
      <c r="D184" s="187"/>
      <c r="E184" s="187"/>
      <c r="F184" s="187"/>
      <c r="G184" s="187"/>
      <c r="H184" s="187"/>
      <c r="I184" s="187"/>
      <c r="J184" s="187"/>
      <c r="K184" s="187"/>
      <c r="L184" s="187"/>
      <c r="M184" s="187"/>
      <c r="N184" s="187"/>
      <c r="O184" s="187"/>
      <c r="P184" s="187"/>
      <c r="Q184" s="187"/>
      <c r="R184" s="187"/>
      <c r="S184" s="187"/>
      <c r="T184" s="187"/>
      <c r="U184" s="187"/>
      <c r="V184" s="187"/>
      <c r="W184" s="187"/>
      <c r="X184" s="187"/>
      <c r="Y184" s="187"/>
      <c r="Z184" s="187"/>
      <c r="AA184" s="187"/>
      <c r="AB184" s="187"/>
      <c r="AC184" s="187"/>
      <c r="AD184" s="187"/>
      <c r="AE184" s="187"/>
      <c r="AF184" s="187"/>
      <c r="AG184" s="187"/>
      <c r="AH184" s="187"/>
      <c r="AI184" s="187"/>
      <c r="AJ184" s="187"/>
      <c r="AK184" s="187"/>
      <c r="AL184" s="187"/>
      <c r="AM184" s="187"/>
      <c r="AN184" s="187"/>
      <c r="AO184" s="187"/>
      <c r="AP184" s="187"/>
      <c r="AQ184" s="187"/>
      <c r="AR184" s="187"/>
      <c r="AS184" s="187"/>
      <c r="AT184" s="187"/>
      <c r="AU184" s="187"/>
      <c r="AV184" s="187"/>
      <c r="AW184" s="187"/>
      <c r="AX184" s="187"/>
      <c r="AY184" s="187"/>
      <c r="AZ184" s="187"/>
      <c r="BA184" s="187"/>
      <c r="BB184" s="187"/>
      <c r="BC184" s="187"/>
      <c r="BD184" s="187"/>
      <c r="BE184" s="187"/>
      <c r="BF184" s="187"/>
      <c r="BG184" s="187"/>
      <c r="BH184" s="187"/>
    </row>
    <row r="185" spans="2:60" ht="15" customHeight="1">
      <c r="B185" s="187"/>
      <c r="C185" s="187"/>
      <c r="D185" s="187"/>
      <c r="E185" s="187"/>
      <c r="F185" s="187"/>
      <c r="G185" s="187"/>
      <c r="H185" s="187"/>
      <c r="I185" s="187"/>
      <c r="J185" s="187"/>
      <c r="K185" s="187"/>
      <c r="L185" s="187"/>
      <c r="M185" s="187"/>
      <c r="N185" s="187"/>
      <c r="O185" s="187"/>
      <c r="P185" s="187"/>
      <c r="Q185" s="187"/>
      <c r="R185" s="187"/>
      <c r="S185" s="187"/>
      <c r="T185" s="187"/>
      <c r="U185" s="187"/>
      <c r="V185" s="187"/>
      <c r="W185" s="187"/>
      <c r="X185" s="187"/>
      <c r="Y185" s="187"/>
      <c r="Z185" s="187"/>
      <c r="AA185" s="187"/>
      <c r="AB185" s="187"/>
      <c r="AC185" s="187"/>
      <c r="AD185" s="187"/>
      <c r="AE185" s="187"/>
      <c r="AF185" s="187"/>
      <c r="AG185" s="187"/>
      <c r="AH185" s="187"/>
      <c r="AI185" s="187"/>
      <c r="AJ185" s="187"/>
      <c r="AK185" s="187"/>
      <c r="AL185" s="187"/>
      <c r="AM185" s="187"/>
      <c r="AN185" s="187"/>
      <c r="AO185" s="187"/>
      <c r="AP185" s="187"/>
      <c r="AQ185" s="187"/>
      <c r="AR185" s="187"/>
      <c r="AS185" s="187"/>
      <c r="AT185" s="187"/>
      <c r="AU185" s="187"/>
      <c r="AV185" s="187"/>
      <c r="AW185" s="187"/>
      <c r="AX185" s="187"/>
      <c r="AY185" s="187"/>
      <c r="AZ185" s="187"/>
      <c r="BA185" s="187"/>
      <c r="BB185" s="187"/>
      <c r="BC185" s="187"/>
      <c r="BD185" s="187"/>
      <c r="BE185" s="187"/>
      <c r="BF185" s="187"/>
      <c r="BG185" s="187"/>
      <c r="BH185" s="187"/>
    </row>
    <row r="186" spans="2:60" ht="15" customHeight="1">
      <c r="B186" s="187"/>
      <c r="C186" s="187"/>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c r="AA186" s="187"/>
      <c r="AB186" s="187"/>
      <c r="AC186" s="187"/>
      <c r="AD186" s="187"/>
      <c r="AE186" s="187"/>
      <c r="AF186" s="187"/>
      <c r="AG186" s="187"/>
      <c r="AH186" s="187"/>
      <c r="AI186" s="187"/>
      <c r="AJ186" s="187"/>
      <c r="AK186" s="187"/>
      <c r="AL186" s="187"/>
      <c r="AM186" s="187"/>
      <c r="AN186" s="187"/>
      <c r="AO186" s="187"/>
      <c r="AP186" s="187"/>
      <c r="AQ186" s="187"/>
      <c r="AR186" s="187"/>
      <c r="AS186" s="187"/>
      <c r="AT186" s="187"/>
      <c r="AU186" s="187"/>
      <c r="AV186" s="187"/>
      <c r="AW186" s="187"/>
      <c r="AX186" s="187"/>
      <c r="AY186" s="187"/>
      <c r="AZ186" s="187"/>
      <c r="BA186" s="187"/>
      <c r="BB186" s="187"/>
      <c r="BC186" s="187"/>
      <c r="BD186" s="187"/>
      <c r="BE186" s="187"/>
      <c r="BF186" s="187"/>
      <c r="BG186" s="187"/>
      <c r="BH186" s="187"/>
    </row>
    <row r="187" spans="2:60" ht="15" customHeight="1">
      <c r="B187" s="187"/>
      <c r="C187" s="187"/>
      <c r="D187" s="187"/>
      <c r="E187" s="187"/>
      <c r="F187" s="187"/>
      <c r="G187" s="187"/>
      <c r="H187" s="187"/>
      <c r="I187" s="187"/>
      <c r="J187" s="187"/>
      <c r="K187" s="187"/>
      <c r="L187" s="187"/>
      <c r="M187" s="187"/>
      <c r="N187" s="187"/>
      <c r="O187" s="187"/>
      <c r="P187" s="187"/>
      <c r="Q187" s="187"/>
      <c r="R187" s="187"/>
      <c r="S187" s="187"/>
      <c r="T187" s="187"/>
      <c r="U187" s="187"/>
      <c r="V187" s="187"/>
      <c r="W187" s="187"/>
      <c r="X187" s="187"/>
      <c r="Y187" s="187"/>
      <c r="Z187" s="187"/>
      <c r="AA187" s="187"/>
      <c r="AB187" s="187"/>
      <c r="AC187" s="187"/>
      <c r="AD187" s="187"/>
      <c r="AE187" s="187"/>
      <c r="AF187" s="187"/>
      <c r="AG187" s="187"/>
      <c r="AH187" s="187"/>
      <c r="AI187" s="187"/>
      <c r="AJ187" s="187"/>
      <c r="AK187" s="187"/>
      <c r="AL187" s="187"/>
      <c r="AM187" s="187"/>
      <c r="AN187" s="187"/>
      <c r="AO187" s="187"/>
      <c r="AP187" s="187"/>
      <c r="AQ187" s="187"/>
      <c r="AR187" s="187"/>
      <c r="AS187" s="187"/>
      <c r="AT187" s="187"/>
      <c r="AU187" s="187"/>
      <c r="AV187" s="187"/>
      <c r="AW187" s="187"/>
      <c r="AX187" s="187"/>
      <c r="AY187" s="187"/>
      <c r="AZ187" s="187"/>
      <c r="BA187" s="187"/>
      <c r="BB187" s="187"/>
      <c r="BC187" s="187"/>
      <c r="BD187" s="187"/>
      <c r="BE187" s="187"/>
      <c r="BF187" s="187"/>
      <c r="BG187" s="187"/>
      <c r="BH187" s="187"/>
    </row>
    <row r="188" spans="2:60" ht="15" customHeight="1">
      <c r="B188" s="187"/>
      <c r="C188" s="187"/>
      <c r="D188" s="187"/>
      <c r="E188" s="187"/>
      <c r="F188" s="187"/>
      <c r="G188" s="187"/>
      <c r="H188" s="187"/>
      <c r="I188" s="187"/>
      <c r="J188" s="187"/>
      <c r="K188" s="187"/>
      <c r="L188" s="187"/>
      <c r="M188" s="187"/>
      <c r="N188" s="187"/>
      <c r="O188" s="187"/>
      <c r="P188" s="187"/>
      <c r="Q188" s="187"/>
      <c r="R188" s="187"/>
      <c r="S188" s="187"/>
      <c r="T188" s="187"/>
      <c r="U188" s="187"/>
      <c r="V188" s="187"/>
      <c r="W188" s="187"/>
      <c r="X188" s="187"/>
      <c r="Y188" s="187"/>
      <c r="Z188" s="187"/>
      <c r="AA188" s="187"/>
      <c r="AB188" s="187"/>
      <c r="AC188" s="187"/>
      <c r="AD188" s="187"/>
      <c r="AE188" s="187"/>
      <c r="AF188" s="187"/>
      <c r="AG188" s="187"/>
      <c r="AH188" s="187"/>
      <c r="AI188" s="187"/>
      <c r="AJ188" s="187"/>
      <c r="AK188" s="187"/>
      <c r="AL188" s="187"/>
      <c r="AM188" s="187"/>
      <c r="AN188" s="187"/>
      <c r="AO188" s="187"/>
      <c r="AP188" s="187"/>
      <c r="AQ188" s="187"/>
      <c r="AR188" s="187"/>
      <c r="AS188" s="187"/>
      <c r="AT188" s="187"/>
      <c r="AU188" s="187"/>
      <c r="AV188" s="187"/>
      <c r="AW188" s="187"/>
      <c r="AX188" s="187"/>
      <c r="AY188" s="187"/>
      <c r="AZ188" s="187"/>
      <c r="BA188" s="187"/>
      <c r="BB188" s="187"/>
      <c r="BC188" s="187"/>
      <c r="BD188" s="187"/>
      <c r="BE188" s="187"/>
      <c r="BF188" s="187"/>
      <c r="BG188" s="187"/>
      <c r="BH188" s="187"/>
    </row>
    <row r="189" spans="2:60" ht="15" customHeight="1">
      <c r="B189" s="187"/>
      <c r="C189" s="187"/>
      <c r="D189" s="187"/>
      <c r="E189" s="187"/>
      <c r="F189" s="187"/>
      <c r="G189" s="187"/>
      <c r="H189" s="187"/>
      <c r="I189" s="187"/>
      <c r="J189" s="187"/>
      <c r="K189" s="187"/>
      <c r="L189" s="187"/>
      <c r="M189" s="187"/>
      <c r="N189" s="187"/>
      <c r="O189" s="187"/>
      <c r="P189" s="187"/>
      <c r="Q189" s="187"/>
      <c r="R189" s="187"/>
      <c r="S189" s="187"/>
      <c r="T189" s="187"/>
      <c r="U189" s="187"/>
      <c r="V189" s="187"/>
      <c r="W189" s="187"/>
      <c r="X189" s="187"/>
      <c r="Y189" s="187"/>
      <c r="Z189" s="187"/>
      <c r="AA189" s="187"/>
      <c r="AB189" s="187"/>
      <c r="AC189" s="187"/>
      <c r="AD189" s="187"/>
      <c r="AE189" s="187"/>
      <c r="AF189" s="187"/>
      <c r="AG189" s="187"/>
      <c r="AH189" s="187"/>
      <c r="AI189" s="187"/>
      <c r="AJ189" s="187"/>
      <c r="AK189" s="187"/>
      <c r="AL189" s="187"/>
      <c r="AM189" s="187"/>
      <c r="AN189" s="187"/>
      <c r="AO189" s="187"/>
      <c r="AP189" s="187"/>
      <c r="AQ189" s="187"/>
      <c r="AR189" s="187"/>
      <c r="AS189" s="187"/>
      <c r="AT189" s="187"/>
      <c r="AU189" s="187"/>
      <c r="AV189" s="187"/>
      <c r="AW189" s="187"/>
      <c r="AX189" s="187"/>
      <c r="AY189" s="187"/>
      <c r="AZ189" s="187"/>
      <c r="BA189" s="187"/>
      <c r="BB189" s="187"/>
      <c r="BC189" s="187"/>
      <c r="BD189" s="187"/>
      <c r="BE189" s="187"/>
      <c r="BF189" s="187"/>
      <c r="BG189" s="187"/>
      <c r="BH189" s="187"/>
    </row>
    <row r="190" spans="2:60" ht="15" customHeight="1">
      <c r="B190" s="187"/>
      <c r="C190" s="187"/>
      <c r="D190" s="187"/>
      <c r="E190" s="187"/>
      <c r="F190" s="187"/>
      <c r="G190" s="187"/>
      <c r="H190" s="187"/>
      <c r="I190" s="187"/>
      <c r="J190" s="187"/>
      <c r="K190" s="187"/>
      <c r="L190" s="187"/>
      <c r="M190" s="187"/>
      <c r="N190" s="187"/>
      <c r="O190" s="187"/>
      <c r="P190" s="187"/>
      <c r="Q190" s="187"/>
      <c r="R190" s="187"/>
      <c r="S190" s="187"/>
      <c r="T190" s="187"/>
      <c r="U190" s="187"/>
      <c r="V190" s="187"/>
      <c r="W190" s="187"/>
      <c r="X190" s="187"/>
      <c r="Y190" s="187"/>
      <c r="Z190" s="187"/>
      <c r="AA190" s="187"/>
      <c r="AB190" s="187"/>
      <c r="AC190" s="187"/>
      <c r="AD190" s="187"/>
      <c r="AE190" s="187"/>
      <c r="AF190" s="187"/>
      <c r="AG190" s="187"/>
      <c r="AH190" s="187"/>
      <c r="AI190" s="187"/>
      <c r="AJ190" s="187"/>
      <c r="AK190" s="187"/>
      <c r="AL190" s="187"/>
      <c r="AM190" s="187"/>
      <c r="AN190" s="187"/>
      <c r="AO190" s="187"/>
      <c r="AP190" s="187"/>
      <c r="AQ190" s="187"/>
      <c r="AR190" s="187"/>
      <c r="AS190" s="187"/>
      <c r="AT190" s="187"/>
      <c r="AU190" s="187"/>
      <c r="AV190" s="187"/>
      <c r="AW190" s="187"/>
      <c r="AX190" s="187"/>
      <c r="AY190" s="187"/>
      <c r="AZ190" s="187"/>
      <c r="BA190" s="187"/>
      <c r="BB190" s="187"/>
      <c r="BC190" s="187"/>
      <c r="BD190" s="187"/>
      <c r="BE190" s="187"/>
      <c r="BF190" s="187"/>
      <c r="BG190" s="187"/>
      <c r="BH190" s="187"/>
    </row>
    <row r="191" spans="2:60" ht="15" customHeight="1">
      <c r="B191" s="187"/>
      <c r="C191" s="187"/>
      <c r="D191" s="187"/>
      <c r="E191" s="187"/>
      <c r="F191" s="187"/>
      <c r="G191" s="187"/>
      <c r="H191" s="187"/>
      <c r="I191" s="187"/>
      <c r="J191" s="187"/>
      <c r="K191" s="187"/>
      <c r="L191" s="187"/>
      <c r="M191" s="187"/>
      <c r="N191" s="187"/>
      <c r="O191" s="187"/>
      <c r="P191" s="187"/>
      <c r="Q191" s="187"/>
      <c r="R191" s="187"/>
      <c r="S191" s="187"/>
      <c r="T191" s="187"/>
      <c r="U191" s="187"/>
      <c r="V191" s="187"/>
      <c r="W191" s="187"/>
      <c r="X191" s="187"/>
      <c r="Y191" s="187"/>
      <c r="Z191" s="187"/>
      <c r="AA191" s="187"/>
      <c r="AB191" s="187"/>
      <c r="AC191" s="187"/>
      <c r="AD191" s="187"/>
      <c r="AE191" s="187"/>
      <c r="AF191" s="187"/>
      <c r="AG191" s="187"/>
      <c r="AH191" s="187"/>
      <c r="AI191" s="187"/>
      <c r="AJ191" s="187"/>
      <c r="AK191" s="187"/>
      <c r="AL191" s="187"/>
      <c r="AM191" s="187"/>
      <c r="AN191" s="187"/>
      <c r="AO191" s="187"/>
      <c r="AP191" s="187"/>
      <c r="AQ191" s="187"/>
      <c r="AR191" s="187"/>
      <c r="AS191" s="187"/>
      <c r="AT191" s="187"/>
      <c r="AU191" s="187"/>
      <c r="AV191" s="187"/>
      <c r="AW191" s="187"/>
      <c r="AX191" s="187"/>
      <c r="AY191" s="187"/>
      <c r="AZ191" s="187"/>
      <c r="BA191" s="187"/>
      <c r="BB191" s="187"/>
      <c r="BC191" s="187"/>
      <c r="BD191" s="187"/>
      <c r="BE191" s="187"/>
      <c r="BF191" s="187"/>
      <c r="BG191" s="187"/>
      <c r="BH191" s="187"/>
    </row>
    <row r="192" spans="2:60" ht="15" customHeight="1">
      <c r="B192" s="187"/>
      <c r="C192" s="187"/>
      <c r="D192" s="187"/>
      <c r="E192" s="187"/>
      <c r="F192" s="187"/>
      <c r="G192" s="187"/>
      <c r="H192" s="187"/>
      <c r="I192" s="187"/>
      <c r="J192" s="187"/>
      <c r="K192" s="187"/>
      <c r="L192" s="187"/>
      <c r="M192" s="187"/>
      <c r="N192" s="187"/>
      <c r="O192" s="187"/>
      <c r="P192" s="187"/>
      <c r="Q192" s="187"/>
      <c r="R192" s="187"/>
      <c r="S192" s="187"/>
      <c r="T192" s="187"/>
      <c r="U192" s="187"/>
      <c r="V192" s="187"/>
      <c r="W192" s="187"/>
      <c r="X192" s="187"/>
      <c r="Y192" s="187"/>
      <c r="Z192" s="187"/>
      <c r="AA192" s="187"/>
      <c r="AB192" s="187"/>
      <c r="AC192" s="187"/>
      <c r="AD192" s="187"/>
      <c r="AE192" s="187"/>
      <c r="AF192" s="187"/>
      <c r="AG192" s="187"/>
      <c r="AH192" s="187"/>
      <c r="AI192" s="187"/>
      <c r="AJ192" s="187"/>
      <c r="AK192" s="187"/>
      <c r="AL192" s="187"/>
      <c r="AM192" s="187"/>
      <c r="AN192" s="187"/>
      <c r="AO192" s="187"/>
      <c r="AP192" s="187"/>
      <c r="AQ192" s="187"/>
      <c r="AR192" s="187"/>
      <c r="AS192" s="187"/>
      <c r="AT192" s="187"/>
      <c r="AU192" s="187"/>
      <c r="AV192" s="187"/>
      <c r="AW192" s="187"/>
      <c r="AX192" s="187"/>
      <c r="AY192" s="187"/>
      <c r="AZ192" s="187"/>
      <c r="BA192" s="187"/>
      <c r="BB192" s="187"/>
      <c r="BC192" s="187"/>
      <c r="BD192" s="187"/>
      <c r="BE192" s="187"/>
      <c r="BF192" s="187"/>
      <c r="BG192" s="187"/>
      <c r="BH192" s="187"/>
    </row>
    <row r="193" spans="2:60" ht="15" customHeight="1">
      <c r="B193" s="187"/>
      <c r="C193" s="187"/>
      <c r="D193" s="187"/>
      <c r="E193" s="187"/>
      <c r="F193" s="187"/>
      <c r="G193" s="187"/>
      <c r="H193" s="187"/>
      <c r="I193" s="187"/>
      <c r="J193" s="187"/>
      <c r="K193" s="187"/>
      <c r="L193" s="187"/>
      <c r="M193" s="187"/>
      <c r="N193" s="187"/>
      <c r="O193" s="187"/>
      <c r="P193" s="187"/>
      <c r="Q193" s="187"/>
      <c r="R193" s="187"/>
      <c r="S193" s="187"/>
      <c r="T193" s="187"/>
      <c r="U193" s="187"/>
      <c r="V193" s="187"/>
      <c r="W193" s="187"/>
      <c r="X193" s="187"/>
      <c r="Y193" s="187"/>
      <c r="Z193" s="187"/>
      <c r="AA193" s="187"/>
      <c r="AB193" s="187"/>
      <c r="AC193" s="187"/>
      <c r="AD193" s="187"/>
      <c r="AE193" s="187"/>
      <c r="AF193" s="187"/>
      <c r="AG193" s="187"/>
      <c r="AH193" s="187"/>
      <c r="AI193" s="187"/>
      <c r="AJ193" s="187"/>
      <c r="AK193" s="187"/>
      <c r="AL193" s="187"/>
      <c r="AM193" s="187"/>
      <c r="AN193" s="187"/>
      <c r="AO193" s="187"/>
      <c r="AP193" s="187"/>
      <c r="AQ193" s="187"/>
      <c r="AR193" s="187"/>
      <c r="AS193" s="187"/>
      <c r="AT193" s="187"/>
      <c r="AU193" s="187"/>
      <c r="AV193" s="187"/>
      <c r="AW193" s="187"/>
      <c r="AX193" s="187"/>
      <c r="AY193" s="187"/>
      <c r="AZ193" s="187"/>
      <c r="BA193" s="187"/>
      <c r="BB193" s="187"/>
      <c r="BC193" s="187"/>
      <c r="BD193" s="187"/>
      <c r="BE193" s="187"/>
      <c r="BF193" s="187"/>
      <c r="BG193" s="187"/>
      <c r="BH193" s="187"/>
    </row>
    <row r="194" spans="2:60" ht="15" customHeight="1">
      <c r="B194" s="187"/>
      <c r="C194" s="187"/>
      <c r="D194" s="187"/>
      <c r="E194" s="187"/>
      <c r="F194" s="187"/>
      <c r="G194" s="187"/>
      <c r="H194" s="187"/>
      <c r="I194" s="187"/>
      <c r="J194" s="187"/>
      <c r="K194" s="187"/>
      <c r="L194" s="187"/>
      <c r="M194" s="187"/>
      <c r="N194" s="187"/>
      <c r="O194" s="187"/>
      <c r="P194" s="187"/>
      <c r="Q194" s="187"/>
      <c r="R194" s="187"/>
      <c r="S194" s="187"/>
      <c r="T194" s="187"/>
      <c r="U194" s="187"/>
      <c r="V194" s="187"/>
      <c r="W194" s="187"/>
      <c r="X194" s="187"/>
      <c r="Y194" s="187"/>
      <c r="Z194" s="187"/>
      <c r="AA194" s="187"/>
      <c r="AB194" s="187"/>
      <c r="AC194" s="187"/>
      <c r="AD194" s="187"/>
      <c r="AE194" s="187"/>
      <c r="AF194" s="187"/>
      <c r="AG194" s="187"/>
      <c r="AH194" s="187"/>
      <c r="AI194" s="187"/>
      <c r="AJ194" s="187"/>
      <c r="AK194" s="187"/>
      <c r="AL194" s="187"/>
      <c r="AM194" s="187"/>
      <c r="AN194" s="187"/>
      <c r="AO194" s="187"/>
      <c r="AP194" s="187"/>
      <c r="AQ194" s="187"/>
      <c r="AR194" s="187"/>
      <c r="AS194" s="187"/>
      <c r="AT194" s="187"/>
      <c r="AU194" s="187"/>
      <c r="AV194" s="187"/>
      <c r="AW194" s="187"/>
      <c r="AX194" s="187"/>
      <c r="AY194" s="187"/>
      <c r="AZ194" s="187"/>
      <c r="BA194" s="187"/>
      <c r="BB194" s="187"/>
      <c r="BC194" s="187"/>
      <c r="BD194" s="187"/>
      <c r="BE194" s="187"/>
      <c r="BF194" s="187"/>
      <c r="BG194" s="187"/>
      <c r="BH194" s="187"/>
    </row>
    <row r="195" spans="2:60" ht="15" customHeight="1">
      <c r="B195" s="187"/>
      <c r="C195" s="187"/>
      <c r="D195" s="187"/>
      <c r="E195" s="187"/>
      <c r="F195" s="187"/>
      <c r="G195" s="187"/>
      <c r="H195" s="187"/>
      <c r="I195" s="187"/>
      <c r="J195" s="187"/>
      <c r="K195" s="187"/>
      <c r="L195" s="187"/>
      <c r="M195" s="187"/>
      <c r="N195" s="187"/>
      <c r="O195" s="187"/>
      <c r="P195" s="187"/>
      <c r="Q195" s="187"/>
      <c r="R195" s="187"/>
      <c r="S195" s="187"/>
      <c r="T195" s="187"/>
      <c r="U195" s="187"/>
      <c r="V195" s="187"/>
      <c r="W195" s="187"/>
      <c r="X195" s="187"/>
      <c r="Y195" s="187"/>
      <c r="Z195" s="187"/>
      <c r="AA195" s="187"/>
      <c r="AB195" s="187"/>
      <c r="AC195" s="187"/>
      <c r="AD195" s="187"/>
      <c r="AE195" s="187"/>
      <c r="AF195" s="187"/>
      <c r="AG195" s="187"/>
      <c r="AH195" s="187"/>
      <c r="AI195" s="187"/>
      <c r="AJ195" s="187"/>
      <c r="AK195" s="187"/>
      <c r="AL195" s="187"/>
      <c r="AM195" s="187"/>
      <c r="AN195" s="187"/>
      <c r="AO195" s="187"/>
      <c r="AP195" s="187"/>
      <c r="AQ195" s="187"/>
      <c r="AR195" s="187"/>
      <c r="AS195" s="187"/>
      <c r="AT195" s="187"/>
      <c r="AU195" s="187"/>
      <c r="AV195" s="187"/>
      <c r="AW195" s="187"/>
      <c r="AX195" s="187"/>
      <c r="AY195" s="187"/>
      <c r="AZ195" s="187"/>
      <c r="BA195" s="187"/>
      <c r="BB195" s="187"/>
      <c r="BC195" s="187"/>
      <c r="BD195" s="187"/>
      <c r="BE195" s="187"/>
      <c r="BF195" s="187"/>
      <c r="BG195" s="187"/>
      <c r="BH195" s="187"/>
    </row>
    <row r="196" spans="2:60" ht="15" customHeight="1">
      <c r="B196" s="187"/>
      <c r="C196" s="187"/>
      <c r="D196" s="187"/>
      <c r="E196" s="187"/>
      <c r="F196" s="187"/>
      <c r="G196" s="187"/>
      <c r="H196" s="187"/>
      <c r="I196" s="187"/>
      <c r="J196" s="187"/>
      <c r="K196" s="187"/>
      <c r="L196" s="187"/>
      <c r="M196" s="187"/>
      <c r="N196" s="187"/>
      <c r="O196" s="187"/>
      <c r="P196" s="187"/>
      <c r="Q196" s="187"/>
      <c r="R196" s="187"/>
      <c r="S196" s="187"/>
      <c r="T196" s="187"/>
      <c r="U196" s="187"/>
      <c r="V196" s="187"/>
      <c r="W196" s="187"/>
      <c r="X196" s="187"/>
      <c r="Y196" s="187"/>
      <c r="Z196" s="187"/>
      <c r="AA196" s="187"/>
      <c r="AB196" s="187"/>
      <c r="AC196" s="187"/>
      <c r="AD196" s="187"/>
      <c r="AE196" s="187"/>
      <c r="AF196" s="187"/>
      <c r="AG196" s="187"/>
      <c r="AH196" s="187"/>
      <c r="AI196" s="187"/>
      <c r="AJ196" s="187"/>
      <c r="AK196" s="187"/>
      <c r="AL196" s="187"/>
      <c r="AM196" s="187"/>
      <c r="AN196" s="187"/>
      <c r="AO196" s="187"/>
      <c r="AP196" s="187"/>
      <c r="AQ196" s="187"/>
      <c r="AR196" s="187"/>
      <c r="AS196" s="187"/>
      <c r="AT196" s="187"/>
      <c r="AU196" s="187"/>
      <c r="AV196" s="187"/>
      <c r="AW196" s="187"/>
      <c r="AX196" s="187"/>
      <c r="AY196" s="187"/>
      <c r="AZ196" s="187"/>
      <c r="BA196" s="187"/>
      <c r="BB196" s="187"/>
      <c r="BC196" s="187"/>
      <c r="BD196" s="187"/>
      <c r="BE196" s="187"/>
      <c r="BF196" s="187"/>
      <c r="BG196" s="187"/>
      <c r="BH196" s="187"/>
    </row>
    <row r="197" spans="2:60" ht="15" customHeight="1">
      <c r="B197" s="187"/>
      <c r="C197" s="187"/>
      <c r="D197" s="187"/>
      <c r="E197" s="187"/>
      <c r="F197" s="187"/>
      <c r="G197" s="187"/>
      <c r="H197" s="187"/>
      <c r="I197" s="187"/>
      <c r="J197" s="187"/>
      <c r="K197" s="187"/>
      <c r="L197" s="187"/>
      <c r="M197" s="187"/>
      <c r="N197" s="187"/>
      <c r="O197" s="187"/>
      <c r="P197" s="187"/>
      <c r="Q197" s="187"/>
      <c r="R197" s="187"/>
      <c r="S197" s="187"/>
      <c r="T197" s="187"/>
      <c r="U197" s="187"/>
      <c r="V197" s="187"/>
      <c r="W197" s="187"/>
      <c r="X197" s="187"/>
      <c r="Y197" s="187"/>
      <c r="Z197" s="187"/>
      <c r="AA197" s="187"/>
      <c r="AB197" s="187"/>
      <c r="AC197" s="187"/>
      <c r="AD197" s="187"/>
      <c r="AE197" s="187"/>
      <c r="AF197" s="187"/>
      <c r="AG197" s="187"/>
      <c r="AH197" s="187"/>
      <c r="AI197" s="187"/>
      <c r="AJ197" s="187"/>
      <c r="AK197" s="187"/>
      <c r="AL197" s="187"/>
      <c r="AM197" s="187"/>
      <c r="AN197" s="187"/>
      <c r="AO197" s="187"/>
      <c r="AP197" s="187"/>
      <c r="AQ197" s="187"/>
      <c r="AR197" s="187"/>
      <c r="AS197" s="187"/>
      <c r="AT197" s="187"/>
      <c r="AU197" s="187"/>
      <c r="AV197" s="187"/>
      <c r="AW197" s="187"/>
      <c r="AX197" s="187"/>
      <c r="AY197" s="187"/>
      <c r="AZ197" s="187"/>
      <c r="BA197" s="187"/>
      <c r="BB197" s="187"/>
      <c r="BC197" s="187"/>
      <c r="BD197" s="187"/>
      <c r="BE197" s="187"/>
      <c r="BF197" s="187"/>
      <c r="BG197" s="187"/>
      <c r="BH197" s="187"/>
    </row>
    <row r="198" spans="2:60" ht="15" customHeight="1">
      <c r="B198" s="187"/>
      <c r="C198" s="187"/>
      <c r="D198" s="187"/>
      <c r="E198" s="187"/>
      <c r="F198" s="187"/>
      <c r="G198" s="187"/>
      <c r="H198" s="187"/>
      <c r="I198" s="187"/>
      <c r="J198" s="187"/>
      <c r="K198" s="187"/>
      <c r="L198" s="187"/>
      <c r="M198" s="187"/>
      <c r="N198" s="187"/>
      <c r="O198" s="187"/>
      <c r="P198" s="187"/>
      <c r="Q198" s="187"/>
      <c r="R198" s="187"/>
      <c r="S198" s="187"/>
      <c r="T198" s="187"/>
      <c r="U198" s="187"/>
      <c r="V198" s="187"/>
      <c r="W198" s="187"/>
      <c r="X198" s="187"/>
      <c r="Y198" s="187"/>
      <c r="Z198" s="187"/>
      <c r="AA198" s="187"/>
      <c r="AB198" s="187"/>
      <c r="AC198" s="187"/>
      <c r="AD198" s="187"/>
      <c r="AE198" s="187"/>
      <c r="AF198" s="187"/>
      <c r="AG198" s="187"/>
      <c r="AH198" s="187"/>
      <c r="AI198" s="187"/>
      <c r="AJ198" s="187"/>
      <c r="AK198" s="187"/>
      <c r="AL198" s="187"/>
      <c r="AM198" s="187"/>
      <c r="AN198" s="187"/>
      <c r="AO198" s="187"/>
      <c r="AP198" s="187"/>
      <c r="AQ198" s="187"/>
      <c r="AR198" s="187"/>
      <c r="AS198" s="187"/>
      <c r="AT198" s="187"/>
      <c r="AU198" s="187"/>
      <c r="AV198" s="187"/>
      <c r="AW198" s="187"/>
      <c r="AX198" s="187"/>
      <c r="AY198" s="187"/>
      <c r="AZ198" s="187"/>
      <c r="BA198" s="187"/>
      <c r="BB198" s="187"/>
      <c r="BC198" s="187"/>
      <c r="BD198" s="187"/>
      <c r="BE198" s="187"/>
      <c r="BF198" s="187"/>
      <c r="BG198" s="187"/>
      <c r="BH198" s="187"/>
    </row>
    <row r="199" spans="2:60" ht="15" customHeight="1">
      <c r="B199" s="187"/>
      <c r="C199" s="187"/>
      <c r="D199" s="187"/>
      <c r="E199" s="187"/>
      <c r="F199" s="187"/>
      <c r="G199" s="187"/>
      <c r="H199" s="187"/>
      <c r="I199" s="187"/>
      <c r="J199" s="187"/>
      <c r="K199" s="187"/>
      <c r="L199" s="187"/>
      <c r="M199" s="187"/>
      <c r="N199" s="187"/>
      <c r="O199" s="187"/>
      <c r="P199" s="187"/>
      <c r="Q199" s="187"/>
      <c r="R199" s="187"/>
      <c r="S199" s="187"/>
      <c r="T199" s="187"/>
      <c r="U199" s="187"/>
      <c r="V199" s="187"/>
      <c r="W199" s="187"/>
      <c r="X199" s="187"/>
      <c r="Y199" s="187"/>
      <c r="Z199" s="187"/>
      <c r="AA199" s="187"/>
      <c r="AB199" s="187"/>
      <c r="AC199" s="187"/>
      <c r="AD199" s="187"/>
      <c r="AE199" s="187"/>
      <c r="AF199" s="187"/>
      <c r="AG199" s="187"/>
      <c r="AH199" s="187"/>
      <c r="AI199" s="187"/>
      <c r="AJ199" s="187"/>
      <c r="AK199" s="187"/>
      <c r="AL199" s="187"/>
      <c r="AM199" s="187"/>
      <c r="AN199" s="187"/>
      <c r="AO199" s="187"/>
      <c r="AP199" s="187"/>
      <c r="AQ199" s="187"/>
      <c r="AR199" s="187"/>
      <c r="AS199" s="187"/>
      <c r="AT199" s="187"/>
      <c r="AU199" s="187"/>
      <c r="AV199" s="187"/>
      <c r="AW199" s="187"/>
      <c r="AX199" s="187"/>
      <c r="AY199" s="187"/>
      <c r="AZ199" s="187"/>
      <c r="BA199" s="187"/>
      <c r="BB199" s="187"/>
      <c r="BC199" s="187"/>
      <c r="BD199" s="187"/>
      <c r="BE199" s="187"/>
      <c r="BF199" s="187"/>
      <c r="BG199" s="187"/>
      <c r="BH199" s="187"/>
    </row>
    <row r="200" spans="2:60" ht="15" customHeight="1">
      <c r="B200" s="187"/>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187"/>
      <c r="AR200" s="187"/>
      <c r="AS200" s="187"/>
      <c r="AT200" s="187"/>
      <c r="AU200" s="187"/>
      <c r="AV200" s="187"/>
      <c r="AW200" s="187"/>
      <c r="AX200" s="187"/>
      <c r="AY200" s="187"/>
      <c r="AZ200" s="187"/>
      <c r="BA200" s="187"/>
      <c r="BB200" s="187"/>
      <c r="BC200" s="187"/>
      <c r="BD200" s="187"/>
      <c r="BE200" s="187"/>
      <c r="BF200" s="187"/>
      <c r="BG200" s="187"/>
      <c r="BH200" s="187"/>
    </row>
    <row r="201" spans="2:60" ht="15" customHeight="1">
      <c r="B201" s="187"/>
      <c r="C201" s="187"/>
      <c r="D201" s="187"/>
      <c r="E201" s="187"/>
      <c r="F201" s="187"/>
      <c r="G201" s="187"/>
      <c r="H201" s="187"/>
      <c r="I201" s="187"/>
      <c r="J201" s="187"/>
      <c r="K201" s="187"/>
      <c r="L201" s="187"/>
      <c r="M201" s="187"/>
      <c r="N201" s="187"/>
      <c r="O201" s="187"/>
      <c r="P201" s="187"/>
      <c r="Q201" s="187"/>
      <c r="R201" s="187"/>
      <c r="S201" s="187"/>
      <c r="T201" s="187"/>
      <c r="U201" s="187"/>
      <c r="V201" s="187"/>
      <c r="W201" s="187"/>
      <c r="X201" s="187"/>
      <c r="Y201" s="187"/>
      <c r="Z201" s="187"/>
      <c r="AA201" s="187"/>
      <c r="AB201" s="187"/>
      <c r="AC201" s="187"/>
      <c r="AD201" s="187"/>
      <c r="AE201" s="187"/>
      <c r="AF201" s="187"/>
      <c r="AG201" s="187"/>
      <c r="AH201" s="187"/>
      <c r="AI201" s="187"/>
      <c r="AJ201" s="187"/>
      <c r="AK201" s="187"/>
      <c r="AL201" s="187"/>
      <c r="AM201" s="187"/>
      <c r="AN201" s="187"/>
      <c r="AO201" s="187"/>
      <c r="AP201" s="187"/>
      <c r="AQ201" s="187"/>
      <c r="AR201" s="187"/>
      <c r="AS201" s="187"/>
      <c r="AT201" s="187"/>
      <c r="AU201" s="187"/>
      <c r="AV201" s="187"/>
      <c r="AW201" s="187"/>
      <c r="AX201" s="187"/>
      <c r="AY201" s="187"/>
      <c r="AZ201" s="187"/>
      <c r="BA201" s="187"/>
      <c r="BB201" s="187"/>
      <c r="BC201" s="187"/>
      <c r="BD201" s="187"/>
      <c r="BE201" s="187"/>
      <c r="BF201" s="187"/>
      <c r="BG201" s="187"/>
      <c r="BH201" s="187"/>
    </row>
    <row r="202" spans="2:60" ht="15" customHeight="1">
      <c r="B202" s="187"/>
      <c r="C202" s="187"/>
      <c r="D202" s="187"/>
      <c r="E202" s="187"/>
      <c r="F202" s="187"/>
      <c r="G202" s="187"/>
      <c r="H202" s="187"/>
      <c r="I202" s="187"/>
      <c r="J202" s="187"/>
      <c r="K202" s="187"/>
      <c r="L202" s="187"/>
      <c r="M202" s="187"/>
      <c r="N202" s="187"/>
      <c r="O202" s="187"/>
      <c r="P202" s="187"/>
      <c r="Q202" s="187"/>
      <c r="R202" s="187"/>
      <c r="S202" s="187"/>
      <c r="T202" s="187"/>
      <c r="U202" s="187"/>
      <c r="V202" s="187"/>
      <c r="W202" s="187"/>
      <c r="X202" s="187"/>
      <c r="Y202" s="187"/>
      <c r="Z202" s="187"/>
      <c r="AA202" s="187"/>
      <c r="AB202" s="187"/>
      <c r="AC202" s="187"/>
      <c r="AD202" s="187"/>
      <c r="AE202" s="187"/>
      <c r="AF202" s="187"/>
      <c r="AG202" s="187"/>
      <c r="AH202" s="187"/>
      <c r="AI202" s="187"/>
      <c r="AJ202" s="187"/>
      <c r="AK202" s="187"/>
      <c r="AL202" s="187"/>
      <c r="AM202" s="187"/>
      <c r="AN202" s="187"/>
      <c r="AO202" s="187"/>
      <c r="AP202" s="187"/>
      <c r="AQ202" s="187"/>
      <c r="AR202" s="187"/>
      <c r="AS202" s="187"/>
      <c r="AT202" s="187"/>
      <c r="AU202" s="187"/>
      <c r="AV202" s="187"/>
      <c r="AW202" s="187"/>
      <c r="AX202" s="187"/>
      <c r="AY202" s="187"/>
      <c r="AZ202" s="187"/>
      <c r="BA202" s="187"/>
      <c r="BB202" s="187"/>
      <c r="BC202" s="187"/>
      <c r="BD202" s="187"/>
      <c r="BE202" s="187"/>
      <c r="BF202" s="187"/>
      <c r="BG202" s="187"/>
      <c r="BH202" s="187"/>
    </row>
    <row r="203" spans="2:60" ht="15" customHeight="1">
      <c r="B203" s="187"/>
      <c r="C203" s="187"/>
      <c r="D203" s="187"/>
      <c r="E203" s="187"/>
      <c r="F203" s="187"/>
      <c r="G203" s="187"/>
      <c r="H203" s="187"/>
      <c r="I203" s="187"/>
      <c r="J203" s="187"/>
      <c r="K203" s="187"/>
      <c r="L203" s="187"/>
      <c r="M203" s="187"/>
      <c r="N203" s="187"/>
      <c r="O203" s="187"/>
      <c r="P203" s="187"/>
      <c r="Q203" s="187"/>
      <c r="R203" s="187"/>
      <c r="S203" s="187"/>
      <c r="T203" s="187"/>
      <c r="U203" s="187"/>
      <c r="V203" s="187"/>
      <c r="W203" s="187"/>
      <c r="X203" s="187"/>
      <c r="Y203" s="187"/>
      <c r="Z203" s="187"/>
      <c r="AA203" s="187"/>
      <c r="AB203" s="187"/>
      <c r="AC203" s="187"/>
      <c r="AD203" s="187"/>
      <c r="AE203" s="187"/>
      <c r="AF203" s="187"/>
      <c r="AG203" s="187"/>
      <c r="AH203" s="187"/>
      <c r="AI203" s="187"/>
      <c r="AJ203" s="187"/>
      <c r="AK203" s="187"/>
      <c r="AL203" s="187"/>
      <c r="AM203" s="187"/>
      <c r="AN203" s="187"/>
      <c r="AO203" s="187"/>
      <c r="AP203" s="187"/>
      <c r="AQ203" s="187"/>
      <c r="AR203" s="187"/>
      <c r="AS203" s="187"/>
      <c r="AT203" s="187"/>
      <c r="AU203" s="187"/>
      <c r="AV203" s="187"/>
      <c r="AW203" s="187"/>
      <c r="AX203" s="187"/>
      <c r="AY203" s="187"/>
      <c r="AZ203" s="187"/>
      <c r="BA203" s="187"/>
      <c r="BB203" s="187"/>
      <c r="BC203" s="187"/>
      <c r="BD203" s="187"/>
      <c r="BE203" s="187"/>
      <c r="BF203" s="187"/>
      <c r="BG203" s="187"/>
      <c r="BH203" s="187"/>
    </row>
    <row r="204" spans="2:60" ht="15" customHeight="1">
      <c r="B204" s="187"/>
      <c r="C204" s="187"/>
      <c r="D204" s="187"/>
      <c r="E204" s="187"/>
      <c r="F204" s="187"/>
      <c r="G204" s="187"/>
      <c r="H204" s="187"/>
      <c r="I204" s="187"/>
      <c r="J204" s="187"/>
      <c r="K204" s="187"/>
      <c r="L204" s="187"/>
      <c r="M204" s="187"/>
      <c r="N204" s="187"/>
      <c r="O204" s="187"/>
      <c r="P204" s="187"/>
      <c r="Q204" s="187"/>
      <c r="R204" s="187"/>
      <c r="S204" s="187"/>
      <c r="T204" s="187"/>
      <c r="U204" s="187"/>
      <c r="V204" s="187"/>
      <c r="W204" s="187"/>
      <c r="X204" s="187"/>
      <c r="Y204" s="187"/>
      <c r="Z204" s="187"/>
      <c r="AA204" s="187"/>
      <c r="AB204" s="187"/>
      <c r="AC204" s="187"/>
      <c r="AD204" s="187"/>
      <c r="AE204" s="187"/>
      <c r="AF204" s="187"/>
      <c r="AG204" s="187"/>
      <c r="AH204" s="187"/>
      <c r="AI204" s="187"/>
      <c r="AJ204" s="187"/>
      <c r="AK204" s="187"/>
      <c r="AL204" s="187"/>
      <c r="AM204" s="187"/>
      <c r="AN204" s="187"/>
      <c r="AO204" s="187"/>
      <c r="AP204" s="187"/>
      <c r="AQ204" s="187"/>
      <c r="AR204" s="187"/>
      <c r="AS204" s="187"/>
      <c r="AT204" s="187"/>
      <c r="AU204" s="187"/>
      <c r="AV204" s="187"/>
      <c r="AW204" s="187"/>
      <c r="AX204" s="187"/>
      <c r="AY204" s="187"/>
      <c r="AZ204" s="187"/>
      <c r="BA204" s="187"/>
      <c r="BB204" s="187"/>
      <c r="BC204" s="187"/>
      <c r="BD204" s="187"/>
      <c r="BE204" s="187"/>
      <c r="BF204" s="187"/>
      <c r="BG204" s="187"/>
      <c r="BH204" s="187"/>
    </row>
    <row r="205" spans="2:60" ht="15" customHeight="1">
      <c r="B205" s="187"/>
      <c r="C205" s="187"/>
      <c r="D205" s="187"/>
      <c r="E205" s="187"/>
      <c r="F205" s="187"/>
      <c r="G205" s="187"/>
      <c r="H205" s="187"/>
      <c r="I205" s="187"/>
      <c r="J205" s="187"/>
      <c r="K205" s="187"/>
      <c r="L205" s="187"/>
      <c r="M205" s="187"/>
      <c r="N205" s="187"/>
      <c r="O205" s="187"/>
      <c r="P205" s="187"/>
      <c r="Q205" s="187"/>
      <c r="R205" s="187"/>
      <c r="S205" s="187"/>
      <c r="T205" s="187"/>
      <c r="U205" s="187"/>
      <c r="V205" s="187"/>
      <c r="W205" s="187"/>
      <c r="X205" s="187"/>
      <c r="Y205" s="187"/>
      <c r="Z205" s="187"/>
      <c r="AA205" s="187"/>
      <c r="AB205" s="187"/>
      <c r="AC205" s="187"/>
      <c r="AD205" s="187"/>
      <c r="AE205" s="187"/>
      <c r="AF205" s="187"/>
      <c r="AG205" s="187"/>
      <c r="AH205" s="187"/>
      <c r="AI205" s="187"/>
      <c r="AJ205" s="187"/>
      <c r="AK205" s="187"/>
      <c r="AL205" s="187"/>
      <c r="AM205" s="187"/>
      <c r="AN205" s="187"/>
      <c r="AO205" s="187"/>
      <c r="AP205" s="187"/>
      <c r="AQ205" s="187"/>
      <c r="AR205" s="187"/>
      <c r="AS205" s="187"/>
      <c r="AT205" s="187"/>
      <c r="AU205" s="187"/>
      <c r="AV205" s="187"/>
      <c r="AW205" s="187"/>
      <c r="AX205" s="187"/>
      <c r="AY205" s="187"/>
      <c r="AZ205" s="187"/>
      <c r="BA205" s="187"/>
      <c r="BB205" s="187"/>
      <c r="BC205" s="187"/>
      <c r="BD205" s="187"/>
      <c r="BE205" s="187"/>
      <c r="BF205" s="187"/>
      <c r="BG205" s="187"/>
      <c r="BH205" s="187"/>
    </row>
    <row r="206" spans="2:60" ht="15" customHeight="1">
      <c r="B206" s="187"/>
      <c r="C206" s="187"/>
      <c r="D206" s="187"/>
      <c r="E206" s="187"/>
      <c r="F206" s="187"/>
      <c r="G206" s="187"/>
      <c r="H206" s="187"/>
      <c r="I206" s="187"/>
      <c r="J206" s="187"/>
      <c r="K206" s="187"/>
      <c r="L206" s="187"/>
      <c r="M206" s="187"/>
      <c r="N206" s="187"/>
      <c r="O206" s="187"/>
      <c r="P206" s="187"/>
      <c r="Q206" s="187"/>
      <c r="R206" s="187"/>
      <c r="S206" s="187"/>
      <c r="T206" s="187"/>
      <c r="U206" s="187"/>
      <c r="V206" s="187"/>
      <c r="W206" s="187"/>
      <c r="X206" s="187"/>
      <c r="Y206" s="187"/>
      <c r="Z206" s="187"/>
      <c r="AA206" s="187"/>
      <c r="AB206" s="187"/>
      <c r="AC206" s="187"/>
      <c r="AD206" s="187"/>
      <c r="AE206" s="187"/>
      <c r="AF206" s="187"/>
      <c r="AG206" s="187"/>
      <c r="AH206" s="187"/>
      <c r="AI206" s="187"/>
      <c r="AJ206" s="187"/>
      <c r="AK206" s="187"/>
      <c r="AL206" s="187"/>
      <c r="AM206" s="187"/>
      <c r="AN206" s="187"/>
      <c r="AO206" s="187"/>
      <c r="AP206" s="187"/>
      <c r="AQ206" s="187"/>
      <c r="AR206" s="187"/>
      <c r="AS206" s="187"/>
      <c r="AT206" s="187"/>
      <c r="AU206" s="187"/>
      <c r="AV206" s="187"/>
      <c r="AW206" s="187"/>
      <c r="AX206" s="187"/>
      <c r="AY206" s="187"/>
      <c r="AZ206" s="187"/>
      <c r="BA206" s="187"/>
      <c r="BB206" s="187"/>
      <c r="BC206" s="187"/>
      <c r="BD206" s="187"/>
      <c r="BE206" s="187"/>
      <c r="BF206" s="187"/>
      <c r="BG206" s="187"/>
      <c r="BH206" s="187"/>
    </row>
    <row r="207" spans="2:60" ht="15" customHeight="1">
      <c r="B207" s="187"/>
      <c r="C207" s="187"/>
      <c r="D207" s="187"/>
      <c r="E207" s="187"/>
      <c r="F207" s="187"/>
      <c r="G207" s="187"/>
      <c r="H207" s="187"/>
      <c r="I207" s="187"/>
      <c r="J207" s="187"/>
      <c r="K207" s="187"/>
      <c r="L207" s="187"/>
      <c r="M207" s="187"/>
      <c r="N207" s="187"/>
      <c r="O207" s="187"/>
      <c r="P207" s="187"/>
      <c r="Q207" s="187"/>
      <c r="R207" s="187"/>
      <c r="S207" s="187"/>
      <c r="T207" s="187"/>
      <c r="U207" s="187"/>
      <c r="V207" s="187"/>
      <c r="W207" s="187"/>
      <c r="X207" s="187"/>
      <c r="Y207" s="187"/>
      <c r="Z207" s="187"/>
      <c r="AA207" s="187"/>
      <c r="AB207" s="187"/>
      <c r="AC207" s="187"/>
      <c r="AD207" s="187"/>
      <c r="AE207" s="187"/>
      <c r="AF207" s="187"/>
      <c r="AG207" s="187"/>
      <c r="AH207" s="187"/>
      <c r="AI207" s="187"/>
      <c r="AJ207" s="187"/>
      <c r="AK207" s="187"/>
      <c r="AL207" s="187"/>
      <c r="AM207" s="187"/>
      <c r="AN207" s="187"/>
      <c r="AO207" s="187"/>
      <c r="AP207" s="187"/>
      <c r="AQ207" s="187"/>
      <c r="AR207" s="187"/>
      <c r="AS207" s="187"/>
      <c r="AT207" s="187"/>
      <c r="AU207" s="187"/>
      <c r="AV207" s="187"/>
      <c r="AW207" s="187"/>
      <c r="AX207" s="187"/>
      <c r="AY207" s="187"/>
      <c r="AZ207" s="187"/>
      <c r="BA207" s="187"/>
      <c r="BB207" s="187"/>
      <c r="BC207" s="187"/>
      <c r="BD207" s="187"/>
      <c r="BE207" s="187"/>
      <c r="BF207" s="187"/>
      <c r="BG207" s="187"/>
      <c r="BH207" s="187"/>
    </row>
    <row r="208" spans="2:60" ht="15" customHeight="1">
      <c r="B208" s="187"/>
      <c r="C208" s="187"/>
      <c r="D208" s="187"/>
      <c r="E208" s="187"/>
      <c r="F208" s="187"/>
      <c r="G208" s="187"/>
      <c r="H208" s="187"/>
      <c r="I208" s="187"/>
      <c r="J208" s="187"/>
      <c r="K208" s="187"/>
      <c r="L208" s="187"/>
      <c r="M208" s="187"/>
      <c r="N208" s="187"/>
      <c r="O208" s="187"/>
      <c r="P208" s="187"/>
      <c r="Q208" s="187"/>
      <c r="R208" s="187"/>
      <c r="S208" s="187"/>
      <c r="T208" s="187"/>
      <c r="U208" s="187"/>
      <c r="V208" s="187"/>
      <c r="W208" s="187"/>
      <c r="X208" s="187"/>
      <c r="Y208" s="187"/>
      <c r="Z208" s="187"/>
      <c r="AA208" s="187"/>
      <c r="AB208" s="187"/>
      <c r="AC208" s="187"/>
      <c r="AD208" s="187"/>
      <c r="AE208" s="187"/>
      <c r="AF208" s="187"/>
      <c r="AG208" s="187"/>
      <c r="AH208" s="187"/>
      <c r="AI208" s="187"/>
      <c r="AJ208" s="187"/>
      <c r="AK208" s="187"/>
      <c r="AL208" s="187"/>
      <c r="AM208" s="187"/>
      <c r="AN208" s="187"/>
      <c r="AO208" s="187"/>
      <c r="AP208" s="187"/>
      <c r="AQ208" s="187"/>
      <c r="AR208" s="187"/>
      <c r="AS208" s="187"/>
      <c r="AT208" s="187"/>
      <c r="AU208" s="187"/>
      <c r="AV208" s="187"/>
      <c r="AW208" s="187"/>
      <c r="AX208" s="187"/>
      <c r="AY208" s="187"/>
      <c r="AZ208" s="187"/>
      <c r="BA208" s="187"/>
      <c r="BB208" s="187"/>
      <c r="BC208" s="187"/>
      <c r="BD208" s="187"/>
      <c r="BE208" s="187"/>
      <c r="BF208" s="187"/>
      <c r="BG208" s="187"/>
      <c r="BH208" s="187"/>
    </row>
    <row r="209" spans="2:60" ht="15" customHeight="1">
      <c r="B209" s="187"/>
      <c r="C209" s="187"/>
      <c r="D209" s="187"/>
      <c r="E209" s="187"/>
      <c r="F209" s="187"/>
      <c r="G209" s="187"/>
      <c r="H209" s="187"/>
      <c r="I209" s="187"/>
      <c r="J209" s="187"/>
      <c r="K209" s="187"/>
      <c r="L209" s="187"/>
      <c r="M209" s="187"/>
      <c r="N209" s="187"/>
      <c r="O209" s="187"/>
      <c r="P209" s="187"/>
      <c r="Q209" s="187"/>
      <c r="R209" s="187"/>
      <c r="S209" s="187"/>
      <c r="T209" s="187"/>
      <c r="U209" s="187"/>
      <c r="V209" s="187"/>
      <c r="W209" s="187"/>
      <c r="X209" s="187"/>
      <c r="Y209" s="187"/>
      <c r="Z209" s="187"/>
      <c r="AA209" s="187"/>
      <c r="AB209" s="187"/>
      <c r="AC209" s="187"/>
      <c r="AD209" s="187"/>
      <c r="AE209" s="187"/>
      <c r="AF209" s="187"/>
      <c r="AG209" s="187"/>
      <c r="AH209" s="187"/>
      <c r="AI209" s="187"/>
      <c r="AJ209" s="187"/>
      <c r="AK209" s="187"/>
      <c r="AL209" s="187"/>
      <c r="AM209" s="187"/>
      <c r="AN209" s="187"/>
      <c r="AO209" s="187"/>
      <c r="AP209" s="187"/>
      <c r="AQ209" s="187"/>
      <c r="AR209" s="187"/>
      <c r="AS209" s="187"/>
      <c r="AT209" s="187"/>
      <c r="AU209" s="187"/>
      <c r="AV209" s="187"/>
      <c r="AW209" s="187"/>
      <c r="AX209" s="187"/>
      <c r="AY209" s="187"/>
      <c r="AZ209" s="187"/>
      <c r="BA209" s="187"/>
      <c r="BB209" s="187"/>
      <c r="BC209" s="187"/>
      <c r="BD209" s="187"/>
      <c r="BE209" s="187"/>
      <c r="BF209" s="187"/>
      <c r="BG209" s="187"/>
      <c r="BH209" s="187"/>
    </row>
    <row r="210" spans="2:60" ht="15" customHeight="1">
      <c r="B210" s="187"/>
      <c r="C210" s="187"/>
      <c r="D210" s="187"/>
      <c r="E210" s="187"/>
      <c r="F210" s="187"/>
      <c r="G210" s="187"/>
      <c r="H210" s="187"/>
      <c r="I210" s="187"/>
      <c r="J210" s="187"/>
      <c r="K210" s="187"/>
      <c r="L210" s="187"/>
      <c r="M210" s="187"/>
      <c r="N210" s="187"/>
      <c r="O210" s="187"/>
      <c r="P210" s="187"/>
      <c r="Q210" s="187"/>
      <c r="R210" s="187"/>
      <c r="S210" s="187"/>
      <c r="T210" s="187"/>
      <c r="U210" s="187"/>
      <c r="V210" s="187"/>
      <c r="W210" s="187"/>
      <c r="X210" s="187"/>
      <c r="Y210" s="187"/>
      <c r="Z210" s="187"/>
      <c r="AA210" s="187"/>
      <c r="AB210" s="187"/>
      <c r="AC210" s="187"/>
      <c r="AD210" s="187"/>
      <c r="AE210" s="187"/>
      <c r="AF210" s="187"/>
      <c r="AG210" s="187"/>
      <c r="AH210" s="187"/>
      <c r="AI210" s="187"/>
      <c r="AJ210" s="187"/>
      <c r="AK210" s="187"/>
      <c r="AL210" s="187"/>
      <c r="AM210" s="187"/>
      <c r="AN210" s="187"/>
      <c r="AO210" s="187"/>
      <c r="AP210" s="187"/>
      <c r="AQ210" s="187"/>
      <c r="AR210" s="187"/>
      <c r="AS210" s="187"/>
      <c r="AT210" s="187"/>
      <c r="AU210" s="187"/>
      <c r="AV210" s="187"/>
      <c r="AW210" s="187"/>
      <c r="AX210" s="187"/>
      <c r="AY210" s="187"/>
      <c r="AZ210" s="187"/>
      <c r="BA210" s="187"/>
      <c r="BB210" s="187"/>
      <c r="BC210" s="187"/>
      <c r="BD210" s="187"/>
      <c r="BE210" s="187"/>
      <c r="BF210" s="187"/>
      <c r="BG210" s="187"/>
      <c r="BH210" s="187"/>
    </row>
    <row r="211" spans="2:60" ht="15" customHeight="1">
      <c r="B211" s="187"/>
      <c r="C211" s="187"/>
      <c r="D211" s="187"/>
      <c r="E211" s="187"/>
      <c r="F211" s="187"/>
      <c r="G211" s="187"/>
      <c r="H211" s="187"/>
      <c r="I211" s="187"/>
      <c r="J211" s="187"/>
      <c r="K211" s="187"/>
      <c r="L211" s="187"/>
      <c r="M211" s="187"/>
      <c r="N211" s="187"/>
      <c r="O211" s="187"/>
      <c r="P211" s="187"/>
      <c r="Q211" s="187"/>
      <c r="R211" s="187"/>
      <c r="S211" s="187"/>
      <c r="T211" s="187"/>
      <c r="U211" s="187"/>
      <c r="V211" s="187"/>
      <c r="W211" s="187"/>
      <c r="X211" s="187"/>
      <c r="Y211" s="187"/>
      <c r="Z211" s="187"/>
      <c r="AA211" s="187"/>
      <c r="AB211" s="187"/>
      <c r="AC211" s="187"/>
      <c r="AD211" s="187"/>
      <c r="AE211" s="187"/>
      <c r="AF211" s="187"/>
      <c r="AG211" s="187"/>
      <c r="AH211" s="187"/>
      <c r="AI211" s="187"/>
      <c r="AJ211" s="187"/>
      <c r="AK211" s="187"/>
      <c r="AL211" s="187"/>
      <c r="AM211" s="187"/>
      <c r="AN211" s="187"/>
      <c r="AO211" s="187"/>
      <c r="AP211" s="187"/>
      <c r="AQ211" s="187"/>
      <c r="AR211" s="187"/>
      <c r="AS211" s="187"/>
      <c r="AT211" s="187"/>
      <c r="AU211" s="187"/>
      <c r="AV211" s="187"/>
      <c r="AW211" s="187"/>
      <c r="AX211" s="187"/>
      <c r="AY211" s="187"/>
      <c r="AZ211" s="187"/>
      <c r="BA211" s="187"/>
      <c r="BB211" s="187"/>
      <c r="BC211" s="187"/>
      <c r="BD211" s="187"/>
      <c r="BE211" s="187"/>
      <c r="BF211" s="187"/>
      <c r="BG211" s="187"/>
      <c r="BH211" s="187"/>
    </row>
    <row r="212" spans="2:60" ht="15" customHeight="1">
      <c r="B212" s="187"/>
      <c r="C212" s="187"/>
      <c r="D212" s="187"/>
      <c r="E212" s="187"/>
      <c r="F212" s="187"/>
      <c r="G212" s="187"/>
      <c r="H212" s="187"/>
      <c r="I212" s="187"/>
      <c r="J212" s="187"/>
      <c r="K212" s="187"/>
      <c r="L212" s="187"/>
      <c r="M212" s="187"/>
      <c r="N212" s="187"/>
      <c r="O212" s="187"/>
      <c r="P212" s="187"/>
      <c r="Q212" s="187"/>
      <c r="R212" s="187"/>
      <c r="S212" s="187"/>
      <c r="T212" s="187"/>
      <c r="U212" s="187"/>
      <c r="V212" s="187"/>
      <c r="W212" s="187"/>
      <c r="X212" s="187"/>
      <c r="Y212" s="187"/>
      <c r="Z212" s="187"/>
      <c r="AA212" s="187"/>
      <c r="AB212" s="187"/>
      <c r="AC212" s="187"/>
      <c r="AD212" s="187"/>
      <c r="AE212" s="187"/>
      <c r="AF212" s="187"/>
      <c r="AG212" s="187"/>
      <c r="AH212" s="187"/>
      <c r="AI212" s="187"/>
      <c r="AJ212" s="187"/>
      <c r="AK212" s="187"/>
      <c r="AL212" s="187"/>
      <c r="AM212" s="187"/>
      <c r="AN212" s="187"/>
      <c r="AO212" s="187"/>
      <c r="AP212" s="187"/>
      <c r="AQ212" s="187"/>
      <c r="AR212" s="187"/>
      <c r="AS212" s="187"/>
      <c r="AT212" s="187"/>
      <c r="AU212" s="187"/>
      <c r="AV212" s="187"/>
      <c r="AW212" s="187"/>
      <c r="AX212" s="187"/>
      <c r="AY212" s="187"/>
      <c r="AZ212" s="187"/>
      <c r="BA212" s="187"/>
      <c r="BB212" s="187"/>
      <c r="BC212" s="187"/>
      <c r="BD212" s="187"/>
      <c r="BE212" s="187"/>
      <c r="BF212" s="187"/>
      <c r="BG212" s="187"/>
      <c r="BH212" s="187"/>
    </row>
    <row r="213" spans="2:60" ht="15" customHeight="1">
      <c r="B213" s="187"/>
      <c r="C213" s="187"/>
      <c r="D213" s="187"/>
      <c r="E213" s="187"/>
      <c r="F213" s="187"/>
      <c r="G213" s="187"/>
      <c r="H213" s="187"/>
      <c r="I213" s="187"/>
      <c r="J213" s="187"/>
      <c r="K213" s="187"/>
      <c r="L213" s="187"/>
      <c r="M213" s="187"/>
      <c r="N213" s="187"/>
      <c r="O213" s="187"/>
      <c r="P213" s="187"/>
      <c r="Q213" s="187"/>
      <c r="R213" s="187"/>
      <c r="S213" s="187"/>
      <c r="T213" s="187"/>
      <c r="U213" s="187"/>
      <c r="V213" s="187"/>
      <c r="W213" s="187"/>
      <c r="X213" s="187"/>
      <c r="Y213" s="187"/>
      <c r="Z213" s="187"/>
      <c r="AA213" s="187"/>
      <c r="AB213" s="187"/>
      <c r="AC213" s="187"/>
      <c r="AD213" s="187"/>
      <c r="AE213" s="187"/>
      <c r="AF213" s="187"/>
      <c r="AG213" s="187"/>
      <c r="AH213" s="187"/>
      <c r="AI213" s="187"/>
      <c r="AJ213" s="187"/>
      <c r="AK213" s="187"/>
      <c r="AL213" s="187"/>
      <c r="AM213" s="187"/>
      <c r="AN213" s="187"/>
      <c r="AO213" s="187"/>
      <c r="AP213" s="187"/>
      <c r="AQ213" s="187"/>
      <c r="AR213" s="187"/>
      <c r="AS213" s="187"/>
      <c r="AT213" s="187"/>
      <c r="AU213" s="187"/>
      <c r="AV213" s="187"/>
      <c r="AW213" s="187"/>
      <c r="AX213" s="187"/>
      <c r="AY213" s="187"/>
      <c r="AZ213" s="187"/>
      <c r="BA213" s="187"/>
      <c r="BB213" s="187"/>
      <c r="BC213" s="187"/>
      <c r="BD213" s="187"/>
      <c r="BE213" s="187"/>
      <c r="BF213" s="187"/>
      <c r="BG213" s="187"/>
      <c r="BH213" s="187"/>
    </row>
    <row r="214" spans="2:60" ht="15" customHeight="1">
      <c r="B214" s="187"/>
      <c r="C214" s="187"/>
      <c r="D214" s="187"/>
      <c r="E214" s="187"/>
      <c r="F214" s="187"/>
      <c r="G214" s="187"/>
      <c r="H214" s="187"/>
      <c r="I214" s="187"/>
      <c r="J214" s="187"/>
      <c r="K214" s="187"/>
      <c r="L214" s="187"/>
      <c r="M214" s="187"/>
      <c r="N214" s="187"/>
      <c r="O214" s="187"/>
      <c r="P214" s="187"/>
      <c r="Q214" s="187"/>
      <c r="R214" s="187"/>
      <c r="S214" s="187"/>
      <c r="T214" s="187"/>
      <c r="U214" s="187"/>
      <c r="V214" s="187"/>
      <c r="W214" s="187"/>
      <c r="X214" s="187"/>
      <c r="Y214" s="187"/>
      <c r="Z214" s="187"/>
      <c r="AA214" s="187"/>
      <c r="AB214" s="187"/>
      <c r="AC214" s="187"/>
      <c r="AD214" s="187"/>
      <c r="AE214" s="187"/>
      <c r="AF214" s="187"/>
      <c r="AG214" s="187"/>
      <c r="AH214" s="187"/>
      <c r="AI214" s="187"/>
      <c r="AJ214" s="187"/>
      <c r="AK214" s="187"/>
      <c r="AL214" s="187"/>
      <c r="AM214" s="187"/>
      <c r="AN214" s="187"/>
      <c r="AO214" s="187"/>
      <c r="AP214" s="187"/>
      <c r="AQ214" s="187"/>
      <c r="AR214" s="187"/>
      <c r="AS214" s="187"/>
      <c r="AT214" s="187"/>
      <c r="AU214" s="187"/>
      <c r="AV214" s="187"/>
      <c r="AW214" s="187"/>
      <c r="AX214" s="187"/>
      <c r="AY214" s="187"/>
      <c r="AZ214" s="187"/>
      <c r="BA214" s="187"/>
      <c r="BB214" s="187"/>
      <c r="BC214" s="187"/>
      <c r="BD214" s="187"/>
      <c r="BE214" s="187"/>
      <c r="BF214" s="187"/>
      <c r="BG214" s="187"/>
      <c r="BH214" s="187"/>
    </row>
    <row r="215" spans="2:60" ht="15" customHeight="1">
      <c r="B215" s="187"/>
      <c r="C215" s="187"/>
      <c r="D215" s="187"/>
      <c r="E215" s="187"/>
      <c r="F215" s="187"/>
      <c r="G215" s="187"/>
      <c r="H215" s="187"/>
      <c r="I215" s="187"/>
      <c r="J215" s="187"/>
      <c r="K215" s="187"/>
      <c r="L215" s="187"/>
      <c r="M215" s="187"/>
      <c r="N215" s="187"/>
      <c r="O215" s="187"/>
      <c r="P215" s="187"/>
      <c r="Q215" s="187"/>
      <c r="R215" s="187"/>
      <c r="S215" s="187"/>
      <c r="T215" s="187"/>
      <c r="U215" s="187"/>
      <c r="V215" s="187"/>
      <c r="W215" s="187"/>
      <c r="X215" s="187"/>
      <c r="Y215" s="187"/>
      <c r="Z215" s="187"/>
      <c r="AA215" s="187"/>
      <c r="AB215" s="187"/>
      <c r="AC215" s="187"/>
      <c r="AD215" s="187"/>
      <c r="AE215" s="187"/>
      <c r="AF215" s="187"/>
      <c r="AG215" s="187"/>
      <c r="AH215" s="187"/>
      <c r="AI215" s="187"/>
      <c r="AJ215" s="187"/>
      <c r="AK215" s="187"/>
      <c r="AL215" s="187"/>
      <c r="AM215" s="187"/>
      <c r="AN215" s="187"/>
      <c r="AO215" s="187"/>
      <c r="AP215" s="187"/>
      <c r="AQ215" s="187"/>
      <c r="AR215" s="187"/>
      <c r="AS215" s="187"/>
      <c r="AT215" s="187"/>
      <c r="AU215" s="187"/>
      <c r="AV215" s="187"/>
      <c r="AW215" s="187"/>
      <c r="AX215" s="187"/>
      <c r="AY215" s="187"/>
      <c r="AZ215" s="187"/>
      <c r="BA215" s="187"/>
      <c r="BB215" s="187"/>
      <c r="BC215" s="187"/>
      <c r="BD215" s="187"/>
      <c r="BE215" s="187"/>
      <c r="BF215" s="187"/>
      <c r="BG215" s="187"/>
      <c r="BH215" s="187"/>
    </row>
    <row r="216" spans="2:60" ht="15" customHeight="1">
      <c r="B216" s="187"/>
      <c r="C216" s="187"/>
      <c r="D216" s="187"/>
      <c r="E216" s="187"/>
      <c r="F216" s="187"/>
      <c r="G216" s="187"/>
      <c r="H216" s="187"/>
      <c r="I216" s="187"/>
      <c r="J216" s="187"/>
      <c r="K216" s="187"/>
      <c r="L216" s="187"/>
      <c r="M216" s="187"/>
      <c r="N216" s="187"/>
      <c r="O216" s="187"/>
      <c r="P216" s="187"/>
      <c r="Q216" s="187"/>
      <c r="R216" s="187"/>
      <c r="S216" s="187"/>
      <c r="T216" s="187"/>
      <c r="U216" s="187"/>
      <c r="V216" s="187"/>
      <c r="W216" s="187"/>
      <c r="X216" s="187"/>
      <c r="Y216" s="187"/>
      <c r="Z216" s="187"/>
      <c r="AA216" s="187"/>
      <c r="AB216" s="187"/>
      <c r="AC216" s="187"/>
      <c r="AD216" s="187"/>
      <c r="AE216" s="187"/>
      <c r="AF216" s="187"/>
      <c r="AG216" s="187"/>
      <c r="AH216" s="187"/>
      <c r="AI216" s="187"/>
      <c r="AJ216" s="187"/>
      <c r="AK216" s="187"/>
      <c r="AL216" s="187"/>
      <c r="AM216" s="187"/>
      <c r="AN216" s="187"/>
      <c r="AO216" s="187"/>
      <c r="AP216" s="187"/>
      <c r="AQ216" s="187"/>
      <c r="AR216" s="187"/>
      <c r="AS216" s="187"/>
      <c r="AT216" s="187"/>
      <c r="AU216" s="187"/>
      <c r="AV216" s="187"/>
      <c r="AW216" s="187"/>
      <c r="AX216" s="187"/>
      <c r="AY216" s="187"/>
      <c r="AZ216" s="187"/>
      <c r="BA216" s="187"/>
      <c r="BB216" s="187"/>
      <c r="BC216" s="187"/>
      <c r="BD216" s="187"/>
      <c r="BE216" s="187"/>
      <c r="BF216" s="187"/>
      <c r="BG216" s="187"/>
      <c r="BH216" s="187"/>
    </row>
    <row r="217" spans="2:60" ht="15" customHeight="1">
      <c r="B217" s="187"/>
      <c r="C217" s="187"/>
      <c r="D217" s="187"/>
      <c r="E217" s="187"/>
      <c r="F217" s="187"/>
      <c r="G217" s="187"/>
      <c r="H217" s="187"/>
      <c r="I217" s="187"/>
      <c r="J217" s="187"/>
      <c r="K217" s="187"/>
      <c r="L217" s="187"/>
      <c r="M217" s="187"/>
      <c r="N217" s="187"/>
      <c r="O217" s="187"/>
      <c r="P217" s="187"/>
      <c r="Q217" s="187"/>
      <c r="R217" s="187"/>
      <c r="S217" s="187"/>
      <c r="T217" s="187"/>
      <c r="U217" s="187"/>
      <c r="V217" s="187"/>
      <c r="W217" s="187"/>
      <c r="X217" s="187"/>
      <c r="Y217" s="187"/>
      <c r="Z217" s="187"/>
      <c r="AA217" s="187"/>
      <c r="AB217" s="187"/>
      <c r="AC217" s="187"/>
      <c r="AD217" s="187"/>
      <c r="AE217" s="187"/>
      <c r="AF217" s="187"/>
      <c r="AG217" s="187"/>
      <c r="AH217" s="187"/>
      <c r="AI217" s="187"/>
      <c r="AJ217" s="187"/>
      <c r="AK217" s="187"/>
      <c r="AL217" s="187"/>
      <c r="AM217" s="187"/>
      <c r="AN217" s="187"/>
      <c r="AO217" s="187"/>
      <c r="AP217" s="187"/>
      <c r="AQ217" s="187"/>
      <c r="AR217" s="187"/>
      <c r="AS217" s="187"/>
      <c r="AT217" s="187"/>
      <c r="AU217" s="187"/>
      <c r="AV217" s="187"/>
      <c r="AW217" s="187"/>
      <c r="AX217" s="187"/>
      <c r="AY217" s="187"/>
      <c r="AZ217" s="187"/>
      <c r="BA217" s="187"/>
      <c r="BB217" s="187"/>
      <c r="BC217" s="187"/>
      <c r="BD217" s="187"/>
      <c r="BE217" s="187"/>
      <c r="BF217" s="187"/>
      <c r="BG217" s="187"/>
      <c r="BH217" s="187"/>
    </row>
    <row r="218" spans="2:60" ht="15" customHeight="1">
      <c r="B218" s="187"/>
      <c r="C218" s="187"/>
      <c r="D218" s="187"/>
      <c r="E218" s="187"/>
      <c r="F218" s="187"/>
      <c r="G218" s="187"/>
      <c r="H218" s="187"/>
      <c r="I218" s="187"/>
      <c r="J218" s="187"/>
      <c r="K218" s="187"/>
      <c r="L218" s="187"/>
      <c r="M218" s="187"/>
      <c r="N218" s="187"/>
      <c r="O218" s="187"/>
      <c r="P218" s="187"/>
      <c r="Q218" s="187"/>
      <c r="R218" s="187"/>
      <c r="S218" s="187"/>
      <c r="T218" s="187"/>
      <c r="U218" s="187"/>
      <c r="V218" s="187"/>
      <c r="W218" s="187"/>
      <c r="X218" s="187"/>
      <c r="Y218" s="187"/>
      <c r="Z218" s="187"/>
      <c r="AA218" s="187"/>
      <c r="AB218" s="187"/>
      <c r="AC218" s="187"/>
      <c r="AD218" s="187"/>
      <c r="AE218" s="187"/>
      <c r="AF218" s="187"/>
      <c r="AG218" s="187"/>
      <c r="AH218" s="187"/>
      <c r="AI218" s="187"/>
      <c r="AJ218" s="187"/>
      <c r="AK218" s="187"/>
      <c r="AL218" s="187"/>
      <c r="AM218" s="187"/>
      <c r="AN218" s="187"/>
      <c r="AO218" s="187"/>
      <c r="AP218" s="187"/>
      <c r="AQ218" s="187"/>
      <c r="AR218" s="187"/>
      <c r="AS218" s="187"/>
      <c r="AT218" s="187"/>
      <c r="AU218" s="187"/>
      <c r="AV218" s="187"/>
      <c r="AW218" s="187"/>
      <c r="AX218" s="187"/>
      <c r="AY218" s="187"/>
      <c r="AZ218" s="187"/>
      <c r="BA218" s="187"/>
      <c r="BB218" s="187"/>
      <c r="BC218" s="187"/>
      <c r="BD218" s="187"/>
      <c r="BE218" s="187"/>
      <c r="BF218" s="187"/>
      <c r="BG218" s="187"/>
      <c r="BH218" s="187"/>
    </row>
    <row r="219" spans="2:60" ht="15" customHeight="1">
      <c r="B219" s="187"/>
      <c r="C219" s="187"/>
      <c r="D219" s="187"/>
      <c r="E219" s="187"/>
      <c r="F219" s="187"/>
      <c r="G219" s="187"/>
      <c r="H219" s="187"/>
      <c r="I219" s="187"/>
      <c r="J219" s="187"/>
      <c r="K219" s="187"/>
      <c r="L219" s="187"/>
      <c r="M219" s="187"/>
      <c r="N219" s="187"/>
      <c r="O219" s="187"/>
      <c r="P219" s="187"/>
      <c r="Q219" s="187"/>
      <c r="R219" s="187"/>
      <c r="S219" s="187"/>
      <c r="T219" s="187"/>
      <c r="U219" s="187"/>
      <c r="V219" s="187"/>
      <c r="W219" s="187"/>
      <c r="X219" s="187"/>
      <c r="Y219" s="187"/>
      <c r="Z219" s="187"/>
      <c r="AA219" s="187"/>
      <c r="AB219" s="187"/>
      <c r="AC219" s="187"/>
      <c r="AD219" s="187"/>
      <c r="AE219" s="187"/>
      <c r="AF219" s="187"/>
      <c r="AG219" s="187"/>
      <c r="AH219" s="187"/>
      <c r="AI219" s="187"/>
      <c r="AJ219" s="187"/>
      <c r="AK219" s="187"/>
      <c r="AL219" s="187"/>
      <c r="AM219" s="187"/>
      <c r="AN219" s="187"/>
      <c r="AO219" s="187"/>
      <c r="AP219" s="187"/>
      <c r="AQ219" s="187"/>
      <c r="AR219" s="187"/>
      <c r="AS219" s="187"/>
      <c r="AT219" s="187"/>
      <c r="AU219" s="187"/>
      <c r="AV219" s="187"/>
      <c r="AW219" s="187"/>
      <c r="AX219" s="187"/>
      <c r="AY219" s="187"/>
      <c r="AZ219" s="187"/>
      <c r="BA219" s="187"/>
      <c r="BB219" s="187"/>
      <c r="BC219" s="187"/>
      <c r="BD219" s="187"/>
      <c r="BE219" s="187"/>
      <c r="BF219" s="187"/>
      <c r="BG219" s="187"/>
      <c r="BH219" s="187"/>
    </row>
    <row r="220" spans="2:60" ht="15" customHeight="1">
      <c r="B220" s="187"/>
      <c r="C220" s="187"/>
      <c r="D220" s="187"/>
      <c r="E220" s="187"/>
      <c r="F220" s="187"/>
      <c r="G220" s="187"/>
      <c r="H220" s="187"/>
      <c r="I220" s="187"/>
      <c r="J220" s="187"/>
      <c r="K220" s="187"/>
      <c r="L220" s="187"/>
      <c r="M220" s="187"/>
      <c r="N220" s="187"/>
      <c r="O220" s="187"/>
      <c r="P220" s="187"/>
      <c r="Q220" s="187"/>
      <c r="R220" s="187"/>
      <c r="S220" s="187"/>
      <c r="T220" s="187"/>
      <c r="U220" s="187"/>
      <c r="V220" s="187"/>
      <c r="W220" s="187"/>
      <c r="X220" s="187"/>
      <c r="Y220" s="187"/>
      <c r="Z220" s="187"/>
      <c r="AA220" s="187"/>
      <c r="AB220" s="187"/>
      <c r="AC220" s="187"/>
      <c r="AD220" s="187"/>
      <c r="AE220" s="187"/>
      <c r="AF220" s="187"/>
      <c r="AG220" s="187"/>
      <c r="AH220" s="187"/>
      <c r="AI220" s="187"/>
      <c r="AJ220" s="187"/>
      <c r="AK220" s="187"/>
      <c r="AL220" s="187"/>
      <c r="AM220" s="187"/>
      <c r="AN220" s="187"/>
      <c r="AO220" s="187"/>
      <c r="AP220" s="187"/>
      <c r="AQ220" s="187"/>
      <c r="AR220" s="187"/>
      <c r="AS220" s="187"/>
      <c r="AT220" s="187"/>
      <c r="AU220" s="187"/>
      <c r="AV220" s="187"/>
      <c r="AW220" s="187"/>
      <c r="AX220" s="187"/>
      <c r="AY220" s="187"/>
      <c r="AZ220" s="187"/>
      <c r="BA220" s="187"/>
      <c r="BB220" s="187"/>
      <c r="BC220" s="187"/>
      <c r="BD220" s="187"/>
      <c r="BE220" s="187"/>
      <c r="BF220" s="187"/>
      <c r="BG220" s="187"/>
      <c r="BH220" s="187"/>
    </row>
    <row r="221" spans="2:60" ht="15" customHeight="1">
      <c r="B221" s="187"/>
      <c r="C221" s="187"/>
      <c r="D221" s="187"/>
      <c r="E221" s="187"/>
      <c r="F221" s="187"/>
      <c r="G221" s="187"/>
      <c r="H221" s="187"/>
      <c r="I221" s="187"/>
      <c r="J221" s="187"/>
      <c r="K221" s="187"/>
      <c r="L221" s="187"/>
      <c r="M221" s="187"/>
      <c r="N221" s="187"/>
      <c r="O221" s="187"/>
      <c r="P221" s="187"/>
      <c r="Q221" s="187"/>
      <c r="R221" s="187"/>
      <c r="S221" s="187"/>
      <c r="T221" s="187"/>
      <c r="U221" s="187"/>
      <c r="V221" s="187"/>
      <c r="W221" s="187"/>
      <c r="X221" s="187"/>
      <c r="Y221" s="187"/>
      <c r="Z221" s="187"/>
      <c r="AA221" s="187"/>
      <c r="AB221" s="187"/>
      <c r="AC221" s="187"/>
      <c r="AD221" s="187"/>
      <c r="AE221" s="187"/>
      <c r="AF221" s="187"/>
      <c r="AG221" s="187"/>
      <c r="AH221" s="187"/>
      <c r="AI221" s="187"/>
      <c r="AJ221" s="187"/>
      <c r="AK221" s="187"/>
      <c r="AL221" s="187"/>
      <c r="AM221" s="187"/>
      <c r="AN221" s="187"/>
      <c r="AO221" s="187"/>
      <c r="AP221" s="187"/>
      <c r="AQ221" s="187"/>
      <c r="AR221" s="187"/>
      <c r="AS221" s="187"/>
      <c r="AT221" s="187"/>
      <c r="AU221" s="187"/>
      <c r="AV221" s="187"/>
      <c r="AW221" s="187"/>
      <c r="AX221" s="187"/>
      <c r="AY221" s="187"/>
      <c r="AZ221" s="187"/>
      <c r="BA221" s="187"/>
      <c r="BB221" s="187"/>
      <c r="BC221" s="187"/>
      <c r="BD221" s="187"/>
      <c r="BE221" s="187"/>
      <c r="BF221" s="187"/>
      <c r="BG221" s="187"/>
      <c r="BH221" s="187"/>
    </row>
    <row r="222" spans="2:60" ht="15" customHeight="1">
      <c r="B222" s="187"/>
      <c r="C222" s="187"/>
      <c r="D222" s="187"/>
      <c r="E222" s="187"/>
      <c r="F222" s="187"/>
      <c r="G222" s="187"/>
      <c r="H222" s="187"/>
      <c r="I222" s="187"/>
      <c r="J222" s="187"/>
      <c r="K222" s="187"/>
      <c r="L222" s="187"/>
      <c r="M222" s="187"/>
      <c r="N222" s="187"/>
      <c r="O222" s="187"/>
      <c r="P222" s="187"/>
      <c r="Q222" s="187"/>
      <c r="R222" s="187"/>
      <c r="S222" s="187"/>
      <c r="T222" s="187"/>
      <c r="U222" s="187"/>
      <c r="V222" s="187"/>
      <c r="W222" s="187"/>
      <c r="X222" s="187"/>
      <c r="Y222" s="187"/>
      <c r="Z222" s="187"/>
      <c r="AA222" s="187"/>
      <c r="AB222" s="187"/>
      <c r="AC222" s="187"/>
      <c r="AD222" s="187"/>
      <c r="AE222" s="187"/>
      <c r="AF222" s="187"/>
      <c r="AG222" s="187"/>
      <c r="AH222" s="187"/>
      <c r="AI222" s="187"/>
      <c r="AJ222" s="187"/>
      <c r="AK222" s="187"/>
      <c r="AL222" s="187"/>
      <c r="AM222" s="187"/>
      <c r="AN222" s="187"/>
      <c r="AO222" s="187"/>
      <c r="AP222" s="187"/>
      <c r="AQ222" s="187"/>
      <c r="AR222" s="187"/>
      <c r="AS222" s="187"/>
      <c r="AT222" s="187"/>
      <c r="AU222" s="187"/>
      <c r="AV222" s="187"/>
      <c r="AW222" s="187"/>
      <c r="AX222" s="187"/>
      <c r="AY222" s="187"/>
      <c r="AZ222" s="187"/>
      <c r="BA222" s="187"/>
      <c r="BB222" s="187"/>
      <c r="BC222" s="187"/>
      <c r="BD222" s="187"/>
      <c r="BE222" s="187"/>
      <c r="BF222" s="187"/>
      <c r="BG222" s="187"/>
      <c r="BH222" s="187"/>
    </row>
    <row r="223" spans="2:60" ht="15" customHeight="1">
      <c r="B223" s="187"/>
      <c r="C223" s="187"/>
      <c r="D223" s="187"/>
      <c r="E223" s="187"/>
      <c r="F223" s="187"/>
      <c r="G223" s="187"/>
      <c r="H223" s="187"/>
      <c r="I223" s="187"/>
      <c r="J223" s="187"/>
      <c r="K223" s="187"/>
      <c r="L223" s="187"/>
      <c r="M223" s="187"/>
      <c r="N223" s="187"/>
      <c r="O223" s="187"/>
      <c r="P223" s="187"/>
      <c r="Q223" s="187"/>
      <c r="R223" s="187"/>
      <c r="S223" s="187"/>
      <c r="T223" s="187"/>
      <c r="U223" s="187"/>
      <c r="V223" s="187"/>
      <c r="W223" s="187"/>
      <c r="X223" s="187"/>
      <c r="Y223" s="187"/>
      <c r="Z223" s="187"/>
      <c r="AA223" s="187"/>
      <c r="AB223" s="187"/>
      <c r="AC223" s="187"/>
      <c r="AD223" s="187"/>
      <c r="AE223" s="187"/>
      <c r="AF223" s="187"/>
      <c r="AG223" s="187"/>
      <c r="AH223" s="187"/>
      <c r="AI223" s="187"/>
      <c r="AJ223" s="187"/>
      <c r="AK223" s="187"/>
      <c r="AL223" s="187"/>
      <c r="AM223" s="187"/>
      <c r="AN223" s="187"/>
      <c r="AO223" s="187"/>
      <c r="AP223" s="187"/>
      <c r="AQ223" s="187"/>
      <c r="AR223" s="187"/>
      <c r="AS223" s="187"/>
      <c r="AT223" s="187"/>
      <c r="AU223" s="187"/>
      <c r="AV223" s="187"/>
      <c r="AW223" s="187"/>
      <c r="AX223" s="187"/>
      <c r="AY223" s="187"/>
      <c r="AZ223" s="187"/>
      <c r="BA223" s="187"/>
      <c r="BB223" s="187"/>
      <c r="BC223" s="187"/>
      <c r="BD223" s="187"/>
      <c r="BE223" s="187"/>
      <c r="BF223" s="187"/>
      <c r="BG223" s="187"/>
      <c r="BH223" s="187"/>
    </row>
    <row r="224" spans="2:60" ht="15" customHeight="1">
      <c r="B224" s="187"/>
      <c r="C224" s="187"/>
      <c r="D224" s="187"/>
      <c r="E224" s="187"/>
      <c r="F224" s="187"/>
      <c r="G224" s="187"/>
      <c r="H224" s="187"/>
      <c r="I224" s="187"/>
      <c r="J224" s="187"/>
      <c r="K224" s="187"/>
      <c r="L224" s="187"/>
      <c r="M224" s="187"/>
      <c r="N224" s="187"/>
      <c r="O224" s="187"/>
      <c r="P224" s="187"/>
      <c r="Q224" s="187"/>
      <c r="R224" s="187"/>
      <c r="S224" s="187"/>
      <c r="T224" s="187"/>
      <c r="U224" s="187"/>
      <c r="V224" s="187"/>
      <c r="W224" s="187"/>
      <c r="X224" s="187"/>
      <c r="Y224" s="187"/>
      <c r="Z224" s="187"/>
      <c r="AA224" s="187"/>
      <c r="AB224" s="187"/>
      <c r="AC224" s="187"/>
      <c r="AD224" s="187"/>
      <c r="AE224" s="187"/>
      <c r="AF224" s="187"/>
      <c r="AG224" s="187"/>
      <c r="AH224" s="187"/>
      <c r="AI224" s="187"/>
      <c r="AJ224" s="187"/>
      <c r="AK224" s="187"/>
      <c r="AL224" s="187"/>
      <c r="AM224" s="187"/>
      <c r="AN224" s="187"/>
      <c r="AO224" s="187"/>
      <c r="AP224" s="187"/>
      <c r="AQ224" s="187"/>
      <c r="AR224" s="187"/>
      <c r="AS224" s="187"/>
      <c r="AT224" s="187"/>
      <c r="AU224" s="187"/>
      <c r="AV224" s="187"/>
      <c r="AW224" s="187"/>
      <c r="AX224" s="187"/>
      <c r="AY224" s="187"/>
      <c r="AZ224" s="187"/>
      <c r="BA224" s="187"/>
      <c r="BB224" s="187"/>
      <c r="BC224" s="187"/>
      <c r="BD224" s="187"/>
      <c r="BE224" s="187"/>
      <c r="BF224" s="187"/>
      <c r="BG224" s="187"/>
      <c r="BH224" s="187"/>
    </row>
    <row r="225" spans="2:60" ht="15" customHeight="1">
      <c r="B225" s="187"/>
      <c r="C225" s="187"/>
      <c r="D225" s="187"/>
      <c r="E225" s="187"/>
      <c r="F225" s="187"/>
      <c r="G225" s="187"/>
      <c r="H225" s="187"/>
      <c r="I225" s="187"/>
      <c r="J225" s="187"/>
      <c r="K225" s="187"/>
      <c r="L225" s="187"/>
      <c r="M225" s="187"/>
      <c r="N225" s="187"/>
      <c r="O225" s="187"/>
      <c r="P225" s="187"/>
      <c r="Q225" s="187"/>
      <c r="R225" s="187"/>
      <c r="S225" s="187"/>
      <c r="T225" s="187"/>
      <c r="U225" s="187"/>
      <c r="V225" s="187"/>
      <c r="W225" s="187"/>
      <c r="X225" s="187"/>
      <c r="Y225" s="187"/>
      <c r="Z225" s="187"/>
      <c r="AA225" s="187"/>
      <c r="AB225" s="187"/>
      <c r="AC225" s="187"/>
      <c r="AD225" s="187"/>
      <c r="AE225" s="187"/>
      <c r="AF225" s="187"/>
      <c r="AG225" s="187"/>
      <c r="AH225" s="187"/>
      <c r="AI225" s="187"/>
      <c r="AJ225" s="187"/>
      <c r="AK225" s="187"/>
      <c r="AL225" s="187"/>
      <c r="AM225" s="187"/>
      <c r="AN225" s="187"/>
      <c r="AO225" s="187"/>
      <c r="AP225" s="187"/>
      <c r="AQ225" s="187"/>
      <c r="AR225" s="187"/>
      <c r="AS225" s="187"/>
      <c r="AT225" s="187"/>
      <c r="AU225" s="187"/>
      <c r="AV225" s="187"/>
      <c r="AW225" s="187"/>
      <c r="AX225" s="187"/>
      <c r="AY225" s="187"/>
      <c r="AZ225" s="187"/>
      <c r="BA225" s="187"/>
      <c r="BB225" s="187"/>
      <c r="BC225" s="187"/>
      <c r="BD225" s="187"/>
      <c r="BE225" s="187"/>
      <c r="BF225" s="187"/>
      <c r="BG225" s="187"/>
      <c r="BH225" s="187"/>
    </row>
    <row r="226" spans="2:60" ht="15" customHeight="1">
      <c r="B226" s="187"/>
      <c r="C226" s="187"/>
      <c r="D226" s="187"/>
      <c r="E226" s="187"/>
      <c r="F226" s="187"/>
      <c r="G226" s="187"/>
      <c r="H226" s="187"/>
      <c r="I226" s="187"/>
      <c r="J226" s="187"/>
      <c r="K226" s="187"/>
      <c r="L226" s="187"/>
      <c r="M226" s="187"/>
      <c r="N226" s="187"/>
      <c r="O226" s="187"/>
      <c r="P226" s="187"/>
      <c r="Q226" s="187"/>
      <c r="R226" s="187"/>
      <c r="S226" s="187"/>
      <c r="T226" s="187"/>
      <c r="U226" s="187"/>
      <c r="V226" s="187"/>
      <c r="W226" s="187"/>
      <c r="X226" s="187"/>
      <c r="Y226" s="187"/>
      <c r="Z226" s="187"/>
      <c r="AA226" s="187"/>
      <c r="AB226" s="187"/>
      <c r="AC226" s="187"/>
      <c r="AD226" s="187"/>
      <c r="AE226" s="187"/>
      <c r="AF226" s="187"/>
      <c r="AG226" s="187"/>
      <c r="AH226" s="187"/>
      <c r="AI226" s="187"/>
      <c r="AJ226" s="187"/>
      <c r="AK226" s="187"/>
      <c r="AL226" s="187"/>
      <c r="AM226" s="187"/>
      <c r="AN226" s="187"/>
      <c r="AO226" s="187"/>
      <c r="AP226" s="187"/>
      <c r="AQ226" s="187"/>
      <c r="AR226" s="187"/>
      <c r="AS226" s="187"/>
      <c r="AT226" s="187"/>
      <c r="AU226" s="187"/>
      <c r="AV226" s="187"/>
      <c r="AW226" s="187"/>
      <c r="AX226" s="187"/>
      <c r="AY226" s="187"/>
      <c r="AZ226" s="187"/>
      <c r="BA226" s="187"/>
      <c r="BB226" s="187"/>
      <c r="BC226" s="187"/>
      <c r="BD226" s="187"/>
      <c r="BE226" s="187"/>
      <c r="BF226" s="187"/>
      <c r="BG226" s="546"/>
      <c r="BH226" s="187"/>
    </row>
    <row r="227" spans="2:60" ht="15" customHeight="1">
      <c r="B227" s="187"/>
      <c r="C227" s="187"/>
      <c r="D227" s="187"/>
      <c r="E227" s="187"/>
      <c r="F227" s="187"/>
      <c r="G227" s="187"/>
      <c r="H227" s="187"/>
      <c r="I227" s="187"/>
      <c r="J227" s="187"/>
      <c r="K227" s="187"/>
      <c r="L227" s="187"/>
      <c r="M227" s="187"/>
      <c r="N227" s="187"/>
      <c r="O227" s="187"/>
      <c r="P227" s="187"/>
      <c r="Q227" s="187"/>
      <c r="R227" s="187"/>
      <c r="S227" s="187"/>
      <c r="T227" s="187"/>
      <c r="U227" s="187"/>
      <c r="V227" s="187"/>
      <c r="W227" s="187"/>
      <c r="X227" s="187"/>
      <c r="Y227" s="187"/>
      <c r="Z227" s="187"/>
      <c r="AA227" s="187"/>
      <c r="AB227" s="187"/>
      <c r="AC227" s="187"/>
      <c r="AD227" s="187"/>
      <c r="AE227" s="187"/>
      <c r="AF227" s="187"/>
      <c r="AG227" s="187"/>
      <c r="AH227" s="187"/>
      <c r="AI227" s="187"/>
      <c r="AJ227" s="187"/>
      <c r="AK227" s="187"/>
      <c r="AL227" s="187"/>
      <c r="AM227" s="187"/>
      <c r="AN227" s="187"/>
      <c r="AO227" s="187"/>
      <c r="AP227" s="187"/>
      <c r="AQ227" s="187"/>
      <c r="AR227" s="187"/>
      <c r="AS227" s="187"/>
      <c r="AT227" s="187"/>
      <c r="AU227" s="187"/>
      <c r="AV227" s="187"/>
      <c r="AW227" s="187"/>
      <c r="AX227" s="187"/>
      <c r="AY227" s="187"/>
      <c r="AZ227" s="187"/>
      <c r="BA227" s="187"/>
      <c r="BB227" s="187"/>
      <c r="BC227" s="187"/>
      <c r="BD227" s="187"/>
      <c r="BE227" s="187"/>
      <c r="BF227" s="187"/>
      <c r="BG227" s="187"/>
      <c r="BH227" s="187"/>
    </row>
    <row r="228" spans="2:60" ht="15" customHeight="1">
      <c r="B228" s="187"/>
      <c r="C228" s="187"/>
      <c r="D228" s="187"/>
      <c r="E228" s="187"/>
      <c r="F228" s="187"/>
      <c r="G228" s="187"/>
      <c r="H228" s="187"/>
      <c r="I228" s="187"/>
      <c r="J228" s="187"/>
      <c r="K228" s="187"/>
      <c r="L228" s="187"/>
      <c r="M228" s="187"/>
      <c r="N228" s="187"/>
      <c r="O228" s="187"/>
      <c r="P228" s="187"/>
      <c r="Q228" s="187"/>
      <c r="R228" s="187"/>
      <c r="S228" s="187"/>
      <c r="T228" s="187"/>
      <c r="U228" s="187"/>
      <c r="V228" s="187"/>
      <c r="W228" s="187"/>
      <c r="X228" s="187"/>
      <c r="Y228" s="187"/>
      <c r="Z228" s="187"/>
      <c r="AA228" s="187"/>
      <c r="AB228" s="187"/>
      <c r="AC228" s="187"/>
      <c r="AD228" s="187"/>
      <c r="AE228" s="187"/>
      <c r="AF228" s="187"/>
      <c r="AG228" s="187"/>
      <c r="AH228" s="187"/>
      <c r="AI228" s="187"/>
      <c r="AJ228" s="187"/>
      <c r="AK228" s="187"/>
      <c r="AL228" s="187"/>
      <c r="AM228" s="187"/>
      <c r="AN228" s="187"/>
      <c r="AO228" s="187"/>
      <c r="AP228" s="187"/>
      <c r="AQ228" s="187"/>
      <c r="AR228" s="187"/>
      <c r="AS228" s="187"/>
      <c r="AT228" s="187"/>
      <c r="AU228" s="187"/>
      <c r="AV228" s="187"/>
      <c r="AW228" s="187"/>
      <c r="AX228" s="187"/>
      <c r="AY228" s="187"/>
      <c r="AZ228" s="187"/>
      <c r="BA228" s="187"/>
      <c r="BB228" s="187"/>
      <c r="BC228" s="187"/>
      <c r="BD228" s="187"/>
      <c r="BE228" s="187"/>
      <c r="BF228" s="187"/>
      <c r="BG228" s="187"/>
      <c r="BH228" s="187"/>
    </row>
    <row r="229" spans="2:60" ht="15" customHeight="1">
      <c r="B229" s="187"/>
      <c r="C229" s="187"/>
      <c r="D229" s="187"/>
      <c r="E229" s="187"/>
      <c r="F229" s="187"/>
      <c r="G229" s="187"/>
      <c r="H229" s="187"/>
      <c r="I229" s="187"/>
      <c r="J229" s="187"/>
      <c r="K229" s="187"/>
      <c r="L229" s="187"/>
      <c r="M229" s="187"/>
      <c r="N229" s="187"/>
      <c r="O229" s="187"/>
      <c r="P229" s="187"/>
      <c r="Q229" s="187"/>
      <c r="R229" s="187"/>
      <c r="S229" s="187"/>
      <c r="T229" s="187"/>
      <c r="U229" s="187"/>
      <c r="V229" s="187"/>
      <c r="W229" s="187"/>
      <c r="X229" s="187"/>
      <c r="Y229" s="187"/>
      <c r="Z229" s="187"/>
      <c r="AA229" s="187"/>
      <c r="AB229" s="187"/>
      <c r="AC229" s="187"/>
      <c r="AD229" s="187"/>
      <c r="AE229" s="187"/>
      <c r="AF229" s="187"/>
      <c r="AG229" s="187"/>
      <c r="AH229" s="187"/>
      <c r="AI229" s="187"/>
      <c r="AJ229" s="187"/>
      <c r="AK229" s="187"/>
      <c r="AL229" s="187"/>
      <c r="AM229" s="187"/>
      <c r="AN229" s="187"/>
      <c r="AO229" s="187"/>
      <c r="AP229" s="187"/>
      <c r="AQ229" s="187"/>
      <c r="AR229" s="187"/>
      <c r="AS229" s="187"/>
      <c r="AT229" s="187"/>
      <c r="AU229" s="187"/>
      <c r="AV229" s="187"/>
      <c r="AW229" s="187"/>
      <c r="AX229" s="187"/>
      <c r="AY229" s="187"/>
      <c r="AZ229" s="187"/>
      <c r="BA229" s="187"/>
      <c r="BB229" s="187"/>
      <c r="BC229" s="187"/>
      <c r="BD229" s="187"/>
      <c r="BE229" s="187"/>
      <c r="BF229" s="187"/>
      <c r="BG229" s="187"/>
      <c r="BH229" s="187"/>
    </row>
    <row r="230" spans="2:60" ht="15" customHeight="1">
      <c r="B230" s="187"/>
      <c r="C230" s="187"/>
      <c r="D230" s="187"/>
      <c r="E230" s="187"/>
      <c r="F230" s="187"/>
      <c r="G230" s="187"/>
      <c r="H230" s="187"/>
      <c r="I230" s="187"/>
      <c r="J230" s="187"/>
      <c r="K230" s="187"/>
      <c r="L230" s="187"/>
      <c r="M230" s="187"/>
      <c r="N230" s="187"/>
      <c r="O230" s="187"/>
      <c r="P230" s="187"/>
      <c r="Q230" s="187"/>
      <c r="R230" s="187"/>
      <c r="S230" s="187"/>
      <c r="T230" s="187"/>
      <c r="U230" s="187"/>
      <c r="V230" s="187"/>
      <c r="W230" s="187"/>
      <c r="X230" s="187"/>
      <c r="Y230" s="187"/>
      <c r="Z230" s="187"/>
      <c r="AA230" s="187"/>
      <c r="AB230" s="187"/>
      <c r="AC230" s="187"/>
      <c r="AD230" s="187"/>
      <c r="AE230" s="187"/>
      <c r="AF230" s="187"/>
      <c r="AG230" s="187"/>
      <c r="AH230" s="187"/>
      <c r="AI230" s="187"/>
      <c r="AJ230" s="187"/>
      <c r="AK230" s="187"/>
      <c r="AL230" s="187"/>
      <c r="AM230" s="187"/>
      <c r="AN230" s="187"/>
      <c r="AO230" s="187"/>
      <c r="AP230" s="187"/>
      <c r="AQ230" s="187"/>
      <c r="AR230" s="187"/>
      <c r="AS230" s="187"/>
      <c r="AT230" s="187"/>
      <c r="AU230" s="187"/>
      <c r="AV230" s="187"/>
      <c r="AW230" s="187"/>
      <c r="AX230" s="187"/>
      <c r="AY230" s="187"/>
      <c r="AZ230" s="187"/>
      <c r="BA230" s="187"/>
      <c r="BB230" s="187"/>
      <c r="BC230" s="187"/>
      <c r="BD230" s="187"/>
      <c r="BE230" s="187"/>
      <c r="BF230" s="187"/>
      <c r="BG230" s="187"/>
      <c r="BH230" s="187"/>
    </row>
    <row r="231" spans="2:60" ht="15" customHeight="1">
      <c r="B231" s="187"/>
      <c r="C231" s="187"/>
      <c r="D231" s="187"/>
      <c r="E231" s="187"/>
      <c r="F231" s="187"/>
      <c r="G231" s="187"/>
      <c r="H231" s="187"/>
      <c r="I231" s="187"/>
      <c r="J231" s="187"/>
      <c r="K231" s="187"/>
      <c r="L231" s="187"/>
      <c r="M231" s="187"/>
      <c r="N231" s="187"/>
      <c r="O231" s="187"/>
      <c r="P231" s="187"/>
      <c r="Q231" s="187"/>
      <c r="R231" s="187"/>
      <c r="S231" s="187"/>
      <c r="T231" s="187"/>
      <c r="U231" s="187"/>
      <c r="V231" s="187"/>
      <c r="W231" s="187"/>
      <c r="X231" s="187"/>
      <c r="Y231" s="187"/>
      <c r="Z231" s="187"/>
      <c r="AA231" s="187"/>
      <c r="AB231" s="187"/>
      <c r="AC231" s="187"/>
      <c r="AD231" s="187"/>
      <c r="AE231" s="187"/>
      <c r="AF231" s="187"/>
      <c r="AG231" s="187"/>
      <c r="AH231" s="187"/>
      <c r="AI231" s="187"/>
      <c r="AJ231" s="187"/>
      <c r="AK231" s="187"/>
      <c r="AL231" s="187"/>
      <c r="AM231" s="187"/>
      <c r="AN231" s="187"/>
      <c r="AO231" s="187"/>
      <c r="AP231" s="187"/>
      <c r="AQ231" s="187"/>
      <c r="AR231" s="187"/>
      <c r="AS231" s="187"/>
      <c r="AT231" s="187"/>
      <c r="AU231" s="187"/>
      <c r="AV231" s="187"/>
      <c r="AW231" s="187"/>
      <c r="AX231" s="187"/>
      <c r="AY231" s="187"/>
      <c r="AZ231" s="187"/>
      <c r="BA231" s="187"/>
      <c r="BB231" s="187"/>
      <c r="BC231" s="187"/>
      <c r="BD231" s="187"/>
      <c r="BE231" s="187"/>
      <c r="BF231" s="187"/>
      <c r="BG231" s="187"/>
      <c r="BH231" s="187"/>
    </row>
    <row r="232" spans="2:60" ht="15" customHeight="1">
      <c r="B232" s="187"/>
      <c r="C232" s="187"/>
      <c r="D232" s="187"/>
      <c r="E232" s="187"/>
      <c r="F232" s="187"/>
      <c r="G232" s="187"/>
      <c r="H232" s="187"/>
      <c r="I232" s="187"/>
      <c r="J232" s="187"/>
      <c r="K232" s="187"/>
      <c r="L232" s="187"/>
      <c r="M232" s="187"/>
      <c r="N232" s="187"/>
      <c r="O232" s="187"/>
      <c r="P232" s="187"/>
      <c r="Q232" s="187"/>
      <c r="R232" s="187"/>
      <c r="S232" s="187"/>
      <c r="T232" s="187"/>
      <c r="U232" s="187"/>
      <c r="V232" s="187"/>
      <c r="W232" s="187"/>
      <c r="X232" s="187"/>
      <c r="Y232" s="187"/>
      <c r="Z232" s="187"/>
      <c r="AA232" s="187"/>
      <c r="AB232" s="187"/>
      <c r="AC232" s="187"/>
      <c r="AD232" s="187"/>
      <c r="AE232" s="187"/>
      <c r="AF232" s="187"/>
      <c r="AG232" s="187"/>
      <c r="AH232" s="187"/>
      <c r="AI232" s="187"/>
      <c r="AJ232" s="187"/>
      <c r="AK232" s="187"/>
      <c r="AL232" s="187"/>
      <c r="AM232" s="187"/>
      <c r="AN232" s="187"/>
      <c r="AO232" s="187"/>
      <c r="AP232" s="187"/>
      <c r="AQ232" s="187"/>
      <c r="AR232" s="187"/>
      <c r="AS232" s="187"/>
      <c r="AT232" s="187"/>
      <c r="AU232" s="187"/>
      <c r="AV232" s="187"/>
      <c r="AW232" s="187"/>
      <c r="AX232" s="187"/>
      <c r="AY232" s="187"/>
      <c r="AZ232" s="187"/>
      <c r="BA232" s="187"/>
      <c r="BB232" s="187"/>
      <c r="BC232" s="187"/>
      <c r="BD232" s="187"/>
      <c r="BE232" s="187"/>
      <c r="BF232" s="187"/>
      <c r="BG232" s="187"/>
      <c r="BH232" s="187"/>
    </row>
    <row r="233" spans="2:60" ht="15" customHeight="1">
      <c r="B233" s="187"/>
      <c r="C233" s="187"/>
      <c r="D233" s="187"/>
      <c r="E233" s="187"/>
      <c r="F233" s="187"/>
      <c r="G233" s="187"/>
      <c r="H233" s="187"/>
      <c r="I233" s="187"/>
      <c r="J233" s="187"/>
      <c r="K233" s="187"/>
      <c r="L233" s="187"/>
      <c r="M233" s="187"/>
      <c r="N233" s="187"/>
      <c r="O233" s="187"/>
      <c r="P233" s="187"/>
      <c r="Q233" s="187"/>
      <c r="R233" s="187"/>
      <c r="S233" s="187"/>
      <c r="T233" s="187"/>
      <c r="U233" s="187"/>
      <c r="V233" s="187"/>
      <c r="W233" s="187"/>
      <c r="X233" s="187"/>
      <c r="Y233" s="187"/>
      <c r="Z233" s="187"/>
      <c r="AA233" s="187"/>
      <c r="AB233" s="187"/>
      <c r="AC233" s="187"/>
      <c r="AD233" s="187"/>
      <c r="AE233" s="187"/>
      <c r="AF233" s="187"/>
      <c r="AG233" s="187"/>
      <c r="AH233" s="187"/>
      <c r="AI233" s="187"/>
      <c r="AJ233" s="187"/>
      <c r="AK233" s="187"/>
      <c r="AL233" s="187"/>
      <c r="AM233" s="187"/>
      <c r="AN233" s="187"/>
      <c r="AO233" s="187"/>
      <c r="AP233" s="187"/>
      <c r="AQ233" s="187"/>
      <c r="AR233" s="187"/>
      <c r="AS233" s="187"/>
      <c r="AT233" s="187"/>
      <c r="AU233" s="187"/>
      <c r="AV233" s="187"/>
      <c r="AW233" s="187"/>
      <c r="AX233" s="187"/>
      <c r="AY233" s="187"/>
      <c r="AZ233" s="187"/>
      <c r="BA233" s="187"/>
      <c r="BB233" s="187"/>
      <c r="BC233" s="187"/>
      <c r="BD233" s="187"/>
      <c r="BE233" s="187"/>
      <c r="BF233" s="187"/>
      <c r="BG233" s="187"/>
      <c r="BH233" s="187"/>
    </row>
    <row r="234" spans="2:60" ht="15" customHeight="1">
      <c r="B234" s="187"/>
      <c r="C234" s="187"/>
      <c r="D234" s="187"/>
      <c r="E234" s="187"/>
      <c r="F234" s="187"/>
      <c r="G234" s="187"/>
      <c r="H234" s="187"/>
      <c r="I234" s="187"/>
      <c r="J234" s="187"/>
      <c r="K234" s="187"/>
      <c r="L234" s="187"/>
      <c r="M234" s="187"/>
      <c r="N234" s="187"/>
      <c r="O234" s="187"/>
      <c r="P234" s="187"/>
      <c r="Q234" s="187"/>
      <c r="R234" s="187"/>
      <c r="S234" s="187"/>
      <c r="T234" s="187"/>
      <c r="U234" s="187"/>
      <c r="V234" s="187"/>
      <c r="W234" s="187"/>
      <c r="X234" s="187"/>
      <c r="Y234" s="187"/>
      <c r="Z234" s="187"/>
      <c r="AA234" s="187"/>
      <c r="AB234" s="187"/>
      <c r="AC234" s="187"/>
      <c r="AD234" s="187"/>
      <c r="AE234" s="187"/>
      <c r="AF234" s="187"/>
      <c r="AG234" s="187"/>
      <c r="AH234" s="187"/>
      <c r="AI234" s="187"/>
      <c r="AJ234" s="187"/>
      <c r="AK234" s="187"/>
      <c r="AL234" s="187"/>
      <c r="AM234" s="187"/>
      <c r="AN234" s="187"/>
      <c r="AO234" s="187"/>
      <c r="AP234" s="187"/>
      <c r="AQ234" s="187"/>
      <c r="AR234" s="187"/>
      <c r="AS234" s="187"/>
      <c r="AT234" s="187"/>
      <c r="AU234" s="187"/>
      <c r="AV234" s="187"/>
      <c r="AW234" s="187"/>
      <c r="AX234" s="187"/>
      <c r="AY234" s="187"/>
      <c r="AZ234" s="187"/>
      <c r="BA234" s="187"/>
      <c r="BB234" s="187"/>
      <c r="BC234" s="187"/>
      <c r="BD234" s="187"/>
      <c r="BE234" s="187"/>
      <c r="BF234" s="187"/>
      <c r="BG234" s="187"/>
      <c r="BH234" s="187"/>
    </row>
    <row r="235" spans="2:60" ht="15" customHeight="1">
      <c r="B235" s="187"/>
      <c r="C235" s="187"/>
      <c r="D235" s="187"/>
      <c r="E235" s="187"/>
      <c r="F235" s="187"/>
      <c r="G235" s="187"/>
      <c r="H235" s="187"/>
      <c r="I235" s="187"/>
      <c r="J235" s="187"/>
      <c r="K235" s="187"/>
      <c r="L235" s="187"/>
      <c r="M235" s="187"/>
      <c r="N235" s="187"/>
      <c r="O235" s="187"/>
      <c r="P235" s="187"/>
      <c r="Q235" s="187"/>
      <c r="R235" s="187"/>
      <c r="S235" s="187"/>
      <c r="T235" s="187"/>
      <c r="U235" s="187"/>
      <c r="V235" s="187"/>
      <c r="W235" s="187"/>
      <c r="X235" s="187"/>
      <c r="Y235" s="187"/>
      <c r="Z235" s="187"/>
      <c r="AA235" s="187"/>
      <c r="AB235" s="187"/>
      <c r="AC235" s="187"/>
      <c r="AD235" s="187"/>
      <c r="AE235" s="187"/>
      <c r="AF235" s="187"/>
      <c r="AG235" s="187"/>
      <c r="AH235" s="187"/>
      <c r="AI235" s="187"/>
      <c r="AJ235" s="187"/>
      <c r="AK235" s="187"/>
      <c r="AL235" s="187"/>
      <c r="AM235" s="187"/>
      <c r="AN235" s="187"/>
      <c r="AO235" s="187"/>
      <c r="AP235" s="187"/>
      <c r="AQ235" s="187"/>
      <c r="AR235" s="187"/>
      <c r="AS235" s="187"/>
      <c r="AT235" s="187"/>
      <c r="AU235" s="187"/>
      <c r="AV235" s="187"/>
      <c r="AW235" s="187"/>
      <c r="AX235" s="187"/>
      <c r="AY235" s="187"/>
      <c r="AZ235" s="187"/>
      <c r="BA235" s="187"/>
      <c r="BB235" s="187"/>
      <c r="BC235" s="187"/>
      <c r="BD235" s="187"/>
      <c r="BE235" s="187"/>
      <c r="BF235" s="187"/>
      <c r="BG235" s="187"/>
      <c r="BH235" s="187"/>
    </row>
    <row r="236" spans="2:60" ht="15" customHeight="1">
      <c r="B236" s="187"/>
      <c r="C236" s="187"/>
      <c r="D236" s="187"/>
      <c r="E236" s="187"/>
      <c r="F236" s="187"/>
      <c r="G236" s="187"/>
      <c r="H236" s="187"/>
      <c r="I236" s="187"/>
      <c r="J236" s="187"/>
      <c r="K236" s="187"/>
      <c r="L236" s="187"/>
      <c r="M236" s="187"/>
      <c r="N236" s="187"/>
      <c r="O236" s="187"/>
      <c r="P236" s="187"/>
      <c r="Q236" s="187"/>
      <c r="R236" s="187"/>
      <c r="S236" s="187"/>
      <c r="T236" s="187"/>
      <c r="U236" s="187"/>
      <c r="V236" s="187"/>
      <c r="W236" s="187"/>
      <c r="X236" s="187"/>
      <c r="Y236" s="187"/>
      <c r="Z236" s="187"/>
      <c r="AA236" s="187"/>
      <c r="AB236" s="187"/>
      <c r="AC236" s="187"/>
      <c r="AD236" s="187"/>
      <c r="AE236" s="187"/>
      <c r="AF236" s="187"/>
      <c r="AG236" s="187"/>
      <c r="AH236" s="187"/>
      <c r="AI236" s="187"/>
      <c r="AJ236" s="187"/>
      <c r="AK236" s="187"/>
      <c r="AL236" s="187"/>
      <c r="AM236" s="187"/>
      <c r="AN236" s="187"/>
      <c r="AO236" s="187"/>
      <c r="AP236" s="187"/>
      <c r="AQ236" s="187"/>
      <c r="AR236" s="187"/>
      <c r="AS236" s="187"/>
      <c r="AT236" s="187"/>
      <c r="AU236" s="187"/>
      <c r="AV236" s="187"/>
      <c r="AW236" s="187"/>
      <c r="AX236" s="187"/>
      <c r="AY236" s="187"/>
      <c r="AZ236" s="187"/>
      <c r="BA236" s="187"/>
      <c r="BB236" s="187"/>
      <c r="BC236" s="187"/>
      <c r="BD236" s="187"/>
      <c r="BE236" s="187"/>
      <c r="BF236" s="187"/>
      <c r="BG236" s="187"/>
      <c r="BH236" s="187"/>
    </row>
    <row r="237" spans="2:60" ht="15" customHeight="1">
      <c r="B237" s="187"/>
      <c r="C237" s="187"/>
      <c r="D237" s="187"/>
      <c r="E237" s="187"/>
      <c r="F237" s="187"/>
      <c r="G237" s="187"/>
      <c r="H237" s="187"/>
      <c r="I237" s="187"/>
      <c r="J237" s="187"/>
      <c r="K237" s="187"/>
      <c r="L237" s="187"/>
      <c r="M237" s="187"/>
      <c r="N237" s="187"/>
      <c r="O237" s="187"/>
      <c r="P237" s="187"/>
      <c r="Q237" s="187"/>
      <c r="R237" s="187"/>
      <c r="S237" s="187"/>
      <c r="T237" s="187"/>
      <c r="U237" s="187"/>
      <c r="V237" s="187"/>
      <c r="W237" s="187"/>
      <c r="X237" s="187"/>
      <c r="Y237" s="187"/>
      <c r="Z237" s="187"/>
      <c r="AA237" s="187"/>
      <c r="AB237" s="187"/>
      <c r="AC237" s="187"/>
      <c r="AD237" s="187"/>
      <c r="AE237" s="187"/>
      <c r="AF237" s="187"/>
      <c r="AG237" s="187"/>
      <c r="AH237" s="187"/>
      <c r="AI237" s="187"/>
      <c r="AJ237" s="187"/>
      <c r="AK237" s="187"/>
      <c r="AL237" s="187"/>
      <c r="AM237" s="187"/>
      <c r="AN237" s="187"/>
      <c r="AO237" s="187"/>
      <c r="AP237" s="187"/>
      <c r="AQ237" s="187"/>
      <c r="AR237" s="187"/>
      <c r="AS237" s="187"/>
      <c r="AT237" s="187"/>
      <c r="AU237" s="187"/>
      <c r="AV237" s="187"/>
      <c r="AW237" s="187"/>
      <c r="AX237" s="187"/>
      <c r="AY237" s="187"/>
      <c r="AZ237" s="187"/>
      <c r="BA237" s="187"/>
      <c r="BB237" s="187"/>
      <c r="BC237" s="187"/>
      <c r="BD237" s="187"/>
      <c r="BE237" s="187"/>
      <c r="BF237" s="187"/>
      <c r="BG237" s="187"/>
      <c r="BH237" s="187"/>
    </row>
    <row r="238" spans="2:60" ht="15" customHeight="1">
      <c r="B238" s="187"/>
      <c r="C238" s="187"/>
      <c r="D238" s="187"/>
      <c r="E238" s="187"/>
      <c r="F238" s="187"/>
      <c r="G238" s="187"/>
      <c r="H238" s="187"/>
      <c r="I238" s="187"/>
      <c r="J238" s="187"/>
      <c r="K238" s="187"/>
      <c r="L238" s="187"/>
      <c r="M238" s="187"/>
      <c r="N238" s="187"/>
      <c r="O238" s="187"/>
      <c r="P238" s="187"/>
      <c r="Q238" s="187"/>
      <c r="R238" s="187"/>
      <c r="S238" s="187"/>
      <c r="T238" s="187"/>
      <c r="U238" s="187"/>
      <c r="V238" s="187"/>
      <c r="W238" s="187"/>
      <c r="X238" s="187"/>
      <c r="Y238" s="187"/>
      <c r="Z238" s="187"/>
      <c r="AA238" s="187"/>
      <c r="AB238" s="187"/>
      <c r="AC238" s="187"/>
      <c r="AD238" s="187"/>
      <c r="AE238" s="187"/>
      <c r="AF238" s="187"/>
      <c r="AG238" s="187"/>
      <c r="AH238" s="187"/>
      <c r="AI238" s="187"/>
      <c r="AJ238" s="187"/>
      <c r="AK238" s="187"/>
      <c r="AL238" s="187"/>
      <c r="AM238" s="187"/>
      <c r="AN238" s="187"/>
      <c r="AO238" s="187"/>
      <c r="AP238" s="187"/>
      <c r="AQ238" s="187"/>
      <c r="AR238" s="187"/>
      <c r="AS238" s="187"/>
      <c r="AT238" s="187"/>
      <c r="AU238" s="187"/>
      <c r="AV238" s="187"/>
      <c r="AW238" s="187"/>
      <c r="AX238" s="187"/>
      <c r="AY238" s="187"/>
      <c r="AZ238" s="187"/>
      <c r="BA238" s="187"/>
      <c r="BB238" s="187"/>
      <c r="BC238" s="187"/>
      <c r="BD238" s="187"/>
      <c r="BE238" s="187"/>
      <c r="BF238" s="187"/>
      <c r="BG238" s="187"/>
      <c r="BH238" s="187"/>
    </row>
    <row r="239" spans="2:60" ht="15" customHeight="1">
      <c r="B239" s="187"/>
      <c r="C239" s="187"/>
      <c r="D239" s="187"/>
      <c r="E239" s="187"/>
      <c r="F239" s="187"/>
      <c r="G239" s="187"/>
      <c r="H239" s="187"/>
      <c r="I239" s="187"/>
      <c r="J239" s="187"/>
      <c r="K239" s="187"/>
      <c r="L239" s="187"/>
      <c r="M239" s="187"/>
      <c r="N239" s="187"/>
      <c r="O239" s="187"/>
      <c r="P239" s="187"/>
      <c r="Q239" s="187"/>
      <c r="R239" s="187"/>
      <c r="S239" s="187"/>
      <c r="T239" s="187"/>
      <c r="U239" s="187"/>
      <c r="V239" s="187"/>
      <c r="W239" s="187"/>
      <c r="X239" s="187"/>
      <c r="Y239" s="187"/>
      <c r="Z239" s="187"/>
      <c r="AA239" s="187"/>
      <c r="AB239" s="187"/>
      <c r="AC239" s="187"/>
      <c r="AD239" s="187"/>
      <c r="AE239" s="187"/>
      <c r="AF239" s="187"/>
      <c r="AG239" s="187"/>
      <c r="AH239" s="187"/>
      <c r="AI239" s="187"/>
      <c r="AJ239" s="187"/>
      <c r="AK239" s="187"/>
      <c r="AL239" s="187"/>
      <c r="AM239" s="187"/>
      <c r="AN239" s="187"/>
      <c r="AO239" s="187"/>
      <c r="AP239" s="187"/>
      <c r="AQ239" s="187"/>
      <c r="AR239" s="187"/>
      <c r="AS239" s="187"/>
      <c r="AT239" s="187"/>
      <c r="AU239" s="187"/>
      <c r="AV239" s="187"/>
      <c r="AW239" s="187"/>
      <c r="AX239" s="187"/>
      <c r="AY239" s="187"/>
      <c r="AZ239" s="187"/>
      <c r="BA239" s="187"/>
      <c r="BB239" s="187"/>
      <c r="BC239" s="187"/>
      <c r="BD239" s="187"/>
      <c r="BE239" s="187"/>
      <c r="BF239" s="187"/>
      <c r="BG239" s="187"/>
      <c r="BH239" s="187"/>
    </row>
    <row r="240" spans="2:60" ht="15" customHeight="1">
      <c r="B240" s="187"/>
      <c r="C240" s="187"/>
      <c r="D240" s="187"/>
      <c r="E240" s="187"/>
      <c r="F240" s="187"/>
      <c r="G240" s="187"/>
      <c r="H240" s="187"/>
      <c r="I240" s="187"/>
      <c r="J240" s="187"/>
      <c r="K240" s="187"/>
      <c r="L240" s="187"/>
      <c r="M240" s="187"/>
      <c r="N240" s="187"/>
      <c r="O240" s="187"/>
      <c r="P240" s="187"/>
      <c r="Q240" s="187"/>
      <c r="R240" s="187"/>
      <c r="S240" s="187"/>
      <c r="T240" s="187"/>
      <c r="U240" s="187"/>
      <c r="V240" s="187"/>
      <c r="W240" s="187"/>
      <c r="X240" s="187"/>
      <c r="Y240" s="187"/>
      <c r="Z240" s="187"/>
      <c r="AA240" s="187"/>
      <c r="AB240" s="187"/>
      <c r="AC240" s="187"/>
      <c r="AD240" s="187"/>
      <c r="AE240" s="187"/>
      <c r="AF240" s="187"/>
      <c r="AG240" s="187"/>
      <c r="AH240" s="187"/>
      <c r="AI240" s="187"/>
      <c r="AJ240" s="187"/>
      <c r="AK240" s="187"/>
      <c r="AL240" s="187"/>
      <c r="AM240" s="187"/>
      <c r="AN240" s="187"/>
      <c r="AO240" s="187"/>
      <c r="AP240" s="187"/>
      <c r="AQ240" s="187"/>
      <c r="AR240" s="187"/>
      <c r="AS240" s="187"/>
      <c r="AT240" s="187"/>
      <c r="AU240" s="187"/>
      <c r="AV240" s="187"/>
      <c r="AW240" s="187"/>
      <c r="AX240" s="187"/>
      <c r="AY240" s="187"/>
      <c r="AZ240" s="187"/>
      <c r="BA240" s="187"/>
      <c r="BB240" s="187"/>
      <c r="BC240" s="187"/>
      <c r="BD240" s="187"/>
      <c r="BE240" s="187"/>
      <c r="BF240" s="187"/>
      <c r="BG240" s="187"/>
      <c r="BH240" s="187"/>
    </row>
    <row r="241" spans="2:60" ht="15" customHeight="1">
      <c r="B241" s="187"/>
      <c r="C241" s="187"/>
      <c r="D241" s="187"/>
      <c r="E241" s="187"/>
      <c r="F241" s="187"/>
      <c r="G241" s="187"/>
      <c r="H241" s="187"/>
      <c r="I241" s="187"/>
      <c r="J241" s="187"/>
      <c r="K241" s="187"/>
      <c r="L241" s="187"/>
      <c r="M241" s="187"/>
      <c r="N241" s="187"/>
      <c r="O241" s="187"/>
      <c r="P241" s="187"/>
      <c r="Q241" s="187"/>
      <c r="R241" s="187"/>
      <c r="S241" s="187"/>
      <c r="T241" s="187"/>
      <c r="U241" s="187"/>
      <c r="V241" s="187"/>
      <c r="W241" s="187"/>
      <c r="X241" s="187"/>
      <c r="Y241" s="187"/>
      <c r="Z241" s="187"/>
      <c r="AA241" s="187"/>
      <c r="AB241" s="187"/>
      <c r="AC241" s="187"/>
      <c r="AD241" s="187"/>
      <c r="AE241" s="187"/>
      <c r="AF241" s="187"/>
      <c r="AG241" s="187"/>
      <c r="AH241" s="187"/>
      <c r="AI241" s="187"/>
      <c r="AJ241" s="187"/>
      <c r="AK241" s="187"/>
      <c r="AL241" s="187"/>
      <c r="AM241" s="187"/>
      <c r="AN241" s="187"/>
      <c r="AO241" s="187"/>
      <c r="AP241" s="187"/>
      <c r="AQ241" s="187"/>
      <c r="AR241" s="187"/>
      <c r="AS241" s="187"/>
      <c r="AT241" s="187"/>
      <c r="AU241" s="187"/>
      <c r="AV241" s="187"/>
      <c r="AW241" s="187"/>
      <c r="AX241" s="187"/>
      <c r="AY241" s="187"/>
      <c r="AZ241" s="187"/>
      <c r="BA241" s="187"/>
      <c r="BB241" s="187"/>
      <c r="BC241" s="187"/>
      <c r="BD241" s="187"/>
      <c r="BE241" s="187"/>
      <c r="BF241" s="187"/>
      <c r="BG241" s="187"/>
      <c r="BH241" s="187"/>
    </row>
    <row r="242" spans="2:60" ht="15" customHeight="1">
      <c r="B242" s="187"/>
      <c r="C242" s="187"/>
      <c r="D242" s="187"/>
      <c r="E242" s="187"/>
      <c r="F242" s="187"/>
      <c r="G242" s="187"/>
      <c r="H242" s="187"/>
      <c r="I242" s="187"/>
      <c r="J242" s="187"/>
      <c r="K242" s="187"/>
      <c r="L242" s="187"/>
      <c r="M242" s="187"/>
      <c r="N242" s="187"/>
      <c r="O242" s="187"/>
      <c r="P242" s="187"/>
      <c r="Q242" s="187"/>
      <c r="R242" s="187"/>
      <c r="S242" s="187"/>
      <c r="T242" s="187"/>
      <c r="U242" s="187"/>
      <c r="V242" s="187"/>
      <c r="W242" s="187"/>
      <c r="X242" s="187"/>
      <c r="Y242" s="187"/>
      <c r="Z242" s="187"/>
      <c r="AA242" s="187"/>
      <c r="AB242" s="187"/>
      <c r="AC242" s="187"/>
      <c r="AD242" s="187"/>
      <c r="AE242" s="187"/>
      <c r="AF242" s="187"/>
      <c r="AG242" s="187"/>
      <c r="AH242" s="187"/>
      <c r="AI242" s="187"/>
      <c r="AJ242" s="187"/>
      <c r="AK242" s="187"/>
      <c r="AL242" s="187"/>
      <c r="AM242" s="187"/>
      <c r="AN242" s="187"/>
      <c r="AO242" s="187"/>
      <c r="AP242" s="187"/>
      <c r="AQ242" s="187"/>
      <c r="AR242" s="187"/>
      <c r="AS242" s="187"/>
      <c r="AT242" s="187"/>
      <c r="AU242" s="187"/>
      <c r="AV242" s="187"/>
      <c r="AW242" s="187"/>
      <c r="AX242" s="187"/>
      <c r="AY242" s="187"/>
      <c r="AZ242" s="187"/>
      <c r="BA242" s="187"/>
      <c r="BB242" s="187"/>
      <c r="BC242" s="187"/>
      <c r="BD242" s="187"/>
      <c r="BE242" s="187"/>
      <c r="BF242" s="187"/>
      <c r="BG242" s="187"/>
      <c r="BH242" s="187"/>
    </row>
    <row r="243" spans="2:60" ht="15" customHeight="1">
      <c r="B243" s="187"/>
      <c r="C243" s="187"/>
      <c r="D243" s="187"/>
      <c r="E243" s="187"/>
      <c r="F243" s="187"/>
      <c r="G243" s="187"/>
      <c r="H243" s="187"/>
      <c r="I243" s="187"/>
      <c r="J243" s="187"/>
      <c r="K243" s="187"/>
      <c r="L243" s="187"/>
      <c r="M243" s="187"/>
      <c r="N243" s="187"/>
      <c r="O243" s="187"/>
      <c r="P243" s="187"/>
      <c r="Q243" s="187"/>
      <c r="R243" s="187"/>
      <c r="S243" s="187"/>
      <c r="T243" s="187"/>
      <c r="U243" s="187"/>
      <c r="V243" s="187"/>
      <c r="W243" s="187"/>
      <c r="X243" s="187"/>
      <c r="Y243" s="187"/>
      <c r="Z243" s="187"/>
      <c r="AA243" s="187"/>
      <c r="AB243" s="187"/>
      <c r="AC243" s="187"/>
      <c r="AD243" s="187"/>
      <c r="AE243" s="187"/>
      <c r="AF243" s="187"/>
      <c r="AG243" s="187"/>
      <c r="AH243" s="187"/>
      <c r="AI243" s="187"/>
      <c r="AJ243" s="187"/>
      <c r="AK243" s="187"/>
      <c r="AL243" s="187"/>
      <c r="AM243" s="187"/>
      <c r="AN243" s="187"/>
      <c r="AO243" s="187"/>
      <c r="AP243" s="187"/>
      <c r="AQ243" s="187"/>
      <c r="AR243" s="187"/>
      <c r="AS243" s="187"/>
      <c r="AT243" s="187"/>
      <c r="AU243" s="187"/>
      <c r="AV243" s="187"/>
      <c r="AW243" s="187"/>
      <c r="AX243" s="187"/>
      <c r="AY243" s="187"/>
      <c r="AZ243" s="187"/>
      <c r="BA243" s="187"/>
      <c r="BB243" s="187"/>
      <c r="BC243" s="187"/>
      <c r="BD243" s="187"/>
      <c r="BE243" s="187"/>
      <c r="BF243" s="187"/>
      <c r="BG243" s="187"/>
      <c r="BH243" s="187"/>
    </row>
    <row r="244" spans="2:60" ht="15" customHeight="1">
      <c r="BF244" s="187"/>
      <c r="BG244" s="187"/>
      <c r="BH244" s="187"/>
    </row>
    <row r="245" spans="2:60" ht="15" customHeight="1">
      <c r="BF245" s="187"/>
      <c r="BG245" s="187"/>
      <c r="BH245" s="187"/>
    </row>
    <row r="246" spans="2:60" ht="15" customHeight="1">
      <c r="BF246" s="187"/>
      <c r="BG246" s="187"/>
      <c r="BH246" s="187"/>
    </row>
    <row r="247" spans="2:60" ht="15" customHeight="1">
      <c r="BF247" s="187"/>
      <c r="BG247" s="187"/>
      <c r="BH247" s="187"/>
    </row>
    <row r="248" spans="2:60" ht="15" customHeight="1">
      <c r="BF248" s="187"/>
      <c r="BG248" s="187"/>
      <c r="BH248" s="187"/>
    </row>
    <row r="249" spans="2:60" ht="15" customHeight="1">
      <c r="BF249" s="187"/>
      <c r="BG249" s="187"/>
      <c r="BH249" s="187"/>
    </row>
    <row r="250" spans="2:60" ht="15" customHeight="1">
      <c r="BF250" s="187"/>
      <c r="BG250" s="187"/>
      <c r="BH250" s="187"/>
    </row>
  </sheetData>
  <mergeCells count="101">
    <mergeCell ref="AG11:BE11"/>
    <mergeCell ref="AG16:BE16"/>
    <mergeCell ref="AG12:BE12"/>
    <mergeCell ref="AG14:BE14"/>
    <mergeCell ref="AD13:AF13"/>
    <mergeCell ref="AD14:AF14"/>
    <mergeCell ref="AA13:AC13"/>
    <mergeCell ref="AD12:AF12"/>
    <mergeCell ref="AD15:AF15"/>
    <mergeCell ref="AA15:AC15"/>
    <mergeCell ref="AA11:AC11"/>
    <mergeCell ref="AD11:AF11"/>
    <mergeCell ref="AG13:BE13"/>
    <mergeCell ref="AA12:AC12"/>
    <mergeCell ref="AA14:AC14"/>
    <mergeCell ref="U13:W13"/>
    <mergeCell ref="X13:Z13"/>
    <mergeCell ref="X14:Z14"/>
    <mergeCell ref="O13:Q13"/>
    <mergeCell ref="R13:T13"/>
    <mergeCell ref="O14:Q14"/>
    <mergeCell ref="R14:T14"/>
    <mergeCell ref="U14:W14"/>
    <mergeCell ref="F11:N11"/>
    <mergeCell ref="O11:Q11"/>
    <mergeCell ref="R11:T11"/>
    <mergeCell ref="U11:W11"/>
    <mergeCell ref="X11:Z11"/>
    <mergeCell ref="F12:N12"/>
    <mergeCell ref="F14:N14"/>
    <mergeCell ref="F13:N13"/>
    <mergeCell ref="O12:Q12"/>
    <mergeCell ref="R12:T12"/>
    <mergeCell ref="U12:W12"/>
    <mergeCell ref="X12:Z12"/>
    <mergeCell ref="BJ2:BU2"/>
    <mergeCell ref="BJ3:BU3"/>
    <mergeCell ref="BJ4:BU4"/>
    <mergeCell ref="BL5:BP5"/>
    <mergeCell ref="BQ5:BU5"/>
    <mergeCell ref="AG8:BE10"/>
    <mergeCell ref="B2:BE4"/>
    <mergeCell ref="B5:AR5"/>
    <mergeCell ref="B8:E10"/>
    <mergeCell ref="O8:T8"/>
    <mergeCell ref="U8:W10"/>
    <mergeCell ref="X8:AF8"/>
    <mergeCell ref="O9:Q10"/>
    <mergeCell ref="R9:T10"/>
    <mergeCell ref="X9:Z10"/>
    <mergeCell ref="AA9:AC10"/>
    <mergeCell ref="AD9:AF10"/>
    <mergeCell ref="F8:N10"/>
    <mergeCell ref="B11:E14"/>
    <mergeCell ref="BW101:CC101"/>
    <mergeCell ref="BW5:CC5"/>
    <mergeCell ref="BI5:BK5"/>
    <mergeCell ref="BI101:BK101"/>
    <mergeCell ref="BJ98:BU98"/>
    <mergeCell ref="BJ99:BU99"/>
    <mergeCell ref="BL82:BP82"/>
    <mergeCell ref="BL63:BP63"/>
    <mergeCell ref="BI63:BK63"/>
    <mergeCell ref="BL25:BP25"/>
    <mergeCell ref="BJ41:BU41"/>
    <mergeCell ref="BJ100:BU100"/>
    <mergeCell ref="BL101:BP101"/>
    <mergeCell ref="BQ82:BU82"/>
    <mergeCell ref="BW82:CC82"/>
    <mergeCell ref="BJ81:BU81"/>
    <mergeCell ref="BW25:CC25"/>
    <mergeCell ref="BW44:CC44"/>
    <mergeCell ref="BQ63:BU63"/>
    <mergeCell ref="BW63:CC63"/>
    <mergeCell ref="BJ79:BU79"/>
    <mergeCell ref="BJ80:BU80"/>
    <mergeCell ref="BJ24:BU24"/>
    <mergeCell ref="BQ44:BU44"/>
    <mergeCell ref="B15:E16"/>
    <mergeCell ref="BJ42:BU42"/>
    <mergeCell ref="BJ23:BU23"/>
    <mergeCell ref="BQ101:BU101"/>
    <mergeCell ref="BQ25:BU25"/>
    <mergeCell ref="AG15:BE15"/>
    <mergeCell ref="BJ22:BU22"/>
    <mergeCell ref="BI25:BK25"/>
    <mergeCell ref="BI44:BK44"/>
    <mergeCell ref="R16:T16"/>
    <mergeCell ref="F15:N15"/>
    <mergeCell ref="U16:W16"/>
    <mergeCell ref="X16:Z16"/>
    <mergeCell ref="AA16:AC16"/>
    <mergeCell ref="AD16:AF16"/>
    <mergeCell ref="U15:W15"/>
    <mergeCell ref="X15:Z15"/>
    <mergeCell ref="F16:N16"/>
    <mergeCell ref="O16:Q16"/>
    <mergeCell ref="BL44:BP44"/>
    <mergeCell ref="BI82:BK82"/>
    <mergeCell ref="O15:Q15"/>
    <mergeCell ref="R15:T15"/>
  </mergeCells>
  <conditionalFormatting sqref="A1:BH1 A6 BW1:CC4 B7:BH7 AG8 A5:BH5 A2:B2 A3:A4 BF2:BH4">
    <cfRule type="cellIs" dxfId="668" priority="216" operator="equal">
      <formula>"XXX"</formula>
    </cfRule>
  </conditionalFormatting>
  <conditionalFormatting sqref="BW7:BX19">
    <cfRule type="cellIs" dxfId="667" priority="215" operator="equal">
      <formula>"XXX"</formula>
    </cfRule>
  </conditionalFormatting>
  <conditionalFormatting sqref="BJ2:BJ3">
    <cfRule type="cellIs" dxfId="666" priority="214" operator="equal">
      <formula>#REF!</formula>
    </cfRule>
  </conditionalFormatting>
  <conditionalFormatting sqref="B6:BH6 BF8:BG11 R11:AF11 F8:N10">
    <cfRule type="cellIs" dxfId="665" priority="213" operator="equal">
      <formula>"XXX"</formula>
    </cfRule>
  </conditionalFormatting>
  <conditionalFormatting sqref="BH10">
    <cfRule type="cellIs" dxfId="664" priority="212" operator="equal">
      <formula>"XXX"</formula>
    </cfRule>
  </conditionalFormatting>
  <conditionalFormatting sqref="BH8">
    <cfRule type="cellIs" dxfId="663" priority="211" operator="equal">
      <formula>"XXX"</formula>
    </cfRule>
  </conditionalFormatting>
  <conditionalFormatting sqref="BH9">
    <cfRule type="cellIs" dxfId="662" priority="210" operator="equal">
      <formula>"XXX"</formula>
    </cfRule>
  </conditionalFormatting>
  <conditionalFormatting sqref="F11:N11">
    <cfRule type="cellIs" dxfId="661" priority="209" operator="equal">
      <formula>"XXX"</formula>
    </cfRule>
  </conditionalFormatting>
  <conditionalFormatting sqref="BH11">
    <cfRule type="cellIs" dxfId="660" priority="208" operator="equal">
      <formula>"XXX"</formula>
    </cfRule>
  </conditionalFormatting>
  <conditionalFormatting sqref="O8:AF8 U9:AF10">
    <cfRule type="cellIs" dxfId="659" priority="207" operator="equal">
      <formula>"XXX"</formula>
    </cfRule>
  </conditionalFormatting>
  <conditionalFormatting sqref="O9:T10">
    <cfRule type="cellIs" dxfId="658" priority="206" operator="equal">
      <formula>"XXX"</formula>
    </cfRule>
  </conditionalFormatting>
  <conditionalFormatting sqref="BJ96:BV96 BJ77:BU78 BW78:CC81 BV76:BV95">
    <cfRule type="cellIs" dxfId="657" priority="205" operator="equal">
      <formula>"XXX"</formula>
    </cfRule>
  </conditionalFormatting>
  <conditionalFormatting sqref="BW65:BX77">
    <cfRule type="cellIs" dxfId="656" priority="200" operator="equal">
      <formula>"XXX"</formula>
    </cfRule>
  </conditionalFormatting>
  <conditionalFormatting sqref="BW21:CC24">
    <cfRule type="cellIs" dxfId="655" priority="204" operator="equal">
      <formula>"XXX"</formula>
    </cfRule>
  </conditionalFormatting>
  <conditionalFormatting sqref="BW41:BX43 BW60:BW62 BY40:CC43 BX59:CC62">
    <cfRule type="cellIs" dxfId="654" priority="203" operator="equal">
      <formula>"XXX"</formula>
    </cfRule>
  </conditionalFormatting>
  <conditionalFormatting sqref="BW27:BX39">
    <cfRule type="cellIs" dxfId="653" priority="202" operator="equal">
      <formula>"XXX"</formula>
    </cfRule>
  </conditionalFormatting>
  <conditionalFormatting sqref="BW46:BX58">
    <cfRule type="cellIs" dxfId="652" priority="201" operator="equal">
      <formula>"XXX"</formula>
    </cfRule>
  </conditionalFormatting>
  <conditionalFormatting sqref="BW84:BX96">
    <cfRule type="cellIs" dxfId="651" priority="199" operator="equal">
      <formula>"XXX"</formula>
    </cfRule>
  </conditionalFormatting>
  <conditionalFormatting sqref="X11 AA11 AD11 R11">
    <cfRule type="cellIs" dxfId="650" priority="217" stopIfTrue="1" operator="lessThan">
      <formula>$U11*1.1</formula>
    </cfRule>
    <cfRule type="cellIs" dxfId="649" priority="218" operator="lessThan">
      <formula>$U11</formula>
    </cfRule>
    <cfRule type="cellIs" dxfId="648" priority="219" operator="greaterThanOrEqual">
      <formula>$U11</formula>
    </cfRule>
  </conditionalFormatting>
  <conditionalFormatting sqref="O12">
    <cfRule type="cellIs" dxfId="647" priority="196" operator="lessThanOrEqual">
      <formula>$U12</formula>
    </cfRule>
    <cfRule type="cellIs" dxfId="646" priority="197" operator="greaterThan">
      <formula>$U12*0.9</formula>
    </cfRule>
    <cfRule type="cellIs" dxfId="645" priority="198" operator="greaterThan">
      <formula>$U12</formula>
    </cfRule>
  </conditionalFormatting>
  <conditionalFormatting sqref="F12:Q12 U12:W13 F13:N13">
    <cfRule type="cellIs" dxfId="644" priority="195" operator="equal">
      <formula>"XXX"</formula>
    </cfRule>
  </conditionalFormatting>
  <conditionalFormatting sqref="F14:Q14 U14:AF14">
    <cfRule type="cellIs" dxfId="643" priority="194" operator="equal">
      <formula>"XXX"</formula>
    </cfRule>
  </conditionalFormatting>
  <conditionalFormatting sqref="O14">
    <cfRule type="cellIs" dxfId="642" priority="191" stopIfTrue="1" operator="greaterThan">
      <formula>$U14*1.1</formula>
    </cfRule>
    <cfRule type="cellIs" dxfId="641" priority="192" operator="greaterThan">
      <formula>$U14</formula>
    </cfRule>
    <cfRule type="cellIs" dxfId="640" priority="193" operator="lessThan">
      <formula>$U14</formula>
    </cfRule>
  </conditionalFormatting>
  <conditionalFormatting sqref="X14">
    <cfRule type="cellIs" dxfId="639" priority="188" stopIfTrue="1" operator="greaterThan">
      <formula>$U14*1.1</formula>
    </cfRule>
    <cfRule type="cellIs" dxfId="638" priority="189" operator="greaterThan">
      <formula>$U14</formula>
    </cfRule>
    <cfRule type="cellIs" dxfId="637" priority="190" operator="lessThan">
      <formula>$U14</formula>
    </cfRule>
  </conditionalFormatting>
  <conditionalFormatting sqref="AA14">
    <cfRule type="cellIs" dxfId="636" priority="185" stopIfTrue="1" operator="greaterThan">
      <formula>$U14*1.1</formula>
    </cfRule>
    <cfRule type="cellIs" dxfId="635" priority="186" operator="greaterThan">
      <formula>$U14</formula>
    </cfRule>
    <cfRule type="cellIs" dxfId="634" priority="187" operator="lessThan">
      <formula>$U14</formula>
    </cfRule>
  </conditionalFormatting>
  <conditionalFormatting sqref="AD14">
    <cfRule type="cellIs" dxfId="633" priority="182" stopIfTrue="1" operator="greaterThan">
      <formula>$U14*1.1</formula>
    </cfRule>
    <cfRule type="cellIs" dxfId="632" priority="183" operator="greaterThan">
      <formula>$U14</formula>
    </cfRule>
    <cfRule type="cellIs" dxfId="631" priority="184" operator="lessThan">
      <formula>$U14</formula>
    </cfRule>
  </conditionalFormatting>
  <conditionalFormatting sqref="R14:T14">
    <cfRule type="cellIs" dxfId="630" priority="181" operator="equal">
      <formula>"XXX"</formula>
    </cfRule>
  </conditionalFormatting>
  <conditionalFormatting sqref="R14">
    <cfRule type="cellIs" dxfId="629" priority="178" stopIfTrue="1" operator="greaterThan">
      <formula>$U14*1.1</formula>
    </cfRule>
    <cfRule type="cellIs" dxfId="628" priority="179" operator="greaterThan">
      <formula>$U14</formula>
    </cfRule>
    <cfRule type="cellIs" dxfId="627" priority="180" operator="lessThan">
      <formula>$U14</formula>
    </cfRule>
  </conditionalFormatting>
  <conditionalFormatting sqref="F15:N15">
    <cfRule type="cellIs" dxfId="626" priority="177" operator="equal">
      <formula>"XXX"</formula>
    </cfRule>
  </conditionalFormatting>
  <conditionalFormatting sqref="R12">
    <cfRule type="cellIs" dxfId="625" priority="174" operator="lessThanOrEqual">
      <formula>$U12</formula>
    </cfRule>
    <cfRule type="cellIs" dxfId="624" priority="175" operator="greaterThan">
      <formula>$U12*0.9</formula>
    </cfRule>
    <cfRule type="cellIs" dxfId="623" priority="176" operator="greaterThan">
      <formula>$U12</formula>
    </cfRule>
  </conditionalFormatting>
  <conditionalFormatting sqref="R12:T12">
    <cfRule type="cellIs" dxfId="622" priority="173" operator="equal">
      <formula>"XXX"</formula>
    </cfRule>
  </conditionalFormatting>
  <conditionalFormatting sqref="X12">
    <cfRule type="cellIs" dxfId="621" priority="170" operator="lessThanOrEqual">
      <formula>$U12</formula>
    </cfRule>
    <cfRule type="cellIs" dxfId="620" priority="171" operator="greaterThan">
      <formula>$U12*0.9</formula>
    </cfRule>
    <cfRule type="cellIs" dxfId="619" priority="172" operator="greaterThan">
      <formula>$U12</formula>
    </cfRule>
  </conditionalFormatting>
  <conditionalFormatting sqref="X12:Z12">
    <cfRule type="cellIs" dxfId="618" priority="169" operator="equal">
      <formula>"XXX"</formula>
    </cfRule>
  </conditionalFormatting>
  <conditionalFormatting sqref="AA12">
    <cfRule type="cellIs" dxfId="617" priority="166" operator="lessThanOrEqual">
      <formula>$U12</formula>
    </cfRule>
    <cfRule type="cellIs" dxfId="616" priority="167" operator="greaterThan">
      <formula>$U12*0.9</formula>
    </cfRule>
    <cfRule type="cellIs" dxfId="615" priority="168" operator="greaterThan">
      <formula>$U12</formula>
    </cfRule>
  </conditionalFormatting>
  <conditionalFormatting sqref="AA12:AC12">
    <cfRule type="cellIs" dxfId="614" priority="165" operator="equal">
      <formula>"XXX"</formula>
    </cfRule>
  </conditionalFormatting>
  <conditionalFormatting sqref="AD12">
    <cfRule type="cellIs" dxfId="613" priority="162" operator="lessThanOrEqual">
      <formula>$U12</formula>
    </cfRule>
    <cfRule type="cellIs" dxfId="612" priority="163" operator="greaterThan">
      <formula>$U12*0.9</formula>
    </cfRule>
    <cfRule type="cellIs" dxfId="611" priority="164" operator="lessThanOrEqual">
      <formula>$U12</formula>
    </cfRule>
  </conditionalFormatting>
  <conditionalFormatting sqref="AD12:AF12">
    <cfRule type="cellIs" dxfId="610" priority="161" operator="equal">
      <formula>"XXX"</formula>
    </cfRule>
  </conditionalFormatting>
  <conditionalFormatting sqref="BH12:BH13">
    <cfRule type="cellIs" dxfId="609" priority="160" operator="equal">
      <formula>"XXX"</formula>
    </cfRule>
  </conditionalFormatting>
  <conditionalFormatting sqref="BH14:BH15">
    <cfRule type="cellIs" dxfId="608" priority="159" operator="equal">
      <formula>"XXX"</formula>
    </cfRule>
  </conditionalFormatting>
  <conditionalFormatting sqref="BY116:CC116">
    <cfRule type="cellIs" dxfId="607" priority="158" operator="equal">
      <formula>"XXX"</formula>
    </cfRule>
  </conditionalFormatting>
  <conditionalFormatting sqref="BJ115:BV115 BW98:CC100 BV98:BV114">
    <cfRule type="cellIs" dxfId="606" priority="157" operator="equal">
      <formula>"XXX"</formula>
    </cfRule>
  </conditionalFormatting>
  <conditionalFormatting sqref="BW103:BX115">
    <cfRule type="cellIs" dxfId="605" priority="156" operator="equal">
      <formula>"XXX"</formula>
    </cfRule>
  </conditionalFormatting>
  <conditionalFormatting sqref="F16:N16">
    <cfRule type="cellIs" dxfId="604" priority="155" operator="equal">
      <formula>"XXX"</formula>
    </cfRule>
  </conditionalFormatting>
  <conditionalFormatting sqref="BH16">
    <cfRule type="cellIs" dxfId="603" priority="154" operator="equal">
      <formula>"XXX"</formula>
    </cfRule>
  </conditionalFormatting>
  <conditionalFormatting sqref="BH17">
    <cfRule type="cellIs" dxfId="602" priority="153" operator="equal">
      <formula>"XXX"</formula>
    </cfRule>
  </conditionalFormatting>
  <conditionalFormatting sqref="BH18">
    <cfRule type="cellIs" dxfId="601" priority="152" operator="equal">
      <formula>"XXX"</formula>
    </cfRule>
  </conditionalFormatting>
  <conditionalFormatting sqref="BH19">
    <cfRule type="cellIs" dxfId="600" priority="151" operator="equal">
      <formula>"XXX"</formula>
    </cfRule>
  </conditionalFormatting>
  <conditionalFormatting sqref="BH20">
    <cfRule type="cellIs" dxfId="599" priority="150" operator="equal">
      <formula>"XXX"</formula>
    </cfRule>
  </conditionalFormatting>
  <conditionalFormatting sqref="BH21:BH23">
    <cfRule type="cellIs" dxfId="598" priority="149" operator="equal">
      <formula>"XXX"</formula>
    </cfRule>
  </conditionalFormatting>
  <conditionalFormatting sqref="AG11">
    <cfRule type="cellIs" dxfId="597" priority="148" operator="equal">
      <formula>"XXX"</formula>
    </cfRule>
  </conditionalFormatting>
  <conditionalFormatting sqref="AG14">
    <cfRule type="cellIs" dxfId="596" priority="146" operator="equal">
      <formula>"XXX"</formula>
    </cfRule>
  </conditionalFormatting>
  <conditionalFormatting sqref="AG13">
    <cfRule type="cellIs" dxfId="595" priority="145" operator="equal">
      <formula>"XXX"</formula>
    </cfRule>
  </conditionalFormatting>
  <conditionalFormatting sqref="AG12">
    <cfRule type="cellIs" dxfId="594" priority="144" operator="equal">
      <formula>"XXX"</formula>
    </cfRule>
  </conditionalFormatting>
  <conditionalFormatting sqref="BR33">
    <cfRule type="expression" dxfId="593" priority="142">
      <formula>(AND($BJ33=$BX$5,LEN($BQ33)=0))</formula>
    </cfRule>
  </conditionalFormatting>
  <conditionalFormatting sqref="BR33:BS33">
    <cfRule type="expression" dxfId="592" priority="141">
      <formula>(AND($BJ33=$BX$5,LEN($BR33)=0))</formula>
    </cfRule>
  </conditionalFormatting>
  <conditionalFormatting sqref="BR34">
    <cfRule type="expression" dxfId="591" priority="140">
      <formula>(AND($BJ34=$BX$5,LEN($BQ34)=0))</formula>
    </cfRule>
  </conditionalFormatting>
  <conditionalFormatting sqref="BR34:BS34">
    <cfRule type="expression" dxfId="590" priority="139">
      <formula>(AND($BJ34=$BX$5,LEN($BR34)=0))</formula>
    </cfRule>
  </conditionalFormatting>
  <conditionalFormatting sqref="BR35">
    <cfRule type="expression" dxfId="589" priority="138">
      <formula>(AND($BJ35=$BX$5,LEN($BQ35)=0))</formula>
    </cfRule>
  </conditionalFormatting>
  <conditionalFormatting sqref="BR35:BS35">
    <cfRule type="expression" dxfId="588" priority="137">
      <formula>(AND($BJ35=$BX$5,LEN($BR35)=0))</formula>
    </cfRule>
  </conditionalFormatting>
  <conditionalFormatting sqref="BR37">
    <cfRule type="expression" dxfId="587" priority="136">
      <formula>(AND($BJ37=$BX$5,LEN($BQ37)=0))</formula>
    </cfRule>
  </conditionalFormatting>
  <conditionalFormatting sqref="BR37:BS37">
    <cfRule type="expression" dxfId="586" priority="135">
      <formula>(AND($BJ37=$BX$5,LEN($BR37)=0))</formula>
    </cfRule>
  </conditionalFormatting>
  <conditionalFormatting sqref="BR38">
    <cfRule type="expression" dxfId="585" priority="134">
      <formula>(AND($BJ38=$BX$5,LEN($BQ38)=0))</formula>
    </cfRule>
  </conditionalFormatting>
  <conditionalFormatting sqref="BR38:BS38">
    <cfRule type="expression" dxfId="584" priority="133">
      <formula>(AND($BJ38=$BX$5,LEN($BR38)=0))</formula>
    </cfRule>
  </conditionalFormatting>
  <conditionalFormatting sqref="BM32">
    <cfRule type="expression" dxfId="583" priority="132">
      <formula>(AND($BJ32=$BX$5,LEN($BQ32)=0))</formula>
    </cfRule>
  </conditionalFormatting>
  <conditionalFormatting sqref="BM32:BN32">
    <cfRule type="expression" dxfId="582" priority="131">
      <formula>(AND($BJ32=$BX$5,LEN($BR32)=0))</formula>
    </cfRule>
  </conditionalFormatting>
  <conditionalFormatting sqref="BM33">
    <cfRule type="expression" dxfId="581" priority="130">
      <formula>(AND($BJ33=$BX$5,LEN($BQ33)=0))</formula>
    </cfRule>
  </conditionalFormatting>
  <conditionalFormatting sqref="BM33:BN33">
    <cfRule type="expression" dxfId="580" priority="129">
      <formula>(AND($BJ33=$BX$5,LEN($BR33)=0))</formula>
    </cfRule>
  </conditionalFormatting>
  <conditionalFormatting sqref="BM34">
    <cfRule type="expression" dxfId="579" priority="128">
      <formula>(AND($BJ34=$BX$5,LEN($BQ34)=0))</formula>
    </cfRule>
  </conditionalFormatting>
  <conditionalFormatting sqref="BM34:BN34">
    <cfRule type="expression" dxfId="578" priority="127">
      <formula>(AND($BJ34=$BX$5,LEN($BR34)=0))</formula>
    </cfRule>
  </conditionalFormatting>
  <conditionalFormatting sqref="BM35">
    <cfRule type="expression" dxfId="577" priority="126">
      <formula>(AND($BJ35=$BX$5,LEN($BQ35)=0))</formula>
    </cfRule>
  </conditionalFormatting>
  <conditionalFormatting sqref="BM35:BN35">
    <cfRule type="expression" dxfId="576" priority="125">
      <formula>(AND($BJ35=$BX$5,LEN($BR35)=0))</formula>
    </cfRule>
  </conditionalFormatting>
  <conditionalFormatting sqref="BM36">
    <cfRule type="expression" dxfId="575" priority="124">
      <formula>(AND($BJ36=$BX$5,LEN($BQ36)=0))</formula>
    </cfRule>
  </conditionalFormatting>
  <conditionalFormatting sqref="BM36:BN36">
    <cfRule type="expression" dxfId="574" priority="123">
      <formula>(AND($BJ36=$BX$5,LEN($BR36)=0))</formula>
    </cfRule>
  </conditionalFormatting>
  <conditionalFormatting sqref="BM37">
    <cfRule type="expression" dxfId="573" priority="122">
      <formula>(AND($BJ37=$BX$5,LEN($BQ37)=0))</formula>
    </cfRule>
  </conditionalFormatting>
  <conditionalFormatting sqref="BM37:BN37">
    <cfRule type="expression" dxfId="572" priority="121">
      <formula>(AND($BJ37=$BX$5,LEN($BR37)=0))</formula>
    </cfRule>
  </conditionalFormatting>
  <conditionalFormatting sqref="BM38">
    <cfRule type="expression" dxfId="571" priority="120">
      <formula>(AND($BJ38=$BX$5,LEN($BQ38)=0))</formula>
    </cfRule>
  </conditionalFormatting>
  <conditionalFormatting sqref="BM38:BN38">
    <cfRule type="expression" dxfId="570" priority="119">
      <formula>(AND($BJ38=$BX$5,LEN($BR38)=0))</formula>
    </cfRule>
  </conditionalFormatting>
  <conditionalFormatting sqref="BR32">
    <cfRule type="expression" dxfId="569" priority="118">
      <formula>(AND($BJ32=$BX$5,LEN($BQ32)=0))</formula>
    </cfRule>
  </conditionalFormatting>
  <conditionalFormatting sqref="BR32">
    <cfRule type="expression" dxfId="568" priority="117">
      <formula>(AND($BJ32=$BX$5,LEN($BR32)=0))</formula>
    </cfRule>
  </conditionalFormatting>
  <conditionalFormatting sqref="BR36">
    <cfRule type="expression" dxfId="567" priority="116">
      <formula>(AND($BJ36=$BX$5,LEN($BQ36)=0))</formula>
    </cfRule>
  </conditionalFormatting>
  <conditionalFormatting sqref="BR36:BS36">
    <cfRule type="expression" dxfId="566" priority="115">
      <formula>(AND($BJ36=$BX$5,LEN($BR36)=0))</formula>
    </cfRule>
  </conditionalFormatting>
  <conditionalFormatting sqref="O13">
    <cfRule type="cellIs" dxfId="565" priority="112" stopIfTrue="1" operator="greaterThan">
      <formula>$Q13*1.1</formula>
    </cfRule>
    <cfRule type="cellIs" dxfId="564" priority="113" operator="greaterThan">
      <formula>$Q13</formula>
    </cfRule>
    <cfRule type="cellIs" dxfId="563" priority="114" operator="lessThanOrEqual">
      <formula>$Q13</formula>
    </cfRule>
  </conditionalFormatting>
  <conditionalFormatting sqref="R13">
    <cfRule type="cellIs" dxfId="562" priority="109" stopIfTrue="1" operator="greaterThan">
      <formula>$Q13*1.1</formula>
    </cfRule>
    <cfRule type="cellIs" dxfId="561" priority="110" operator="greaterThan">
      <formula>$Q13</formula>
    </cfRule>
    <cfRule type="cellIs" dxfId="560" priority="111" operator="lessThanOrEqual">
      <formula>$Q13</formula>
    </cfRule>
  </conditionalFormatting>
  <conditionalFormatting sqref="X13">
    <cfRule type="cellIs" dxfId="559" priority="106" stopIfTrue="1" operator="greaterThan">
      <formula>$Q13*1.1</formula>
    </cfRule>
    <cfRule type="cellIs" dxfId="558" priority="107" operator="greaterThan">
      <formula>$Q13</formula>
    </cfRule>
    <cfRule type="cellIs" dxfId="557" priority="108" operator="lessThanOrEqual">
      <formula>$Q13</formula>
    </cfRule>
  </conditionalFormatting>
  <conditionalFormatting sqref="AA13">
    <cfRule type="cellIs" dxfId="556" priority="103" stopIfTrue="1" operator="greaterThan">
      <formula>$Q13*1.1</formula>
    </cfRule>
    <cfRule type="cellIs" dxfId="555" priority="104" operator="greaterThan">
      <formula>$Q13</formula>
    </cfRule>
    <cfRule type="cellIs" dxfId="554" priority="105" operator="lessThanOrEqual">
      <formula>$Q13</formula>
    </cfRule>
  </conditionalFormatting>
  <conditionalFormatting sqref="AD13">
    <cfRule type="cellIs" dxfId="553" priority="100" stopIfTrue="1" operator="greaterThan">
      <formula>$Q13*1.1</formula>
    </cfRule>
    <cfRule type="cellIs" dxfId="552" priority="101" operator="greaterThan">
      <formula>$Q13</formula>
    </cfRule>
    <cfRule type="cellIs" dxfId="551" priority="102" operator="lessThanOrEqual">
      <formula>$Q13</formula>
    </cfRule>
  </conditionalFormatting>
  <conditionalFormatting sqref="BR53:BR57">
    <cfRule type="expression" dxfId="550" priority="99">
      <formula>(AND($BJ53=$BX$5,LEN($BQ53)=0))</formula>
    </cfRule>
  </conditionalFormatting>
  <conditionalFormatting sqref="BR54:BS57 BR53">
    <cfRule type="expression" dxfId="549" priority="98">
      <formula>(AND($BJ53=$BX$5,LEN($BR53)=0))</formula>
    </cfRule>
  </conditionalFormatting>
  <conditionalFormatting sqref="BM50:BM57">
    <cfRule type="expression" dxfId="548" priority="97">
      <formula>(AND($BJ50=$BX$5,LEN($BQ50)=0))</formula>
    </cfRule>
  </conditionalFormatting>
  <conditionalFormatting sqref="BM50:BM51 BM52:BN57">
    <cfRule type="expression" dxfId="547" priority="96">
      <formula>(AND($BJ50=$BX$5,LEN($BR50)=0))</formula>
    </cfRule>
  </conditionalFormatting>
  <conditionalFormatting sqref="BR50">
    <cfRule type="expression" dxfId="546" priority="95">
      <formula>(AND($BJ50=$BX$5,LEN($BQ50)=0))</formula>
    </cfRule>
  </conditionalFormatting>
  <conditionalFormatting sqref="BR50">
    <cfRule type="expression" dxfId="545" priority="94">
      <formula>(AND($BJ50=$BX$5,LEN($BR50)=0))</formula>
    </cfRule>
  </conditionalFormatting>
  <conditionalFormatting sqref="BR51">
    <cfRule type="expression" dxfId="544" priority="93">
      <formula>(AND($BJ51=$BX$5,LEN($BQ51)=0))</formula>
    </cfRule>
  </conditionalFormatting>
  <conditionalFormatting sqref="BR51">
    <cfRule type="expression" dxfId="543" priority="92">
      <formula>(AND($BJ51=$BX$5,LEN($BR51)=0))</formula>
    </cfRule>
  </conditionalFormatting>
  <conditionalFormatting sqref="BR52">
    <cfRule type="expression" dxfId="542" priority="91">
      <formula>(AND($BJ52=$BX$5,LEN($BQ52)=0))</formula>
    </cfRule>
  </conditionalFormatting>
  <conditionalFormatting sqref="BR52:BS52">
    <cfRule type="expression" dxfId="541" priority="90">
      <formula>(AND($BJ52=$BX$5,LEN($BR52)=0))</formula>
    </cfRule>
  </conditionalFormatting>
  <conditionalFormatting sqref="BS53">
    <cfRule type="expression" dxfId="540" priority="89">
      <formula>(AND($BJ53=$BX$5,LEN($BR53)=0))</formula>
    </cfRule>
  </conditionalFormatting>
  <conditionalFormatting sqref="BR72:BR76">
    <cfRule type="expression" dxfId="539" priority="88">
      <formula>(AND($BJ72=$BX$5,LEN($BQ72)=0))</formula>
    </cfRule>
  </conditionalFormatting>
  <conditionalFormatting sqref="BR72:BS76">
    <cfRule type="expression" dxfId="538" priority="87">
      <formula>(AND($BJ72=$BX$5,LEN($BR72)=0))</formula>
    </cfRule>
  </conditionalFormatting>
  <conditionalFormatting sqref="BM69:BM76">
    <cfRule type="expression" dxfId="537" priority="86">
      <formula>(AND($BJ69=$BX$5,LEN($BQ69)=0))</formula>
    </cfRule>
  </conditionalFormatting>
  <conditionalFormatting sqref="BM69:BN76">
    <cfRule type="expression" dxfId="536" priority="85">
      <formula>(AND($BJ69=$BX$5,LEN($BR69)=0))</formula>
    </cfRule>
  </conditionalFormatting>
  <conditionalFormatting sqref="BR69">
    <cfRule type="expression" dxfId="535" priority="84">
      <formula>(AND($BJ69=$BX$5,LEN($BQ69)=0))</formula>
    </cfRule>
  </conditionalFormatting>
  <conditionalFormatting sqref="BR69:BS69">
    <cfRule type="expression" dxfId="534" priority="83">
      <formula>(AND($BJ69=$BX$5,LEN($BR69)=0))</formula>
    </cfRule>
  </conditionalFormatting>
  <conditionalFormatting sqref="BR70">
    <cfRule type="expression" dxfId="533" priority="82">
      <formula>(AND($BJ70=$BX$5,LEN($BQ70)=0))</formula>
    </cfRule>
  </conditionalFormatting>
  <conditionalFormatting sqref="BR70:BS70">
    <cfRule type="expression" dxfId="532" priority="81">
      <formula>(AND($BJ70=$BX$5,LEN($BR70)=0))</formula>
    </cfRule>
  </conditionalFormatting>
  <conditionalFormatting sqref="BR71">
    <cfRule type="expression" dxfId="531" priority="80">
      <formula>(AND($BJ71=$BX$5,LEN($BQ71)=0))</formula>
    </cfRule>
  </conditionalFormatting>
  <conditionalFormatting sqref="BR71:BS71">
    <cfRule type="expression" dxfId="530" priority="79">
      <formula>(AND($BJ71=$BX$5,LEN($BR71)=0))</formula>
    </cfRule>
  </conditionalFormatting>
  <conditionalFormatting sqref="BR91:BR93 BR95">
    <cfRule type="expression" dxfId="529" priority="78">
      <formula>(AND($BJ91=$BX$5,LEN($BQ91)=0))</formula>
    </cfRule>
  </conditionalFormatting>
  <conditionalFormatting sqref="BR91:BS93 BR95:BS95">
    <cfRule type="expression" dxfId="528" priority="77">
      <formula>(AND($BJ91=$BX$5,LEN($BR91)=0))</formula>
    </cfRule>
  </conditionalFormatting>
  <conditionalFormatting sqref="BM88:BM93 BM95">
    <cfRule type="expression" dxfId="527" priority="76">
      <formula>(AND($BJ88=$BX$5,LEN($BQ88)=0))</formula>
    </cfRule>
  </conditionalFormatting>
  <conditionalFormatting sqref="BM88:BN93 BM95:BN95">
    <cfRule type="expression" dxfId="526" priority="75">
      <formula>(AND($BJ88=$BX$5,LEN($BR88)=0))</formula>
    </cfRule>
  </conditionalFormatting>
  <conditionalFormatting sqref="BR88">
    <cfRule type="expression" dxfId="525" priority="74">
      <formula>(AND($BJ88=$BX$5,LEN($BQ88)=0))</formula>
    </cfRule>
  </conditionalFormatting>
  <conditionalFormatting sqref="BR88:BS88">
    <cfRule type="expression" dxfId="524" priority="73">
      <formula>(AND($BJ88=$BX$5,LEN($BR88)=0))</formula>
    </cfRule>
  </conditionalFormatting>
  <conditionalFormatting sqref="BR89">
    <cfRule type="expression" dxfId="523" priority="72">
      <formula>(AND($BJ89=$BX$5,LEN($BQ89)=0))</formula>
    </cfRule>
  </conditionalFormatting>
  <conditionalFormatting sqref="BR89:BS89">
    <cfRule type="expression" dxfId="522" priority="71">
      <formula>(AND($BJ89=$BX$5,LEN($BR89)=0))</formula>
    </cfRule>
  </conditionalFormatting>
  <conditionalFormatting sqref="BR90">
    <cfRule type="expression" dxfId="521" priority="70">
      <formula>(AND($BJ90=$BX$5,LEN($BQ90)=0))</formula>
    </cfRule>
  </conditionalFormatting>
  <conditionalFormatting sqref="BR90:BS90">
    <cfRule type="expression" dxfId="520" priority="69">
      <formula>(AND($BJ90=$BX$5,LEN($BR90)=0))</formula>
    </cfRule>
  </conditionalFormatting>
  <conditionalFormatting sqref="O11">
    <cfRule type="cellIs" dxfId="519" priority="66" operator="greaterThanOrEqual">
      <formula>$U11</formula>
    </cfRule>
    <cfRule type="cellIs" dxfId="518" priority="67" operator="lessThan">
      <formula>$U11*0.9</formula>
    </cfRule>
    <cfRule type="cellIs" dxfId="517" priority="68" operator="lessThan">
      <formula>$U11</formula>
    </cfRule>
  </conditionalFormatting>
  <conditionalFormatting sqref="R15:AF15">
    <cfRule type="cellIs" dxfId="516" priority="62" operator="equal">
      <formula>"XXX"</formula>
    </cfRule>
  </conditionalFormatting>
  <conditionalFormatting sqref="X15 AA15 AD15 R15">
    <cfRule type="cellIs" dxfId="515" priority="63" stopIfTrue="1" operator="lessThan">
      <formula>$U15*1.1</formula>
    </cfRule>
    <cfRule type="cellIs" dxfId="514" priority="64" operator="lessThan">
      <formula>$U15</formula>
    </cfRule>
    <cfRule type="cellIs" dxfId="513" priority="65" operator="greaterThanOrEqual">
      <formula>$U15</formula>
    </cfRule>
  </conditionalFormatting>
  <conditionalFormatting sqref="O15">
    <cfRule type="cellIs" dxfId="512" priority="59" operator="greaterThanOrEqual">
      <formula>$U15</formula>
    </cfRule>
    <cfRule type="cellIs" dxfId="511" priority="60" operator="lessThan">
      <formula>$U15*0.9</formula>
    </cfRule>
    <cfRule type="cellIs" dxfId="510" priority="61" operator="lessThan">
      <formula>$U15</formula>
    </cfRule>
  </conditionalFormatting>
  <conditionalFormatting sqref="O16">
    <cfRule type="cellIs" dxfId="509" priority="56" operator="lessThanOrEqual">
      <formula>$U16</formula>
    </cfRule>
    <cfRule type="cellIs" dxfId="508" priority="57" operator="greaterThan">
      <formula>$U16*0.9</formula>
    </cfRule>
    <cfRule type="cellIs" dxfId="507" priority="58" operator="greaterThan">
      <formula>$U16</formula>
    </cfRule>
  </conditionalFormatting>
  <conditionalFormatting sqref="O16:Q16 U16:W16">
    <cfRule type="cellIs" dxfId="506" priority="55" operator="equal">
      <formula>"XXX"</formula>
    </cfRule>
  </conditionalFormatting>
  <conditionalFormatting sqref="R16">
    <cfRule type="cellIs" dxfId="505" priority="52" operator="lessThanOrEqual">
      <formula>$U16</formula>
    </cfRule>
    <cfRule type="cellIs" dxfId="504" priority="53" operator="greaterThan">
      <formula>$U16*0.9</formula>
    </cfRule>
    <cfRule type="cellIs" dxfId="503" priority="54" operator="greaterThan">
      <formula>$U16</formula>
    </cfRule>
  </conditionalFormatting>
  <conditionalFormatting sqref="R16:T16">
    <cfRule type="cellIs" dxfId="502" priority="51" operator="equal">
      <formula>"XXX"</formula>
    </cfRule>
  </conditionalFormatting>
  <conditionalFormatting sqref="X16">
    <cfRule type="cellIs" dxfId="501" priority="48" operator="lessThanOrEqual">
      <formula>$U16</formula>
    </cfRule>
    <cfRule type="cellIs" dxfId="500" priority="49" operator="greaterThan">
      <formula>$U16*0.9</formula>
    </cfRule>
    <cfRule type="cellIs" dxfId="499" priority="50" operator="greaterThan">
      <formula>$U16</formula>
    </cfRule>
  </conditionalFormatting>
  <conditionalFormatting sqref="X16:Z16">
    <cfRule type="cellIs" dxfId="498" priority="47" operator="equal">
      <formula>"XXX"</formula>
    </cfRule>
  </conditionalFormatting>
  <conditionalFormatting sqref="AA16">
    <cfRule type="cellIs" dxfId="497" priority="44" operator="lessThanOrEqual">
      <formula>$U16</formula>
    </cfRule>
    <cfRule type="cellIs" dxfId="496" priority="45" operator="greaterThan">
      <formula>$U16*0.9</formula>
    </cfRule>
    <cfRule type="cellIs" dxfId="495" priority="46" operator="greaterThan">
      <formula>$U16</formula>
    </cfRule>
  </conditionalFormatting>
  <conditionalFormatting sqref="AA16:AC16">
    <cfRule type="cellIs" dxfId="494" priority="43" operator="equal">
      <formula>"XXX"</formula>
    </cfRule>
  </conditionalFormatting>
  <conditionalFormatting sqref="AD16">
    <cfRule type="cellIs" dxfId="493" priority="40" operator="lessThanOrEqual">
      <formula>$U16</formula>
    </cfRule>
    <cfRule type="cellIs" dxfId="492" priority="41" operator="greaterThan">
      <formula>$U16*0.9</formula>
    </cfRule>
    <cfRule type="cellIs" dxfId="491" priority="42" operator="lessThanOrEqual">
      <formula>$U16</formula>
    </cfRule>
  </conditionalFormatting>
  <conditionalFormatting sqref="AD16:AF16">
    <cfRule type="cellIs" dxfId="490" priority="39" operator="equal">
      <formula>"XXX"</formula>
    </cfRule>
  </conditionalFormatting>
  <conditionalFormatting sqref="BR109">
    <cfRule type="expression" dxfId="489" priority="38">
      <formula>(AND($BJ109=$BX$5,LEN($BQ109)=0))</formula>
    </cfRule>
  </conditionalFormatting>
  <conditionalFormatting sqref="BR109:BS109">
    <cfRule type="expression" dxfId="488" priority="37">
      <formula>(AND($BJ109=$BX$5,LEN($BR109)=0))</formula>
    </cfRule>
  </conditionalFormatting>
  <conditionalFormatting sqref="BR110">
    <cfRule type="expression" dxfId="487" priority="36">
      <formula>(AND($BJ110=$BX$5,LEN($BQ110)=0))</formula>
    </cfRule>
  </conditionalFormatting>
  <conditionalFormatting sqref="BR110:BS110">
    <cfRule type="expression" dxfId="486" priority="35">
      <formula>(AND($BJ110=$BX$5,LEN($BR110)=0))</formula>
    </cfRule>
  </conditionalFormatting>
  <conditionalFormatting sqref="BR111">
    <cfRule type="expression" dxfId="485" priority="34">
      <formula>(AND($BJ111=$BX$5,LEN($BQ111)=0))</formula>
    </cfRule>
  </conditionalFormatting>
  <conditionalFormatting sqref="BR111:BS111">
    <cfRule type="expression" dxfId="484" priority="33">
      <formula>(AND($BJ111=$BX$5,LEN($BR111)=0))</formula>
    </cfRule>
  </conditionalFormatting>
  <conditionalFormatting sqref="BR114">
    <cfRule type="expression" dxfId="483" priority="30">
      <formula>(AND($BJ114=$BX$5,LEN($BQ114)=0))</formula>
    </cfRule>
  </conditionalFormatting>
  <conditionalFormatting sqref="BR114:BS114">
    <cfRule type="expression" dxfId="482" priority="29">
      <formula>(AND($BJ114=$BX$5,LEN($BR114)=0))</formula>
    </cfRule>
  </conditionalFormatting>
  <conditionalFormatting sqref="BM108">
    <cfRule type="expression" dxfId="481" priority="28">
      <formula>(AND($BJ108=$BX$5,LEN($BQ108)=0))</formula>
    </cfRule>
  </conditionalFormatting>
  <conditionalFormatting sqref="BM108:BN108">
    <cfRule type="expression" dxfId="480" priority="27">
      <formula>(AND($BJ108=$BX$5,LEN($BR108)=0))</formula>
    </cfRule>
  </conditionalFormatting>
  <conditionalFormatting sqref="BM109">
    <cfRule type="expression" dxfId="479" priority="26">
      <formula>(AND($BJ109=$BX$5,LEN($BQ109)=0))</formula>
    </cfRule>
  </conditionalFormatting>
  <conditionalFormatting sqref="BM109:BN109">
    <cfRule type="expression" dxfId="478" priority="25">
      <formula>(AND($BJ109=$BX$5,LEN($BR109)=0))</formula>
    </cfRule>
  </conditionalFormatting>
  <conditionalFormatting sqref="BM110">
    <cfRule type="expression" dxfId="477" priority="24">
      <formula>(AND($BJ110=$BX$5,LEN($BQ110)=0))</formula>
    </cfRule>
  </conditionalFormatting>
  <conditionalFormatting sqref="BM110:BN110">
    <cfRule type="expression" dxfId="476" priority="23">
      <formula>(AND($BJ110=$BX$5,LEN($BR110)=0))</formula>
    </cfRule>
  </conditionalFormatting>
  <conditionalFormatting sqref="BM111">
    <cfRule type="expression" dxfId="475" priority="22">
      <formula>(AND($BJ111=$BX$5,LEN($BQ111)=0))</formula>
    </cfRule>
  </conditionalFormatting>
  <conditionalFormatting sqref="BM111:BN111">
    <cfRule type="expression" dxfId="474" priority="21">
      <formula>(AND($BJ111=$BX$5,LEN($BR111)=0))</formula>
    </cfRule>
  </conditionalFormatting>
  <conditionalFormatting sqref="BM112">
    <cfRule type="expression" dxfId="473" priority="20">
      <formula>(AND($BJ112=$BX$5,LEN($BQ112)=0))</formula>
    </cfRule>
  </conditionalFormatting>
  <conditionalFormatting sqref="BM112:BN112">
    <cfRule type="expression" dxfId="472" priority="19">
      <formula>(AND($BJ112=$BX$5,LEN($BR112)=0))</formula>
    </cfRule>
  </conditionalFormatting>
  <conditionalFormatting sqref="BM114">
    <cfRule type="expression" dxfId="471" priority="16">
      <formula>(AND($BJ114=$BX$5,LEN($BQ114)=0))</formula>
    </cfRule>
  </conditionalFormatting>
  <conditionalFormatting sqref="BM114:BN114">
    <cfRule type="expression" dxfId="470" priority="15">
      <formula>(AND($BJ114=$BX$5,LEN($BR114)=0))</formula>
    </cfRule>
  </conditionalFormatting>
  <conditionalFormatting sqref="BR108">
    <cfRule type="expression" dxfId="469" priority="14">
      <formula>(AND($BJ108=$BX$5,LEN($BQ108)=0))</formula>
    </cfRule>
  </conditionalFormatting>
  <conditionalFormatting sqref="BR108">
    <cfRule type="expression" dxfId="468" priority="13">
      <formula>(AND($BJ108=$BX$5,LEN($BR108)=0))</formula>
    </cfRule>
  </conditionalFormatting>
  <conditionalFormatting sqref="BR112">
    <cfRule type="expression" dxfId="467" priority="12">
      <formula>(AND($BJ112=$BX$5,LEN($BQ112)=0))</formula>
    </cfRule>
  </conditionalFormatting>
  <conditionalFormatting sqref="BR112:BS112">
    <cfRule type="expression" dxfId="466" priority="11">
      <formula>(AND($BJ112=$BX$5,LEN($BR112)=0))</formula>
    </cfRule>
  </conditionalFormatting>
  <conditionalFormatting sqref="AG15">
    <cfRule type="cellIs" dxfId="465" priority="10" operator="equal">
      <formula>"XXX"</formula>
    </cfRule>
  </conditionalFormatting>
  <conditionalFormatting sqref="AG16">
    <cfRule type="cellIs" dxfId="464" priority="9" operator="equal">
      <formula>"XXX"</formula>
    </cfRule>
  </conditionalFormatting>
  <conditionalFormatting sqref="BR94">
    <cfRule type="expression" dxfId="463" priority="8">
      <formula>(AND($BJ94=$BX$5,LEN($BQ94)=0))</formula>
    </cfRule>
  </conditionalFormatting>
  <conditionalFormatting sqref="BR94:BS94">
    <cfRule type="expression" dxfId="462" priority="7">
      <formula>(AND($BJ94=$BX$5,LEN($BR94)=0))</formula>
    </cfRule>
  </conditionalFormatting>
  <conditionalFormatting sqref="BR113">
    <cfRule type="expression" dxfId="461" priority="6">
      <formula>(AND($BJ113=$BX$5,LEN($BQ113)=0))</formula>
    </cfRule>
  </conditionalFormatting>
  <conditionalFormatting sqref="BR113:BS113">
    <cfRule type="expression" dxfId="460" priority="5">
      <formula>(AND($BJ113=$BX$5,LEN($BR113)=0))</formula>
    </cfRule>
  </conditionalFormatting>
  <conditionalFormatting sqref="BM94">
    <cfRule type="expression" dxfId="459" priority="4">
      <formula>(AND($BJ94=$BX$5,LEN($BQ94)=0))</formula>
    </cfRule>
  </conditionalFormatting>
  <conditionalFormatting sqref="BM94:BN94">
    <cfRule type="expression" dxfId="458" priority="3">
      <formula>(AND($BJ94=$BX$5,LEN($BR94)=0))</formula>
    </cfRule>
  </conditionalFormatting>
  <conditionalFormatting sqref="BM113">
    <cfRule type="expression" dxfId="457" priority="2">
      <formula>(AND($BJ113=$BX$5,LEN($BQ113)=0))</formula>
    </cfRule>
  </conditionalFormatting>
  <conditionalFormatting sqref="BM113:BN113">
    <cfRule type="expression" dxfId="456" priority="1">
      <formula>(AND($BJ113=$BX$5,LEN($BR113)=0))</formula>
    </cfRule>
  </conditionalFormatting>
  <printOptions horizontalCentered="1"/>
  <pageMargins left="0.7" right="0.7" top="0.25" bottom="0.75" header="0.3" footer="0.3"/>
  <pageSetup scale="65" orientation="landscape" r:id="rId1"/>
  <colBreaks count="1" manualBreakCount="1">
    <brk id="57" max="1048575" man="1"/>
  </colBreaks>
  <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tabColor rgb="FF00B050"/>
  </sheetPr>
  <dimension ref="A1:CC169"/>
  <sheetViews>
    <sheetView showGridLines="0" zoomScaleNormal="100" workbookViewId="0">
      <selection activeCell="I22" sqref="I22:V23"/>
    </sheetView>
  </sheetViews>
  <sheetFormatPr defaultColWidth="3.28515625" defaultRowHeight="14.65" customHeight="1"/>
  <cols>
    <col min="1" max="26" width="3.28515625" style="6"/>
    <col min="27" max="27" width="3.5703125" style="6" customWidth="1"/>
    <col min="28" max="28" width="3.28515625" style="6" customWidth="1"/>
    <col min="29" max="42" width="3.28515625" style="6"/>
    <col min="43" max="43" width="3.28515625" style="6" customWidth="1"/>
    <col min="44" max="59" width="3.28515625" style="6"/>
    <col min="60" max="60" width="4.7109375" style="6" bestFit="1" customWidth="1"/>
    <col min="61" max="61" width="17.42578125" customWidth="1"/>
    <col min="62" max="72" width="12.7109375" style="2" customWidth="1"/>
    <col min="73" max="73" width="12.7109375" customWidth="1"/>
    <col min="74" max="74" width="13.7109375" bestFit="1" customWidth="1"/>
    <col min="75" max="75" width="15.7109375" style="6" bestFit="1" customWidth="1"/>
    <col min="76" max="76" width="8.5703125" style="6" bestFit="1" customWidth="1"/>
    <col min="77" max="77" width="11.28515625" style="6" bestFit="1" customWidth="1"/>
    <col min="78" max="78" width="8.5703125" style="6" bestFit="1" customWidth="1"/>
    <col min="79" max="79" width="11.28515625" style="6" bestFit="1" customWidth="1"/>
    <col min="80" max="80" width="4.7109375" style="6" bestFit="1" customWidth="1"/>
    <col min="81" max="81" width="5.28515625" style="6" bestFit="1" customWidth="1"/>
    <col min="82" max="82" width="4.7109375" style="6" bestFit="1" customWidth="1"/>
    <col min="83" max="83" width="5.28515625" style="6" bestFit="1" customWidth="1"/>
    <col min="84" max="16384" width="3.28515625" style="6"/>
  </cols>
  <sheetData>
    <row r="1" spans="2:76" ht="14.65" customHeight="1">
      <c r="BI1" s="1525" t="s">
        <v>651</v>
      </c>
      <c r="BJ1" s="1525"/>
      <c r="BK1" s="1525"/>
      <c r="BL1" s="1525"/>
      <c r="BM1" s="1525"/>
      <c r="BN1" s="1525"/>
      <c r="BO1" s="1525"/>
      <c r="BP1" s="1525"/>
      <c r="BQ1" s="1525"/>
      <c r="BR1" s="1525"/>
      <c r="BS1" s="1525"/>
      <c r="BT1" s="1525"/>
      <c r="BU1" s="1525"/>
    </row>
    <row r="2" spans="2:76" ht="14.65" customHeight="1">
      <c r="B2" s="1494" t="s">
        <v>109</v>
      </c>
      <c r="C2" s="1494"/>
      <c r="D2" s="1494"/>
      <c r="E2" s="1494"/>
      <c r="F2" s="1494"/>
      <c r="G2" s="1494"/>
      <c r="H2" s="1494"/>
      <c r="I2" s="1494"/>
      <c r="J2" s="1494"/>
      <c r="K2" s="1494"/>
      <c r="L2" s="1494"/>
      <c r="M2" s="1494"/>
      <c r="N2" s="1494"/>
      <c r="O2" s="1494"/>
      <c r="P2" s="1494"/>
      <c r="Q2" s="1494"/>
      <c r="R2" s="1494"/>
      <c r="S2" s="1494"/>
      <c r="T2" s="1494"/>
      <c r="U2" s="1494"/>
      <c r="V2" s="1494"/>
      <c r="W2" s="1494"/>
      <c r="X2" s="1494"/>
      <c r="Y2" s="1494"/>
      <c r="Z2" s="1494"/>
      <c r="AA2" s="1494"/>
      <c r="AB2" s="1494"/>
      <c r="AC2" s="1494"/>
      <c r="AD2" s="1494"/>
      <c r="AE2" s="1494"/>
      <c r="AF2" s="1494"/>
      <c r="AG2" s="1494"/>
      <c r="AH2" s="1494"/>
      <c r="AI2" s="1494"/>
      <c r="AJ2" s="1494"/>
      <c r="AK2" s="1494"/>
      <c r="AL2" s="1494"/>
      <c r="AM2" s="1494"/>
      <c r="AN2" s="1494"/>
      <c r="AO2" s="1494"/>
      <c r="AP2" s="1494"/>
      <c r="AQ2" s="1494"/>
      <c r="AR2" s="1494"/>
      <c r="AS2" s="1494"/>
      <c r="AT2" s="1494"/>
      <c r="AU2" s="1494"/>
      <c r="AV2" s="1494"/>
      <c r="AW2" s="1494"/>
      <c r="AX2" s="1494"/>
      <c r="AY2" s="1494"/>
      <c r="AZ2" s="1494"/>
      <c r="BA2" s="1494"/>
      <c r="BB2" s="1494"/>
      <c r="BC2" s="1494"/>
      <c r="BD2" s="1494"/>
      <c r="BE2" s="1494"/>
      <c r="BI2" s="68" t="s">
        <v>651</v>
      </c>
    </row>
    <row r="3" spans="2:76" ht="14.65" customHeight="1">
      <c r="B3" s="1495" t="s">
        <v>652</v>
      </c>
      <c r="C3" s="1495"/>
      <c r="D3" s="1495"/>
      <c r="E3" s="1495"/>
      <c r="F3" s="1495"/>
      <c r="G3" s="1495"/>
      <c r="H3" s="1495"/>
      <c r="I3" s="1495"/>
      <c r="J3" s="1495"/>
      <c r="K3" s="1495"/>
      <c r="L3" s="1495"/>
      <c r="M3" s="1495"/>
      <c r="N3" s="1495"/>
      <c r="O3" s="1495"/>
      <c r="P3" s="1495"/>
      <c r="Q3" s="1495"/>
      <c r="R3" s="1495"/>
      <c r="S3" s="1495"/>
      <c r="T3" s="1495"/>
      <c r="U3" s="1495"/>
      <c r="V3" s="1495"/>
      <c r="W3" s="1495"/>
      <c r="X3" s="1495"/>
      <c r="Y3" s="1495"/>
      <c r="Z3" s="1495"/>
      <c r="AA3" s="1495"/>
      <c r="AB3" s="1495"/>
      <c r="AC3" s="1495"/>
      <c r="AD3" s="1495"/>
      <c r="AE3" s="1495"/>
      <c r="AF3" s="1495"/>
      <c r="AG3" s="1495"/>
      <c r="AH3" s="1495"/>
      <c r="AI3" s="1495"/>
      <c r="AJ3" s="1495"/>
      <c r="AK3" s="1495"/>
      <c r="AL3" s="1495"/>
      <c r="AM3" s="1495"/>
      <c r="AN3" s="1495"/>
      <c r="AO3" s="1495"/>
      <c r="AP3" s="1495"/>
      <c r="AQ3" s="1495"/>
      <c r="AR3" s="1495"/>
      <c r="AS3" s="1495"/>
      <c r="AT3" s="1495"/>
      <c r="AU3" s="1495"/>
      <c r="AV3" s="1495"/>
      <c r="AW3" s="1495"/>
      <c r="AX3" s="1495"/>
      <c r="AY3" s="1495"/>
      <c r="AZ3" s="1495"/>
      <c r="BA3" s="1495"/>
      <c r="BB3" s="1495"/>
      <c r="BC3" s="1495"/>
      <c r="BD3" s="1495"/>
      <c r="BE3" s="1495"/>
      <c r="BI3" s="4" t="s">
        <v>261</v>
      </c>
      <c r="BT3"/>
      <c r="BV3" s="6"/>
    </row>
    <row r="4" spans="2:76" ht="14.65" customHeight="1">
      <c r="B4" s="7"/>
      <c r="C4" s="8"/>
      <c r="D4" s="9"/>
      <c r="E4" s="10"/>
      <c r="F4" s="10"/>
      <c r="G4" s="10"/>
      <c r="H4" s="1835"/>
      <c r="I4" s="1835"/>
      <c r="J4" s="1835"/>
      <c r="K4" s="174"/>
      <c r="L4" s="174"/>
      <c r="M4" s="174"/>
      <c r="N4" s="174"/>
      <c r="O4" s="174"/>
      <c r="P4" s="53"/>
      <c r="Q4" s="5"/>
      <c r="BI4" s="74" t="s">
        <v>23</v>
      </c>
      <c r="BJ4" s="74" t="s">
        <v>504</v>
      </c>
      <c r="BK4" s="74" t="s">
        <v>505</v>
      </c>
      <c r="BL4" s="74" t="s">
        <v>506</v>
      </c>
      <c r="BM4" s="74" t="s">
        <v>507</v>
      </c>
      <c r="BN4" s="74" t="s">
        <v>508</v>
      </c>
      <c r="BO4" s="74" t="s">
        <v>509</v>
      </c>
      <c r="BP4" s="74" t="s">
        <v>510</v>
      </c>
      <c r="BQ4" s="74" t="s">
        <v>511</v>
      </c>
      <c r="BR4" s="74" t="s">
        <v>512</v>
      </c>
      <c r="BS4" s="74" t="s">
        <v>513</v>
      </c>
      <c r="BT4" s="74" t="s">
        <v>514</v>
      </c>
      <c r="BU4" s="74" t="s">
        <v>515</v>
      </c>
      <c r="BV4" s="74" t="s">
        <v>516</v>
      </c>
      <c r="BX4" s="151" t="s">
        <v>262</v>
      </c>
    </row>
    <row r="5" spans="2:76" ht="14.65" customHeight="1">
      <c r="B5" s="1836" t="str">
        <f>HRT!BI1</f>
        <v>Hourly Talent Acquisition</v>
      </c>
      <c r="C5" s="1837"/>
      <c r="D5" s="1837"/>
      <c r="E5" s="1837"/>
      <c r="F5" s="1837"/>
      <c r="G5" s="1837"/>
      <c r="H5" s="1837"/>
      <c r="I5" s="1837"/>
      <c r="J5" s="1837"/>
      <c r="K5" s="1837"/>
      <c r="L5" s="1837"/>
      <c r="M5" s="1837"/>
      <c r="N5" s="1837"/>
      <c r="O5" s="1837"/>
      <c r="P5" s="1837"/>
      <c r="Q5" s="1837"/>
      <c r="R5" s="1837"/>
      <c r="S5" s="1837"/>
      <c r="T5" s="1837"/>
      <c r="U5" s="1837"/>
      <c r="V5" s="1837"/>
      <c r="W5" s="1837"/>
      <c r="X5" s="1837"/>
      <c r="Y5" s="1837"/>
      <c r="Z5" s="1837"/>
      <c r="AA5" s="1837"/>
      <c r="AB5" s="1837"/>
      <c r="AC5" s="1837"/>
      <c r="AD5" s="1837"/>
      <c r="AE5" s="1837"/>
      <c r="AF5" s="1837"/>
      <c r="AG5" s="1837"/>
      <c r="AH5" s="1837"/>
      <c r="AI5" s="1837"/>
      <c r="AJ5" s="1837"/>
      <c r="AK5" s="1837"/>
      <c r="AL5" s="1837"/>
      <c r="AM5" s="1837"/>
      <c r="AN5" s="1837"/>
      <c r="AO5" s="1837"/>
      <c r="AP5" s="1837"/>
      <c r="AQ5" s="1837"/>
      <c r="AR5" s="1837"/>
      <c r="AS5" s="802"/>
      <c r="AT5" s="802"/>
      <c r="AU5" s="802"/>
      <c r="AV5" s="802"/>
      <c r="AW5" s="802"/>
      <c r="AX5" s="1838"/>
      <c r="AY5" s="1838"/>
      <c r="AZ5" s="802"/>
      <c r="BA5" s="802"/>
      <c r="BB5" s="802"/>
      <c r="BC5" s="802"/>
      <c r="BD5" s="802"/>
      <c r="BE5" s="803" t="str">
        <f>Cover!M34</f>
        <v>OCT FY-24</v>
      </c>
      <c r="BI5" s="74" t="s">
        <v>37</v>
      </c>
      <c r="BJ5" s="74">
        <v>-1</v>
      </c>
      <c r="BK5" s="74">
        <v>1</v>
      </c>
      <c r="BL5" s="74">
        <v>2</v>
      </c>
      <c r="BM5" s="74">
        <v>3</v>
      </c>
      <c r="BN5" s="74">
        <v>4</v>
      </c>
      <c r="BO5" s="74">
        <v>5</v>
      </c>
      <c r="BP5" s="74">
        <v>6</v>
      </c>
      <c r="BQ5" s="74">
        <v>7</v>
      </c>
      <c r="BR5" s="74">
        <v>8</v>
      </c>
      <c r="BS5" s="74">
        <v>9</v>
      </c>
      <c r="BT5" s="74">
        <v>10</v>
      </c>
      <c r="BU5" s="74">
        <v>11</v>
      </c>
      <c r="BV5" s="74">
        <v>12</v>
      </c>
      <c r="BX5" s="68">
        <f>Cover!M36</f>
        <v>1</v>
      </c>
    </row>
    <row r="6" spans="2:76" ht="14.65" customHeight="1">
      <c r="BI6" s="68" t="s">
        <v>263</v>
      </c>
      <c r="BJ6" s="717">
        <v>16</v>
      </c>
      <c r="BK6" s="718">
        <f>BJ14-BJ13</f>
        <v>16</v>
      </c>
      <c r="BL6" s="718">
        <f t="shared" ref="BL6:BO6" si="0">BK14-BK13</f>
        <v>16</v>
      </c>
      <c r="BM6" s="718">
        <f t="shared" si="0"/>
        <v>16</v>
      </c>
      <c r="BN6" s="718">
        <f t="shared" si="0"/>
        <v>16</v>
      </c>
      <c r="BO6" s="718">
        <f t="shared" si="0"/>
        <v>16</v>
      </c>
      <c r="BP6" s="718">
        <f t="shared" ref="BP6" si="1">BO14-BO13</f>
        <v>16</v>
      </c>
      <c r="BQ6" s="718">
        <f t="shared" ref="BQ6" si="2">BP14-BP13</f>
        <v>16</v>
      </c>
      <c r="BR6" s="718">
        <f t="shared" ref="BR6" si="3">BQ14-BQ13</f>
        <v>16</v>
      </c>
      <c r="BS6" s="718">
        <f t="shared" ref="BS6" si="4">BR14-BR13</f>
        <v>16</v>
      </c>
      <c r="BT6" s="718">
        <f t="shared" ref="BT6" si="5">BS14-BS13</f>
        <v>16</v>
      </c>
      <c r="BU6" s="718">
        <f t="shared" ref="BU6" si="6">BT14-BT13</f>
        <v>16</v>
      </c>
      <c r="BV6" s="718">
        <f t="shared" ref="BV6" si="7">BU14-BU13</f>
        <v>16</v>
      </c>
      <c r="BX6" s="68"/>
    </row>
    <row r="7" spans="2:76" ht="14.65" customHeight="1">
      <c r="B7" s="45" t="s">
        <v>653</v>
      </c>
      <c r="C7" s="11"/>
      <c r="D7" s="11"/>
      <c r="E7" s="11"/>
      <c r="F7" s="11"/>
      <c r="G7" s="11"/>
      <c r="H7" s="11"/>
      <c r="I7" s="11"/>
      <c r="J7" s="11"/>
      <c r="K7" s="11"/>
      <c r="L7" s="11"/>
      <c r="M7" s="11"/>
      <c r="N7" s="11"/>
      <c r="O7" s="11"/>
      <c r="P7" s="11"/>
      <c r="Q7" s="11"/>
      <c r="R7" s="11"/>
      <c r="S7" s="11"/>
      <c r="T7" s="11"/>
      <c r="U7" s="11"/>
      <c r="V7" s="11"/>
      <c r="W7" s="11"/>
      <c r="X7" s="11"/>
      <c r="Y7" s="11"/>
      <c r="Z7" s="11"/>
      <c r="AA7" s="11"/>
      <c r="AB7" s="11"/>
      <c r="AE7" s="45" t="s">
        <v>265</v>
      </c>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I7" s="68" t="s">
        <v>266</v>
      </c>
      <c r="BJ7" s="717"/>
      <c r="BK7" s="717"/>
      <c r="BL7" s="717"/>
      <c r="BM7" s="717"/>
      <c r="BN7" s="717"/>
      <c r="BO7" s="717"/>
      <c r="BP7" s="717"/>
      <c r="BQ7" s="717"/>
      <c r="BR7" s="717"/>
      <c r="BS7" s="717"/>
      <c r="BT7" s="717"/>
      <c r="BU7" s="717"/>
      <c r="BV7" s="717"/>
      <c r="BX7" s="68"/>
    </row>
    <row r="8" spans="2:76" ht="14.65" customHeight="1">
      <c r="B8" s="1656" t="s">
        <v>654</v>
      </c>
      <c r="C8" s="1657"/>
      <c r="D8" s="1657"/>
      <c r="E8" s="1657"/>
      <c r="F8" s="1657"/>
      <c r="G8" s="1657"/>
      <c r="H8" s="1657"/>
      <c r="I8" s="1657"/>
      <c r="J8" s="1657"/>
      <c r="K8" s="1657"/>
      <c r="L8" s="1657"/>
      <c r="M8" s="1657"/>
      <c r="N8" s="1657"/>
      <c r="O8" s="1657"/>
      <c r="P8" s="1657"/>
      <c r="Q8" s="1657"/>
      <c r="R8" s="1657"/>
      <c r="S8" s="1657"/>
      <c r="T8" s="1657"/>
      <c r="U8" s="1657"/>
      <c r="V8" s="1657"/>
      <c r="W8" s="1657"/>
      <c r="X8" s="1657"/>
      <c r="Y8" s="1657"/>
      <c r="Z8" s="1657"/>
      <c r="AA8" s="1657"/>
      <c r="AB8" s="1658"/>
      <c r="AE8" s="1656" t="s">
        <v>655</v>
      </c>
      <c r="AF8" s="1657"/>
      <c r="AG8" s="1657"/>
      <c r="AH8" s="1657"/>
      <c r="AI8" s="1657"/>
      <c r="AJ8" s="1657"/>
      <c r="AK8" s="1657"/>
      <c r="AL8" s="1657"/>
      <c r="AM8" s="1657"/>
      <c r="AN8" s="1657"/>
      <c r="AO8" s="1657"/>
      <c r="AP8" s="1657"/>
      <c r="AQ8" s="1657"/>
      <c r="AR8" s="1657"/>
      <c r="AS8" s="1657"/>
      <c r="AT8" s="1657"/>
      <c r="AU8" s="1657"/>
      <c r="AV8" s="1657"/>
      <c r="AW8" s="1657"/>
      <c r="AX8" s="1657"/>
      <c r="AY8" s="1657"/>
      <c r="AZ8" s="1657"/>
      <c r="BA8" s="1657"/>
      <c r="BB8" s="1657"/>
      <c r="BC8" s="1657"/>
      <c r="BD8" s="1657"/>
      <c r="BE8" s="1658"/>
      <c r="BI8" s="68" t="s">
        <v>269</v>
      </c>
      <c r="BJ8" s="717"/>
      <c r="BK8" s="717"/>
      <c r="BL8" s="717"/>
      <c r="BM8" s="717"/>
      <c r="BN8" s="717"/>
      <c r="BO8" s="717"/>
      <c r="BP8" s="717"/>
      <c r="BQ8" s="717"/>
      <c r="BR8" s="717"/>
      <c r="BS8" s="717"/>
      <c r="BT8" s="717"/>
      <c r="BU8" s="717"/>
      <c r="BV8" s="717"/>
      <c r="BX8" s="68"/>
    </row>
    <row r="9" spans="2:76" ht="14.65" customHeight="1">
      <c r="B9" s="1659"/>
      <c r="C9" s="1660"/>
      <c r="D9" s="1660"/>
      <c r="E9" s="1660"/>
      <c r="F9" s="1660"/>
      <c r="G9" s="1660"/>
      <c r="H9" s="1660"/>
      <c r="I9" s="1660"/>
      <c r="J9" s="1660"/>
      <c r="K9" s="1660"/>
      <c r="L9" s="1660"/>
      <c r="M9" s="1660"/>
      <c r="N9" s="1660"/>
      <c r="O9" s="1660"/>
      <c r="P9" s="1660"/>
      <c r="Q9" s="1660"/>
      <c r="R9" s="1660"/>
      <c r="S9" s="1660"/>
      <c r="T9" s="1660"/>
      <c r="U9" s="1660"/>
      <c r="V9" s="1660"/>
      <c r="W9" s="1660"/>
      <c r="X9" s="1660"/>
      <c r="Y9" s="1660"/>
      <c r="Z9" s="1660"/>
      <c r="AA9" s="1660"/>
      <c r="AB9" s="1661"/>
      <c r="AE9" s="1659"/>
      <c r="AF9" s="1660"/>
      <c r="AG9" s="1660"/>
      <c r="AH9" s="1660"/>
      <c r="AI9" s="1660"/>
      <c r="AJ9" s="1660"/>
      <c r="AK9" s="1660"/>
      <c r="AL9" s="1660"/>
      <c r="AM9" s="1660"/>
      <c r="AN9" s="1660"/>
      <c r="AO9" s="1660"/>
      <c r="AP9" s="1660"/>
      <c r="AQ9" s="1660"/>
      <c r="AR9" s="1660"/>
      <c r="AS9" s="1660"/>
      <c r="AT9" s="1660"/>
      <c r="AU9" s="1660"/>
      <c r="AV9" s="1660"/>
      <c r="AW9" s="1660"/>
      <c r="AX9" s="1660"/>
      <c r="AY9" s="1660"/>
      <c r="AZ9" s="1660"/>
      <c r="BA9" s="1660"/>
      <c r="BB9" s="1660"/>
      <c r="BC9" s="1660"/>
      <c r="BD9" s="1660"/>
      <c r="BE9" s="1661"/>
      <c r="BI9" s="68" t="s">
        <v>270</v>
      </c>
      <c r="BJ9" s="717"/>
      <c r="BK9" s="717"/>
      <c r="BL9" s="717"/>
      <c r="BM9" s="717"/>
      <c r="BN9" s="717"/>
      <c r="BO9" s="717"/>
      <c r="BP9" s="717"/>
      <c r="BQ9" s="717"/>
      <c r="BR9" s="717"/>
      <c r="BS9" s="717"/>
      <c r="BT9" s="717"/>
      <c r="BU9" s="717"/>
      <c r="BV9" s="717"/>
      <c r="BX9" s="68"/>
    </row>
    <row r="10" spans="2:76" ht="14.65" customHeight="1">
      <c r="B10" s="1659"/>
      <c r="C10" s="1660"/>
      <c r="D10" s="1660"/>
      <c r="E10" s="1660"/>
      <c r="F10" s="1660"/>
      <c r="G10" s="1660"/>
      <c r="H10" s="1660"/>
      <c r="I10" s="1660"/>
      <c r="J10" s="1660"/>
      <c r="K10" s="1660"/>
      <c r="L10" s="1660"/>
      <c r="M10" s="1660"/>
      <c r="N10" s="1660"/>
      <c r="O10" s="1660"/>
      <c r="P10" s="1660"/>
      <c r="Q10" s="1660"/>
      <c r="R10" s="1660"/>
      <c r="S10" s="1660"/>
      <c r="T10" s="1660"/>
      <c r="U10" s="1660"/>
      <c r="V10" s="1660"/>
      <c r="W10" s="1660"/>
      <c r="X10" s="1660"/>
      <c r="Y10" s="1660"/>
      <c r="Z10" s="1660"/>
      <c r="AA10" s="1660"/>
      <c r="AB10" s="1661"/>
      <c r="AE10" s="1659"/>
      <c r="AF10" s="1660"/>
      <c r="AG10" s="1660"/>
      <c r="AH10" s="1660"/>
      <c r="AI10" s="1660"/>
      <c r="AJ10" s="1660"/>
      <c r="AK10" s="1660"/>
      <c r="AL10" s="1660"/>
      <c r="AM10" s="1660"/>
      <c r="AN10" s="1660"/>
      <c r="AO10" s="1660"/>
      <c r="AP10" s="1660"/>
      <c r="AQ10" s="1660"/>
      <c r="AR10" s="1660"/>
      <c r="AS10" s="1660"/>
      <c r="AT10" s="1660"/>
      <c r="AU10" s="1660"/>
      <c r="AV10" s="1660"/>
      <c r="AW10" s="1660"/>
      <c r="AX10" s="1660"/>
      <c r="AY10" s="1660"/>
      <c r="AZ10" s="1660"/>
      <c r="BA10" s="1660"/>
      <c r="BB10" s="1660"/>
      <c r="BC10" s="1660"/>
      <c r="BD10" s="1660"/>
      <c r="BE10" s="1661"/>
      <c r="BI10" s="68" t="s">
        <v>271</v>
      </c>
      <c r="BJ10" s="717"/>
      <c r="BK10" s="717"/>
      <c r="BL10" s="717"/>
      <c r="BM10" s="717"/>
      <c r="BN10" s="717"/>
      <c r="BO10" s="717"/>
      <c r="BP10" s="717"/>
      <c r="BQ10" s="717"/>
      <c r="BR10" s="717"/>
      <c r="BS10" s="717"/>
      <c r="BT10" s="717"/>
      <c r="BU10" s="717"/>
      <c r="BV10" s="717"/>
      <c r="BX10" s="68"/>
    </row>
    <row r="11" spans="2:76" ht="41.25" customHeight="1">
      <c r="B11" s="1662"/>
      <c r="C11" s="1663"/>
      <c r="D11" s="1663"/>
      <c r="E11" s="1663"/>
      <c r="F11" s="1663"/>
      <c r="G11" s="1663"/>
      <c r="H11" s="1663"/>
      <c r="I11" s="1663"/>
      <c r="J11" s="1663"/>
      <c r="K11" s="1663"/>
      <c r="L11" s="1663"/>
      <c r="M11" s="1663"/>
      <c r="N11" s="1663"/>
      <c r="O11" s="1663"/>
      <c r="P11" s="1663"/>
      <c r="Q11" s="1663"/>
      <c r="R11" s="1663"/>
      <c r="S11" s="1663"/>
      <c r="T11" s="1663"/>
      <c r="U11" s="1663"/>
      <c r="V11" s="1663"/>
      <c r="W11" s="1663"/>
      <c r="X11" s="1663"/>
      <c r="Y11" s="1663"/>
      <c r="Z11" s="1663"/>
      <c r="AA11" s="1663"/>
      <c r="AB11" s="1664"/>
      <c r="AE11" s="1662"/>
      <c r="AF11" s="1663"/>
      <c r="AG11" s="1663"/>
      <c r="AH11" s="1663"/>
      <c r="AI11" s="1663"/>
      <c r="AJ11" s="1663"/>
      <c r="AK11" s="1663"/>
      <c r="AL11" s="1663"/>
      <c r="AM11" s="1663"/>
      <c r="AN11" s="1663"/>
      <c r="AO11" s="1663"/>
      <c r="AP11" s="1663"/>
      <c r="AQ11" s="1663"/>
      <c r="AR11" s="1663"/>
      <c r="AS11" s="1663"/>
      <c r="AT11" s="1663"/>
      <c r="AU11" s="1663"/>
      <c r="AV11" s="1663"/>
      <c r="AW11" s="1663"/>
      <c r="AX11" s="1663"/>
      <c r="AY11" s="1663"/>
      <c r="AZ11" s="1663"/>
      <c r="BA11" s="1663"/>
      <c r="BB11" s="1663"/>
      <c r="BC11" s="1663"/>
      <c r="BD11" s="1663"/>
      <c r="BE11" s="1664"/>
      <c r="BI11" s="68" t="s">
        <v>272</v>
      </c>
      <c r="BJ11" s="717"/>
      <c r="BK11" s="717"/>
      <c r="BL11" s="717"/>
      <c r="BM11" s="717"/>
      <c r="BN11" s="717"/>
      <c r="BO11" s="717"/>
      <c r="BP11" s="717"/>
      <c r="BQ11" s="717"/>
      <c r="BR11" s="717"/>
      <c r="BS11" s="717"/>
      <c r="BT11" s="717"/>
      <c r="BU11" s="717"/>
      <c r="BV11" s="717"/>
      <c r="BX11" s="68"/>
    </row>
    <row r="12" spans="2:76" ht="14.65" customHeight="1">
      <c r="BI12" s="68" t="s">
        <v>273</v>
      </c>
      <c r="BJ12" s="717"/>
      <c r="BK12" s="717"/>
      <c r="BL12" s="717"/>
      <c r="BM12" s="717"/>
      <c r="BN12" s="717"/>
      <c r="BO12" s="717"/>
      <c r="BP12" s="717"/>
      <c r="BQ12" s="717"/>
      <c r="BR12" s="717"/>
      <c r="BS12" s="717"/>
      <c r="BT12" s="717"/>
      <c r="BU12" s="717"/>
      <c r="BV12" s="717"/>
      <c r="BX12" s="68"/>
    </row>
    <row r="13" spans="2:76" ht="14.65" customHeight="1">
      <c r="B13" s="45" t="s">
        <v>14</v>
      </c>
      <c r="C13" s="46"/>
      <c r="D13" s="46"/>
      <c r="E13" s="46"/>
      <c r="F13" s="11"/>
      <c r="G13" s="11"/>
      <c r="H13" s="11"/>
      <c r="I13" s="11"/>
      <c r="J13" s="11"/>
      <c r="K13" s="11"/>
      <c r="L13" s="11"/>
      <c r="M13" s="11"/>
      <c r="N13" s="11"/>
      <c r="O13" s="11"/>
      <c r="P13" s="11"/>
      <c r="Q13" s="11"/>
      <c r="R13" s="11"/>
      <c r="S13" s="11"/>
      <c r="T13" s="11"/>
      <c r="U13" s="11"/>
      <c r="V13" s="11"/>
      <c r="W13" s="11"/>
      <c r="X13" s="11"/>
      <c r="Y13" s="11"/>
      <c r="Z13" s="11"/>
      <c r="AA13" s="11"/>
      <c r="AB13" s="11"/>
      <c r="AE13" s="60" t="s">
        <v>59</v>
      </c>
      <c r="AF13" s="61"/>
      <c r="AG13" s="62"/>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I13" s="68" t="s">
        <v>274</v>
      </c>
      <c r="BJ13" s="717"/>
      <c r="BK13" s="717"/>
      <c r="BL13" s="717"/>
      <c r="BM13" s="717"/>
      <c r="BN13" s="717"/>
      <c r="BO13" s="717"/>
      <c r="BP13" s="717"/>
      <c r="BQ13" s="717"/>
      <c r="BR13" s="717"/>
      <c r="BS13" s="717"/>
      <c r="BT13" s="717"/>
      <c r="BU13" s="717"/>
      <c r="BV13" s="717"/>
      <c r="BX13" s="68"/>
    </row>
    <row r="14" spans="2:76" ht="14.65" customHeight="1">
      <c r="B14" s="64"/>
      <c r="C14" s="64"/>
      <c r="D14" s="64"/>
      <c r="E14" s="64"/>
      <c r="F14" s="64"/>
      <c r="G14" s="64"/>
      <c r="H14" s="64"/>
      <c r="I14" s="67"/>
      <c r="J14" s="67"/>
      <c r="K14" s="88"/>
      <c r="L14" s="64"/>
      <c r="M14" s="64"/>
      <c r="N14" s="65"/>
      <c r="O14" s="64"/>
      <c r="P14" s="64"/>
      <c r="Q14" s="64"/>
      <c r="R14" s="64"/>
      <c r="S14" s="64"/>
      <c r="T14" s="64"/>
      <c r="U14" s="64"/>
      <c r="V14" s="1529"/>
      <c r="W14" s="1529"/>
      <c r="X14" s="64"/>
      <c r="Y14" s="64"/>
      <c r="Z14" s="64"/>
      <c r="AA14" s="64"/>
      <c r="AB14" s="64"/>
      <c r="AE14" s="89"/>
      <c r="AF14" s="64"/>
      <c r="AG14" s="64"/>
      <c r="AH14" s="64"/>
      <c r="AI14" s="64"/>
      <c r="AJ14" s="64"/>
      <c r="AK14" s="90"/>
      <c r="AL14" s="90"/>
      <c r="AM14" s="90"/>
      <c r="AN14" s="90"/>
      <c r="AO14" s="91"/>
      <c r="AP14" s="92"/>
      <c r="AQ14" s="92"/>
      <c r="AR14" s="92"/>
      <c r="AS14" s="90"/>
      <c r="AT14" s="91"/>
      <c r="AU14" s="90"/>
      <c r="AV14" s="90"/>
      <c r="AW14" s="90"/>
      <c r="AX14" s="64"/>
      <c r="AY14" s="64"/>
      <c r="AZ14" s="64"/>
      <c r="BA14" s="64"/>
      <c r="BB14" s="64"/>
      <c r="BC14" s="64"/>
      <c r="BD14" s="64"/>
      <c r="BE14" s="64"/>
      <c r="BI14" s="68" t="s">
        <v>41</v>
      </c>
      <c r="BJ14" s="143">
        <f>SUM(BJ6:BJ13)</f>
        <v>16</v>
      </c>
      <c r="BK14" s="143">
        <f t="shared" ref="BK14:BV14" si="8">SUM(BK6:BK13)</f>
        <v>16</v>
      </c>
      <c r="BL14" s="143">
        <f t="shared" si="8"/>
        <v>16</v>
      </c>
      <c r="BM14" s="143">
        <f t="shared" si="8"/>
        <v>16</v>
      </c>
      <c r="BN14" s="143">
        <f t="shared" si="8"/>
        <v>16</v>
      </c>
      <c r="BO14" s="143">
        <f t="shared" si="8"/>
        <v>16</v>
      </c>
      <c r="BP14" s="143">
        <f t="shared" si="8"/>
        <v>16</v>
      </c>
      <c r="BQ14" s="143">
        <f t="shared" si="8"/>
        <v>16</v>
      </c>
      <c r="BR14" s="143">
        <f t="shared" si="8"/>
        <v>16</v>
      </c>
      <c r="BS14" s="143">
        <f t="shared" si="8"/>
        <v>16</v>
      </c>
      <c r="BT14" s="143">
        <f t="shared" si="8"/>
        <v>16</v>
      </c>
      <c r="BU14" s="143">
        <f t="shared" si="8"/>
        <v>16</v>
      </c>
      <c r="BV14" s="143">
        <f t="shared" si="8"/>
        <v>16</v>
      </c>
      <c r="BX14" s="68"/>
    </row>
    <row r="15" spans="2:76" ht="14.65" customHeight="1">
      <c r="B15" s="1519" t="s">
        <v>185</v>
      </c>
      <c r="C15" s="1519"/>
      <c r="D15" s="1519"/>
      <c r="E15" s="1519"/>
      <c r="F15" s="1519"/>
      <c r="G15" s="1519"/>
      <c r="I15" s="1519" t="s">
        <v>275</v>
      </c>
      <c r="J15" s="1531"/>
      <c r="K15" s="1531"/>
      <c r="L15" s="1531"/>
      <c r="M15" s="1531"/>
      <c r="N15" s="1531"/>
      <c r="O15" s="1531"/>
      <c r="P15" s="1531"/>
      <c r="Q15" s="1531"/>
      <c r="R15" s="1531"/>
      <c r="S15" s="1531"/>
      <c r="T15" s="1531"/>
      <c r="U15" s="1531"/>
      <c r="V15" s="1531"/>
      <c r="W15" s="172"/>
      <c r="X15" s="1532" t="s">
        <v>360</v>
      </c>
      <c r="Y15" s="1136"/>
      <c r="Z15" s="1136"/>
      <c r="AA15" s="1136"/>
      <c r="AB15" s="1136"/>
      <c r="AE15" s="1519" t="s">
        <v>277</v>
      </c>
      <c r="AF15" s="1519"/>
      <c r="AG15" s="1519"/>
      <c r="AH15" s="1519"/>
      <c r="AI15" s="1519"/>
      <c r="AJ15" s="1519"/>
      <c r="AK15" s="68"/>
      <c r="AL15" s="1129" t="s">
        <v>62</v>
      </c>
      <c r="AM15" s="1129"/>
      <c r="AN15" s="1129"/>
      <c r="AO15" s="1129"/>
      <c r="AP15" s="1519" t="str">
        <f>CONCATENATE(Cover!M36,"+",12-Cover!M36)</f>
        <v>1+11</v>
      </c>
      <c r="AQ15" s="1519"/>
      <c r="AR15" s="68"/>
      <c r="AS15" s="1519" t="s">
        <v>278</v>
      </c>
      <c r="AT15" s="1519"/>
      <c r="AU15" s="1519"/>
      <c r="AV15" s="1519"/>
      <c r="AW15" s="1519"/>
      <c r="AX15" s="1519"/>
      <c r="AY15" s="68"/>
      <c r="AZ15" s="1519" t="s">
        <v>279</v>
      </c>
      <c r="BA15" s="1519"/>
      <c r="BB15" s="1519"/>
      <c r="BC15" s="1519"/>
      <c r="BD15" s="1519"/>
      <c r="BE15" s="1519"/>
      <c r="BT15"/>
      <c r="BU15" s="55"/>
      <c r="BV15" s="6"/>
    </row>
    <row r="16" spans="2:76" ht="14.65" customHeight="1">
      <c r="E16" s="78" t="s">
        <v>263</v>
      </c>
      <c r="G16" s="77">
        <f>SUMIF(BJ4:BV4,BE5,BJ6:BV6)</f>
        <v>0</v>
      </c>
      <c r="I16" s="1522" t="s">
        <v>280</v>
      </c>
      <c r="J16" s="1523"/>
      <c r="K16" s="1523"/>
      <c r="L16" s="1524"/>
      <c r="N16" s="1522" t="s">
        <v>281</v>
      </c>
      <c r="O16" s="1523"/>
      <c r="P16" s="1523"/>
      <c r="Q16" s="1524"/>
      <c r="S16" s="1522" t="s">
        <v>282</v>
      </c>
      <c r="T16" s="1523"/>
      <c r="U16" s="1523"/>
      <c r="V16" s="1524"/>
      <c r="X16" s="183" t="s">
        <v>361</v>
      </c>
      <c r="Y16" s="235"/>
      <c r="Z16" s="236"/>
      <c r="AA16" s="183"/>
      <c r="AB16" s="183"/>
      <c r="AE16" s="68"/>
      <c r="AF16" s="68"/>
      <c r="AG16" s="68"/>
      <c r="AI16" s="68"/>
      <c r="AJ16" s="103" t="s">
        <v>61</v>
      </c>
      <c r="AK16" s="68"/>
      <c r="AL16" s="68"/>
      <c r="AM16" s="68"/>
      <c r="AN16" s="68"/>
      <c r="AO16" s="68"/>
      <c r="AP16" s="68"/>
      <c r="AQ16" s="68"/>
      <c r="AR16" s="68"/>
      <c r="AS16" s="68"/>
      <c r="AT16" s="68"/>
      <c r="AU16" s="68"/>
      <c r="AV16" s="68"/>
      <c r="AW16" s="68"/>
      <c r="AX16" s="68"/>
      <c r="AY16" s="68"/>
      <c r="AZ16" s="68"/>
      <c r="BA16" s="68"/>
      <c r="BB16" s="68"/>
      <c r="BC16" s="68"/>
      <c r="BD16" s="68"/>
      <c r="BE16" s="68"/>
      <c r="BI16" s="68" t="s">
        <v>284</v>
      </c>
      <c r="BJ16" s="719">
        <v>2</v>
      </c>
      <c r="BK16" s="719"/>
      <c r="BL16" s="719"/>
      <c r="BM16" s="719"/>
      <c r="BN16" s="719"/>
      <c r="BO16" s="719"/>
      <c r="BP16" s="719"/>
      <c r="BQ16" s="719"/>
      <c r="BR16" s="719"/>
      <c r="BS16" s="719"/>
      <c r="BT16" s="719"/>
      <c r="BU16" s="719"/>
      <c r="BV16" s="719"/>
    </row>
    <row r="17" spans="2:81" ht="14.65" customHeight="1">
      <c r="E17" s="78" t="s">
        <v>285</v>
      </c>
      <c r="G17" s="77">
        <f>V20</f>
        <v>0</v>
      </c>
      <c r="I17" s="79"/>
      <c r="J17" s="78" t="s">
        <v>266</v>
      </c>
      <c r="K17" s="77">
        <f>SUMIF(BJ4:BV4,BE5,BJ7:BV7)</f>
        <v>0</v>
      </c>
      <c r="L17" s="80"/>
      <c r="N17" s="79"/>
      <c r="O17" s="78" t="s">
        <v>286</v>
      </c>
      <c r="P17" s="77">
        <f>SUMIF(BJ4:BV4,BE5,BJ9:BV9)</f>
        <v>0</v>
      </c>
      <c r="Q17" s="80"/>
      <c r="S17" s="79"/>
      <c r="T17" s="78" t="s">
        <v>286</v>
      </c>
      <c r="U17" s="77">
        <f>SUMIF(BJ4:BV4,BE5,BJ11:BV11)</f>
        <v>0</v>
      </c>
      <c r="V17" s="85"/>
      <c r="X17" s="183" t="s">
        <v>287</v>
      </c>
      <c r="Y17" s="235"/>
      <c r="Z17" s="236"/>
      <c r="AA17" s="183">
        <f>SUMIF(Admin4!$B$5:$B$298,"7986",Admin4!$C$5:$C$298)</f>
        <v>0</v>
      </c>
      <c r="AB17" s="183"/>
      <c r="AE17" s="68"/>
      <c r="AF17" s="68"/>
      <c r="AG17" s="68"/>
      <c r="AI17" s="68"/>
      <c r="AJ17" s="97" t="s">
        <v>63</v>
      </c>
      <c r="AK17" s="68"/>
      <c r="AL17" s="68"/>
      <c r="AM17" s="68"/>
      <c r="AN17" s="1530" t="e">
        <f>SUMIF(Admin3!C8:O8,HRT!BE5,Admin3!#REF!)</f>
        <v>#REF!</v>
      </c>
      <c r="AO17" s="1530"/>
      <c r="AP17" s="1530"/>
      <c r="AQ17" s="1530"/>
      <c r="AR17" s="68"/>
      <c r="AS17" s="68"/>
      <c r="AT17" s="68"/>
      <c r="AU17" s="1530" t="e">
        <f>SUMIF(Admin3!C8:O8,HRT!BE5,Admin3!#REF!)-SUMIF(Admin3!C8:O8,HRT!BE5,Admin3!#REF!)</f>
        <v>#REF!</v>
      </c>
      <c r="AV17" s="1530"/>
      <c r="AW17" s="1530"/>
      <c r="AX17" s="1530"/>
      <c r="AY17" s="68"/>
      <c r="AZ17" s="68"/>
      <c r="BA17" s="68"/>
      <c r="BB17" s="1530" t="e">
        <f>SUMIF(Admin3!C8:O8,HRT!BE5,Admin3!#REF!)-SUMIF(Admin3!C8:O8,HRT!BE5,Admin3!#REF!)</f>
        <v>#REF!</v>
      </c>
      <c r="BC17" s="1530"/>
      <c r="BD17" s="1530"/>
      <c r="BE17" s="1530"/>
      <c r="BV17" s="55"/>
    </row>
    <row r="18" spans="2:81" ht="14.65" customHeight="1">
      <c r="E18" s="78" t="s">
        <v>240</v>
      </c>
      <c r="G18" s="77">
        <f>SUMIF(BJ4:BV4,BE5,BJ13:BV13)</f>
        <v>0</v>
      </c>
      <c r="I18" s="81"/>
      <c r="J18" s="82" t="s">
        <v>288</v>
      </c>
      <c r="K18" s="83">
        <f>SUMIF(BJ4:BV4,BE5,BJ8:BV8)</f>
        <v>0</v>
      </c>
      <c r="L18" s="84"/>
      <c r="N18" s="81"/>
      <c r="O18" s="82" t="s">
        <v>289</v>
      </c>
      <c r="P18" s="83">
        <f>SUMIF(BJ4:BV4,BE5,BJ10:BV10)</f>
        <v>0</v>
      </c>
      <c r="Q18" s="84"/>
      <c r="S18" s="81"/>
      <c r="T18" s="82" t="s">
        <v>289</v>
      </c>
      <c r="U18" s="83">
        <f>SUMIF(BJ4:BV4,BE5,BJ12:BV12)</f>
        <v>0</v>
      </c>
      <c r="V18" s="86"/>
      <c r="X18" s="183"/>
      <c r="Y18" s="235"/>
      <c r="Z18" s="236"/>
      <c r="AA18" s="183"/>
      <c r="AB18" s="183"/>
      <c r="AE18" s="68"/>
      <c r="AF18" s="68"/>
      <c r="AG18" s="68"/>
      <c r="AH18" s="68"/>
      <c r="AI18" s="94"/>
      <c r="AJ18" s="97" t="s">
        <v>64</v>
      </c>
      <c r="AK18" s="68"/>
      <c r="AL18" s="68"/>
      <c r="AM18" s="68"/>
      <c r="AN18" s="1530" t="e">
        <f>SUMIF(Admin3!C8:O8,HRT!BE5,Admin3!#REF!)</f>
        <v>#REF!</v>
      </c>
      <c r="AO18" s="1530"/>
      <c r="AP18" s="1530"/>
      <c r="AQ18" s="1530"/>
      <c r="AR18" s="68"/>
      <c r="AS18" s="68"/>
      <c r="AT18" s="68"/>
      <c r="AU18" s="1530" t="e">
        <f>SUMIF(Admin3!C8:O8,HRT!BE5,Admin3!#REF!)-SUMIF(Admin3!C8:O8,HRT!BE5,Admin3!#REF!)</f>
        <v>#REF!</v>
      </c>
      <c r="AV18" s="1530"/>
      <c r="AW18" s="1530"/>
      <c r="AX18" s="1530"/>
      <c r="AY18" s="68"/>
      <c r="AZ18" s="68"/>
      <c r="BA18" s="68"/>
      <c r="BB18" s="1530" t="e">
        <f>SUMIF(Admin3!C8:O8,HRT!BE5,Admin3!#REF!)-SUMIF(Admin3!C8:O8,HRT!BE5,Admin3!#REF!)</f>
        <v>#REF!</v>
      </c>
      <c r="BC18" s="1530"/>
      <c r="BD18" s="1530"/>
      <c r="BE18" s="1530"/>
      <c r="BV18" s="55"/>
    </row>
    <row r="19" spans="2:81" ht="14.65" customHeight="1" thickBot="1">
      <c r="E19" s="78" t="s">
        <v>41</v>
      </c>
      <c r="G19" s="93">
        <f>SUM(G16:G18)</f>
        <v>0</v>
      </c>
      <c r="I19" s="94"/>
      <c r="J19" s="94"/>
      <c r="K19" s="94"/>
      <c r="L19" s="94"/>
      <c r="M19" s="94"/>
      <c r="N19" s="94"/>
      <c r="O19" s="94"/>
      <c r="P19" s="94"/>
      <c r="Q19" s="94"/>
      <c r="R19" s="94"/>
      <c r="S19" s="94"/>
      <c r="T19" s="94"/>
      <c r="U19" s="94"/>
      <c r="V19" s="94"/>
      <c r="W19" s="94"/>
      <c r="X19" s="183" t="s">
        <v>290</v>
      </c>
      <c r="Y19" s="235"/>
      <c r="Z19" s="236"/>
      <c r="AA19" s="237"/>
      <c r="AB19" s="237"/>
      <c r="AE19" s="68"/>
      <c r="AF19" s="68"/>
      <c r="AG19" s="68"/>
      <c r="AH19" s="68"/>
      <c r="AJ19" s="97" t="s">
        <v>65</v>
      </c>
      <c r="AN19" s="1533" t="e">
        <f>SUM(AN17:AQ18)</f>
        <v>#REF!</v>
      </c>
      <c r="AO19" s="1533"/>
      <c r="AP19" s="1533"/>
      <c r="AQ19" s="1533"/>
      <c r="AU19" s="1533" t="e">
        <f>SUM(AU17:AX18)</f>
        <v>#REF!</v>
      </c>
      <c r="AV19" s="1533"/>
      <c r="AW19" s="1533"/>
      <c r="AX19" s="1533"/>
      <c r="BB19" s="1533" t="e">
        <f>SUM(BB17:BE18)</f>
        <v>#REF!</v>
      </c>
      <c r="BC19" s="1533"/>
      <c r="BD19" s="1533"/>
      <c r="BE19" s="1533"/>
      <c r="BV19" s="55"/>
    </row>
    <row r="20" spans="2:81" ht="14.65" customHeight="1" thickTop="1" thickBot="1">
      <c r="B20" s="44"/>
      <c r="C20" s="44"/>
      <c r="D20" s="44"/>
      <c r="E20" s="78" t="s">
        <v>39</v>
      </c>
      <c r="G20" s="77">
        <f t="array" ref="G20">SUM(IF((Admin2!$C$6:$O$6=BE5)*(Admin2!$Q$9:$Q$83=BI2)*(Admin2!$B$9:$B$83="Annual Plan"),Admin2!$C$9:$O$83,0))</f>
        <v>0</v>
      </c>
      <c r="H20" s="94"/>
      <c r="I20" s="6" t="s">
        <v>284</v>
      </c>
      <c r="K20" s="94"/>
      <c r="L20" s="94"/>
      <c r="M20" s="144">
        <f>SUMIF(BJ4:BV4,BE5,BJ16:BV16)</f>
        <v>0</v>
      </c>
      <c r="T20" s="145" t="s">
        <v>291</v>
      </c>
      <c r="U20" s="94"/>
      <c r="V20" s="191">
        <f>SUM(K17:K18,P17:P18,U17:U18)</f>
        <v>0</v>
      </c>
      <c r="X20" s="183" t="s">
        <v>287</v>
      </c>
      <c r="Y20" s="235"/>
      <c r="Z20" s="236"/>
      <c r="AA20" s="183">
        <f>SUMIF(Admin4!$B$5:$B$298,"7986",Admin4!$D$5:$D$298)</f>
        <v>0</v>
      </c>
      <c r="AB20" s="183"/>
      <c r="AC20" s="94"/>
      <c r="AD20" s="94"/>
      <c r="AE20" s="65"/>
      <c r="AF20" s="65"/>
      <c r="AG20" s="65"/>
      <c r="AH20" s="65"/>
      <c r="BI20" s="4" t="s">
        <v>245</v>
      </c>
      <c r="BJ20" s="3"/>
      <c r="BK20" s="3"/>
      <c r="BL20" s="3"/>
      <c r="BM20" s="3"/>
      <c r="BN20" s="3"/>
      <c r="BO20" s="3"/>
      <c r="BP20" s="3"/>
      <c r="BQ20" s="3"/>
      <c r="BR20" s="3"/>
      <c r="BS20" s="3"/>
      <c r="BT20" s="3"/>
      <c r="BU20" s="3"/>
      <c r="BV20" s="55"/>
    </row>
    <row r="21" spans="2:81" ht="14.65" customHeight="1" thickTop="1" thickBot="1">
      <c r="B21" s="44"/>
      <c r="C21" s="44"/>
      <c r="D21" s="44"/>
      <c r="E21" s="78" t="s">
        <v>40</v>
      </c>
      <c r="F21" s="94"/>
      <c r="G21" s="93">
        <f t="array" ref="G21">SUM(IF((Admin2!$C$6:$O$6=BE5)*(Admin2!$Q$9:$Q$83=BI2)*(Admin2!$B$9:$B$83="Forecast"),Admin2!$C$9:$O$83,0))</f>
        <v>0</v>
      </c>
      <c r="H21" s="94"/>
      <c r="X21" s="183"/>
      <c r="Y21" s="235"/>
      <c r="Z21" s="236"/>
      <c r="AA21" s="183"/>
      <c r="AB21" s="183"/>
      <c r="AE21" s="64"/>
      <c r="AF21" s="64"/>
      <c r="AG21" s="64"/>
      <c r="AH21" s="64"/>
      <c r="AI21" s="68"/>
      <c r="AJ21" s="103" t="s">
        <v>23</v>
      </c>
      <c r="AK21" s="68"/>
      <c r="AL21" s="68"/>
      <c r="AM21" s="68"/>
      <c r="AN21" s="68"/>
      <c r="AO21" s="68"/>
      <c r="AP21" s="68"/>
      <c r="AQ21" s="68"/>
      <c r="AR21" s="68"/>
      <c r="AS21" s="68"/>
      <c r="AT21" s="68"/>
      <c r="AU21" s="68"/>
      <c r="AV21" s="68"/>
      <c r="AW21" s="68"/>
      <c r="AX21" s="68"/>
      <c r="AY21" s="68"/>
      <c r="AZ21" s="68"/>
      <c r="BA21" s="68"/>
      <c r="BB21" s="68"/>
      <c r="BC21" s="68"/>
      <c r="BD21" s="68"/>
      <c r="BE21" s="68"/>
      <c r="BI21" s="1" t="s">
        <v>292</v>
      </c>
      <c r="BJ21" s="1526"/>
      <c r="BK21" s="1526"/>
      <c r="BL21" s="1526"/>
      <c r="BM21" s="1526"/>
      <c r="BN21" s="1526"/>
      <c r="BO21" s="1526"/>
      <c r="BP21" s="1526"/>
      <c r="BQ21" s="1526"/>
      <c r="BR21" s="1526"/>
      <c r="BS21" s="1526"/>
      <c r="BT21" s="1526"/>
      <c r="BU21" s="1526"/>
      <c r="BV21" s="55"/>
    </row>
    <row r="22" spans="2:81" ht="14.65" customHeight="1" thickTop="1" thickBot="1">
      <c r="B22" s="44"/>
      <c r="C22" s="44"/>
      <c r="D22" s="44"/>
      <c r="E22" s="78" t="s">
        <v>294</v>
      </c>
      <c r="F22" s="94"/>
      <c r="G22" s="93">
        <f>$G$20-$G$19</f>
        <v>0</v>
      </c>
      <c r="H22" s="94"/>
      <c r="I22" s="236"/>
      <c r="J22" s="236"/>
      <c r="K22" s="236"/>
      <c r="L22" s="236"/>
      <c r="M22" s="236"/>
      <c r="N22" s="236"/>
      <c r="O22" s="236"/>
      <c r="P22" s="236"/>
      <c r="Q22" s="236"/>
      <c r="R22" s="236"/>
      <c r="S22" s="236"/>
      <c r="T22" s="236"/>
      <c r="U22" s="236"/>
      <c r="V22" s="236"/>
      <c r="W22" s="94"/>
      <c r="X22" s="183" t="s">
        <v>295</v>
      </c>
      <c r="Y22" s="235"/>
      <c r="Z22" s="236"/>
      <c r="AA22" s="237"/>
      <c r="AB22" s="238"/>
      <c r="AE22" s="64"/>
      <c r="AF22" s="64"/>
      <c r="AG22" s="64"/>
      <c r="AH22" s="64"/>
      <c r="AI22" s="68"/>
      <c r="AJ22" s="97" t="s">
        <v>63</v>
      </c>
      <c r="AK22" s="68"/>
      <c r="AL22" s="68"/>
      <c r="AM22" s="68"/>
      <c r="AN22" s="1530" t="e">
        <f>SUMIF(Admin3!C8:O8,HRT!BE5,Admin3!#REF!)</f>
        <v>#REF!</v>
      </c>
      <c r="AO22" s="1530"/>
      <c r="AP22" s="1530"/>
      <c r="AQ22" s="1530"/>
      <c r="AR22" s="68"/>
      <c r="AS22" s="68"/>
      <c r="AT22" s="68"/>
      <c r="AU22" s="1530" t="e">
        <f>SUMIF(Admin3!C8:O8,HRT!BE5,Admin3!#REF!)-SUMIF(Admin3!C8:O8,HRT!BE5,Admin3!#REF!)</f>
        <v>#REF!</v>
      </c>
      <c r="AV22" s="1530"/>
      <c r="AW22" s="1530"/>
      <c r="AX22" s="1530"/>
      <c r="AY22" s="68"/>
      <c r="AZ22" s="68"/>
      <c r="BA22" s="68"/>
      <c r="BB22" s="1530" t="e">
        <f>SUMIF(Admin3!C8:O8,HRT!BE5,Admin3!#REF!)-SUMIF(Admin3!C8:O8,HRT!BE5,Admin3!#REF!)</f>
        <v>#REF!</v>
      </c>
      <c r="BC22" s="1530"/>
      <c r="BD22" s="1530"/>
      <c r="BE22" s="1530"/>
      <c r="BI22" s="54" t="s">
        <v>296</v>
      </c>
      <c r="BJ22" s="1526"/>
      <c r="BK22" s="1526"/>
      <c r="BL22" s="1526"/>
      <c r="BM22" s="1526"/>
      <c r="BN22" s="1526"/>
      <c r="BO22" s="1526"/>
      <c r="BP22" s="1526"/>
      <c r="BQ22" s="1526"/>
      <c r="BR22" s="1526"/>
      <c r="BS22" s="1526"/>
      <c r="BT22" s="1526"/>
      <c r="BU22" s="1526"/>
      <c r="BV22" s="55"/>
    </row>
    <row r="23" spans="2:81" ht="14.65" customHeight="1" thickTop="1" thickBot="1">
      <c r="B23" s="44"/>
      <c r="C23" s="44"/>
      <c r="D23" s="44"/>
      <c r="E23" s="78" t="s">
        <v>298</v>
      </c>
      <c r="F23" s="94"/>
      <c r="G23" s="93">
        <f>$G$21-$G$19</f>
        <v>0</v>
      </c>
      <c r="H23" s="94"/>
      <c r="I23" s="236"/>
      <c r="J23" s="236"/>
      <c r="K23" s="236"/>
      <c r="L23" s="236"/>
      <c r="M23" s="236"/>
      <c r="N23" s="236"/>
      <c r="O23" s="236"/>
      <c r="P23" s="236"/>
      <c r="Q23" s="236"/>
      <c r="R23" s="236"/>
      <c r="S23" s="236"/>
      <c r="T23" s="236"/>
      <c r="U23" s="236"/>
      <c r="V23" s="236"/>
      <c r="W23" s="94"/>
      <c r="X23" s="183" t="s">
        <v>299</v>
      </c>
      <c r="Y23" s="235"/>
      <c r="Z23" s="236"/>
      <c r="AA23" s="183">
        <f>SUMIF(Admin4!$L$5:$L$298,"7986",Admin4!$N$5:$N$298)</f>
        <v>0</v>
      </c>
      <c r="AB23" s="238"/>
      <c r="AE23" s="64"/>
      <c r="AF23" s="64"/>
      <c r="AG23" s="64"/>
      <c r="AH23" s="64"/>
      <c r="AI23" s="64"/>
      <c r="AJ23" s="97" t="s">
        <v>64</v>
      </c>
      <c r="AK23" s="68"/>
      <c r="AL23" s="68"/>
      <c r="AM23" s="68"/>
      <c r="AN23" s="1530" t="e">
        <f>SUMIF(Admin3!C8:O8,HRT!BE5,Admin3!#REF!)</f>
        <v>#REF!</v>
      </c>
      <c r="AO23" s="1530"/>
      <c r="AP23" s="1530"/>
      <c r="AQ23" s="1530"/>
      <c r="AR23" s="68"/>
      <c r="AS23" s="68"/>
      <c r="AT23" s="68"/>
      <c r="AU23" s="1530" t="e">
        <f>SUMIF(Admin3!C8:O8,HRT!BE5,Admin3!#REF!)-SUMIF(Admin3!C8:O8,HRT!BE5,Admin3!#REF!)</f>
        <v>#REF!</v>
      </c>
      <c r="AV23" s="1530"/>
      <c r="AW23" s="1530"/>
      <c r="AX23" s="1530"/>
      <c r="AY23" s="68"/>
      <c r="AZ23" s="68"/>
      <c r="BA23" s="68"/>
      <c r="BB23" s="1530" t="e">
        <f>SUMIF(Admin3!C8:O8,HRT!BE5,Admin3!#REF!)-SUMIF(Admin3!C8:O8,HRT!BE5,Admin3!#REF!)</f>
        <v>#REF!</v>
      </c>
      <c r="BC23" s="1530"/>
      <c r="BD23" s="1530"/>
      <c r="BE23" s="1530"/>
      <c r="BI23" s="1" t="s">
        <v>300</v>
      </c>
      <c r="BJ23" s="1526"/>
      <c r="BK23" s="1526"/>
      <c r="BL23" s="1526"/>
      <c r="BM23" s="1526"/>
      <c r="BN23" s="1526"/>
      <c r="BO23" s="1526"/>
      <c r="BP23" s="1526"/>
      <c r="BQ23" s="1526"/>
      <c r="BR23" s="1526"/>
      <c r="BS23" s="1526"/>
      <c r="BT23" s="1526"/>
      <c r="BU23" s="1526"/>
      <c r="BV23" s="55"/>
    </row>
    <row r="24" spans="2:81" ht="14.65" customHeight="1" thickTop="1" thickBot="1">
      <c r="B24" s="44"/>
      <c r="C24" s="44"/>
      <c r="D24" s="44"/>
      <c r="E24" s="78"/>
      <c r="F24" s="94"/>
      <c r="G24" s="78"/>
      <c r="H24" s="94"/>
      <c r="I24" s="96"/>
      <c r="J24" s="96"/>
      <c r="K24" s="94"/>
      <c r="L24" s="94"/>
      <c r="U24" s="94"/>
      <c r="V24" s="94"/>
      <c r="W24" s="94"/>
      <c r="X24" s="239"/>
      <c r="Y24" s="239"/>
      <c r="Z24" s="240"/>
      <c r="AA24" s="239"/>
      <c r="AB24" s="241"/>
      <c r="AE24" s="64"/>
      <c r="AF24" s="64"/>
      <c r="AG24" s="64"/>
      <c r="AH24" s="64"/>
      <c r="AI24" s="64"/>
      <c r="AJ24" s="97" t="s">
        <v>65</v>
      </c>
      <c r="AK24" s="68"/>
      <c r="AL24" s="68"/>
      <c r="AM24" s="68"/>
      <c r="AN24" s="1533" t="e">
        <f>SUM(AN22:AQ23)</f>
        <v>#REF!</v>
      </c>
      <c r="AO24" s="1533"/>
      <c r="AP24" s="1533"/>
      <c r="AQ24" s="1533"/>
      <c r="AR24" s="68"/>
      <c r="AS24" s="68"/>
      <c r="AT24" s="68"/>
      <c r="AU24" s="1533" t="e">
        <f>SUM(AU22:AX23)</f>
        <v>#REF!</v>
      </c>
      <c r="AV24" s="1533"/>
      <c r="AW24" s="1533"/>
      <c r="AX24" s="1533"/>
      <c r="AY24" s="68"/>
      <c r="AZ24" s="68"/>
      <c r="BA24" s="68"/>
      <c r="BB24" s="1533" t="e">
        <f>SUM(BB22:BE23)</f>
        <v>#REF!</v>
      </c>
      <c r="BC24" s="1533"/>
      <c r="BD24" s="1533"/>
      <c r="BE24" s="1533"/>
      <c r="BI24" s="2"/>
      <c r="BL24" s="1490" t="s">
        <v>487</v>
      </c>
      <c r="BM24" s="1491"/>
      <c r="BN24" s="1491"/>
      <c r="BO24" s="1491"/>
      <c r="BP24" s="1521"/>
      <c r="BQ24" s="1490" t="s">
        <v>522</v>
      </c>
      <c r="BR24" s="1491"/>
      <c r="BS24" s="1491"/>
      <c r="BT24" s="1491"/>
      <c r="BU24" s="1492"/>
      <c r="BV24" s="55"/>
      <c r="BW24" s="1490" t="s">
        <v>303</v>
      </c>
      <c r="BX24" s="1491"/>
      <c r="BY24" s="1491"/>
      <c r="BZ24" s="1491"/>
      <c r="CA24" s="1491"/>
      <c r="CB24" s="1491"/>
      <c r="CC24" s="1492"/>
    </row>
    <row r="25" spans="2:81" ht="14.65" customHeight="1" thickTop="1">
      <c r="B25" s="44"/>
      <c r="C25" s="44"/>
      <c r="D25" s="44"/>
      <c r="E25" s="78"/>
      <c r="F25" s="94"/>
      <c r="G25" s="95">
        <f>G26-SUM($G$16:$G$17)</f>
        <v>0</v>
      </c>
      <c r="H25" s="94"/>
      <c r="I25" s="96" t="str">
        <f>IF(G25&lt;&gt;0,"There is a variance in reported ending EEs.","")</f>
        <v/>
      </c>
      <c r="J25" s="96"/>
      <c r="K25" s="94"/>
      <c r="L25" s="94"/>
      <c r="U25" s="94"/>
      <c r="V25" s="94"/>
      <c r="W25" s="94"/>
      <c r="X25" s="94"/>
      <c r="Y25" s="94"/>
      <c r="Z25" s="97"/>
      <c r="AA25" s="94"/>
      <c r="AB25" s="98"/>
      <c r="AE25" s="64"/>
      <c r="AF25" s="64"/>
      <c r="AG25" s="64"/>
      <c r="AH25" s="64"/>
      <c r="AI25" s="64"/>
      <c r="AJ25" s="97"/>
      <c r="AK25" s="68"/>
      <c r="AL25" s="68"/>
      <c r="AM25" s="68"/>
      <c r="AN25" s="221"/>
      <c r="AO25" s="221"/>
      <c r="AP25" s="221"/>
      <c r="AQ25" s="221"/>
      <c r="AR25" s="68"/>
      <c r="AS25" s="68"/>
      <c r="AT25" s="68"/>
      <c r="AU25" s="221"/>
      <c r="AV25" s="221"/>
      <c r="AW25" s="221"/>
      <c r="AX25" s="221"/>
      <c r="AY25" s="68"/>
      <c r="AZ25" s="68"/>
      <c r="BA25" s="68"/>
      <c r="BB25" s="221"/>
      <c r="BC25" s="221"/>
      <c r="BD25" s="221"/>
      <c r="BE25" s="221"/>
      <c r="BI25" s="720" t="s">
        <v>23</v>
      </c>
      <c r="BJ25" s="720" t="s">
        <v>37</v>
      </c>
      <c r="BK25" s="720" t="s">
        <v>304</v>
      </c>
      <c r="BL25" s="721" t="s">
        <v>305</v>
      </c>
      <c r="BM25" s="721" t="s">
        <v>306</v>
      </c>
      <c r="BN25" s="721" t="s">
        <v>488</v>
      </c>
      <c r="BO25" s="135" t="s">
        <v>489</v>
      </c>
      <c r="BP25" s="721" t="s">
        <v>490</v>
      </c>
      <c r="BQ25" s="721" t="s">
        <v>305</v>
      </c>
      <c r="BR25" s="721" t="s">
        <v>523</v>
      </c>
      <c r="BS25" s="721" t="s">
        <v>524</v>
      </c>
      <c r="BT25" s="135" t="s">
        <v>525</v>
      </c>
      <c r="BU25" s="721" t="s">
        <v>526</v>
      </c>
      <c r="BW25" s="164" t="s">
        <v>314</v>
      </c>
      <c r="BX25" s="164" t="s">
        <v>23</v>
      </c>
      <c r="BY25" s="164" t="s">
        <v>315</v>
      </c>
      <c r="BZ25" s="164" t="s">
        <v>122</v>
      </c>
      <c r="CA25" s="164" t="s">
        <v>316</v>
      </c>
      <c r="CB25" s="164" t="s">
        <v>317</v>
      </c>
      <c r="CC25" s="164" t="s">
        <v>318</v>
      </c>
    </row>
    <row r="26" spans="2:81" ht="14.65" customHeight="1">
      <c r="B26" s="44"/>
      <c r="C26" s="44"/>
      <c r="D26" s="44"/>
      <c r="E26" s="78"/>
      <c r="F26" s="94"/>
      <c r="G26" s="95">
        <f t="array" ref="G26">SUM(IF((Admin2!$C$6:$O$6=$BE$5)*(Admin2!$Q$9:$Q$83=$BI$2)*(Admin2!$B$9:$B$83="Ending EEs"),Admin2!$C$9:$O$83,0))</f>
        <v>0</v>
      </c>
      <c r="H26" s="94"/>
      <c r="I26" s="96" t="str">
        <f>IF(G26&lt;&gt;0,"Ending headcount per Kronos/HCMS.","")</f>
        <v/>
      </c>
      <c r="J26" s="96"/>
      <c r="K26" s="94"/>
      <c r="L26" s="94"/>
      <c r="U26" s="94"/>
      <c r="V26" s="94"/>
      <c r="W26" s="94"/>
      <c r="X26" s="94"/>
      <c r="Y26" s="94"/>
      <c r="Z26" s="97"/>
      <c r="AA26" s="94"/>
      <c r="AB26" s="98"/>
      <c r="AE26" s="64"/>
      <c r="AF26" s="64"/>
      <c r="AG26" s="64"/>
      <c r="AH26" s="64"/>
      <c r="AI26" s="64"/>
      <c r="AJ26" s="97"/>
      <c r="AK26" s="68"/>
      <c r="AL26" s="68"/>
      <c r="AM26" s="68"/>
      <c r="AN26" s="221"/>
      <c r="AO26" s="221"/>
      <c r="AP26" s="221"/>
      <c r="AQ26" s="221"/>
      <c r="AR26" s="68"/>
      <c r="AS26" s="68"/>
      <c r="AT26" s="68"/>
      <c r="AU26" s="221"/>
      <c r="AV26" s="221"/>
      <c r="AW26" s="221"/>
      <c r="AX26" s="221"/>
      <c r="AY26" s="68"/>
      <c r="AZ26" s="68"/>
      <c r="BA26" s="68"/>
      <c r="BB26" s="221"/>
      <c r="BC26" s="221"/>
      <c r="BD26" s="221"/>
      <c r="BE26" s="221"/>
      <c r="BI26" s="722" t="s">
        <v>319</v>
      </c>
      <c r="BJ26" s="722">
        <v>1</v>
      </c>
      <c r="BK26" s="722" t="s">
        <v>320</v>
      </c>
      <c r="BL26" s="744"/>
      <c r="BM26" s="804"/>
      <c r="BN26" s="739">
        <f>IF(BM26=0,0,BL26/BM26)</f>
        <v>0</v>
      </c>
      <c r="BO26" s="138">
        <f>IF(SUM(BM26:BM28)=0,0,SUM(BL26:BL28)/SUM(BM26:BM28))</f>
        <v>0</v>
      </c>
      <c r="BP26" s="736"/>
      <c r="BQ26" s="758"/>
      <c r="BR26" s="759"/>
      <c r="BS26" s="739">
        <f>IF(BR26=0,0,BQ26/BR26)</f>
        <v>0</v>
      </c>
      <c r="BT26" s="138">
        <f>IF(SUM(BR26:BR28)=0,0,SUM(BQ26:BQ28)/SUM(BR26:BR28))</f>
        <v>0</v>
      </c>
      <c r="BU26" s="736"/>
      <c r="BX26" s="666" t="str">
        <f t="shared" ref="BX26:BX37" si="9">TEXT(CONCATENATE(CC26,"/01/20",CB26),"MMM")</f>
        <v>Oct</v>
      </c>
      <c r="BY26" s="728">
        <f>IF(CB26=$CB38,SUMIF($BI26:$BI37,$BX26,$BR26:$BR37),SUMIF($BI26:$BI37,$BX26,$BM26:$BM37))</f>
        <v>0</v>
      </c>
      <c r="BZ26" s="736" t="e">
        <f>IF(IF(CB26=CB38,SUMIF(BI26:BI37,$BX26,BU26:BU37),SUMIF(BI26:BI37,$BX26,BP26:BP37))=0,NA(),IF(CB26=CB38,SUMIF(BI26:BI37,$BX26,BU26:BU37),SUMIF(BI26:BI37,$BX26,BP26:BP37)))</f>
        <v>#N/A</v>
      </c>
      <c r="CA26" s="739" t="e">
        <f>IF(IF(CB26=CB38,SUMIF(BI26:BI37,$BX26,BS26:BS37),SUMIF(BI26:BI37,$BX26,BN26:BN37))=0,NA(),IF(CB26=CB38,SUMIF(BI26:BI37,$BX26,BS26:BS37),SUMIF(BI26:BI37,$BX26,BN26:BN37)))</f>
        <v>#N/A</v>
      </c>
      <c r="CB26" s="730">
        <v>20</v>
      </c>
      <c r="CC26" s="730">
        <f t="shared" ref="CC26:CC36" si="10">IF(CC27-1&lt;1,CC27+11,CC27-1)</f>
        <v>10</v>
      </c>
    </row>
    <row r="27" spans="2:81" ht="14.65" customHeight="1">
      <c r="B27" s="44"/>
      <c r="C27" s="44"/>
      <c r="D27" s="44"/>
      <c r="E27" s="78"/>
      <c r="F27" s="94"/>
      <c r="G27" s="186"/>
      <c r="H27" s="190"/>
      <c r="I27" s="242"/>
      <c r="J27" s="242"/>
      <c r="K27" s="190"/>
      <c r="L27" s="190"/>
      <c r="M27" s="182"/>
      <c r="N27" s="182"/>
      <c r="O27" s="182"/>
      <c r="P27" s="182"/>
      <c r="Q27" s="182"/>
      <c r="R27" s="182"/>
      <c r="S27" s="182"/>
      <c r="U27" s="94"/>
      <c r="V27" s="94"/>
      <c r="W27" s="94"/>
      <c r="X27" s="94"/>
      <c r="Y27" s="94"/>
      <c r="Z27" s="97"/>
      <c r="AA27" s="94"/>
      <c r="AB27" s="98"/>
      <c r="AE27" s="64"/>
      <c r="AF27" s="64"/>
      <c r="AG27" s="64"/>
      <c r="AH27" s="64"/>
      <c r="AI27" s="64"/>
      <c r="AJ27" s="97"/>
      <c r="AK27" s="68"/>
      <c r="AL27" s="68"/>
      <c r="AM27" s="68"/>
      <c r="AN27" s="221"/>
      <c r="AO27" s="221"/>
      <c r="AP27" s="221"/>
      <c r="AQ27" s="221"/>
      <c r="AR27" s="68"/>
      <c r="AS27" s="68"/>
      <c r="AT27" s="68"/>
      <c r="AU27" s="221"/>
      <c r="AV27" s="221"/>
      <c r="AW27" s="221"/>
      <c r="AX27" s="221"/>
      <c r="AY27" s="68"/>
      <c r="AZ27" s="68"/>
      <c r="BA27" s="68"/>
      <c r="BB27" s="221"/>
      <c r="BC27" s="221"/>
      <c r="BD27" s="221"/>
      <c r="BE27" s="221"/>
      <c r="BI27" s="722" t="s">
        <v>321</v>
      </c>
      <c r="BJ27" s="722">
        <v>2</v>
      </c>
      <c r="BK27" s="722" t="s">
        <v>320</v>
      </c>
      <c r="BL27" s="744"/>
      <c r="BM27" s="804"/>
      <c r="BN27" s="739">
        <f t="shared" ref="BN27:BN37" si="11">IF(BM27=0,0,BL27/BM27)</f>
        <v>0</v>
      </c>
      <c r="BO27"/>
      <c r="BP27" s="736"/>
      <c r="BQ27" s="758"/>
      <c r="BR27" s="759"/>
      <c r="BS27" s="739">
        <f>IF(BR27=0,0,BQ27/BR27)</f>
        <v>0</v>
      </c>
      <c r="BT27"/>
      <c r="BU27" s="736"/>
      <c r="BX27" s="666" t="str">
        <f t="shared" si="9"/>
        <v>Nov</v>
      </c>
      <c r="BY27" s="728">
        <f>IF(CB27=$CB38,SUMIF($BI26:$BI37,$BX27,$BR26:$BR37),SUMIF($BI26:$BI37,$BX27,$BM26:$BM37))</f>
        <v>0</v>
      </c>
      <c r="BZ27" s="736" t="e">
        <f>IF(IF(CB27=CB38,SUMIF(BI26:BI37,$BX27,BU26:BU37),SUMIF(BI26:BI37,$BX27,BP26:BP37))=0,NA(),IF(CB27=CB38,SUMIF(BI26:BI37,$BX27,BU26:BU37),SUMIF(BI26:BI37,$BX27,BP26:BP37)))</f>
        <v>#N/A</v>
      </c>
      <c r="CA27" s="739" t="e">
        <f>IF(IF(CB27=CB38,SUMIF(BI26:BI37,$BX27,BS26:BS37),SUMIF(BI26:BI37,$BX27,BN26:BN37))=0,NA(),IF(CB27=CB38,SUMIF(BI26:BI37,$BX27,BS26:BS37),SUMIF(BI26:BI37,$BX27,BN26:BN37)))</f>
        <v>#N/A</v>
      </c>
      <c r="CB27" s="730">
        <f t="shared" ref="CB27:CB36" si="12">IF(CC27=9,CB28-1,CB28)</f>
        <v>23</v>
      </c>
      <c r="CC27" s="730">
        <f t="shared" si="10"/>
        <v>11</v>
      </c>
    </row>
    <row r="28" spans="2:81" ht="14.65" customHeight="1">
      <c r="B28" s="44" t="s">
        <v>242</v>
      </c>
      <c r="C28" s="44"/>
      <c r="D28" s="44"/>
      <c r="E28" s="87"/>
      <c r="F28" s="94"/>
      <c r="G28" s="94"/>
      <c r="H28" s="94"/>
      <c r="I28" s="94"/>
      <c r="J28" s="94"/>
      <c r="K28" s="94"/>
      <c r="L28" s="94"/>
      <c r="M28" s="94"/>
      <c r="N28" s="94"/>
      <c r="O28" s="94"/>
      <c r="P28" s="94"/>
      <c r="Q28" s="94"/>
      <c r="R28" s="94"/>
      <c r="S28" s="94"/>
      <c r="T28" s="94"/>
      <c r="U28" s="94"/>
      <c r="V28" s="94"/>
      <c r="W28" s="94"/>
      <c r="X28" s="94"/>
      <c r="Y28" s="94"/>
      <c r="Z28" s="94"/>
      <c r="AA28" s="94"/>
      <c r="AB28" s="94"/>
      <c r="AE28" s="44" t="s">
        <v>242</v>
      </c>
      <c r="AF28" s="44"/>
      <c r="AG28" s="44"/>
      <c r="AH28" s="87"/>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I28" s="722" t="s">
        <v>322</v>
      </c>
      <c r="BJ28" s="722">
        <v>3</v>
      </c>
      <c r="BK28" s="722" t="s">
        <v>320</v>
      </c>
      <c r="BL28" s="744"/>
      <c r="BM28" s="804"/>
      <c r="BN28" s="739">
        <f t="shared" si="11"/>
        <v>0</v>
      </c>
      <c r="BO28"/>
      <c r="BP28" s="736"/>
      <c r="BQ28" s="758"/>
      <c r="BR28" s="759"/>
      <c r="BS28" s="739">
        <f>IF(BR28=0,0,BQ28/BR28)</f>
        <v>0</v>
      </c>
      <c r="BT28"/>
      <c r="BU28" s="736"/>
      <c r="BX28" s="666" t="str">
        <f t="shared" si="9"/>
        <v>Dec</v>
      </c>
      <c r="BY28" s="728">
        <f>IF(CB28=$CB38,SUMIF($BI26:$BI37,$BX28,$BR26:$BR37),SUMIF($BI26:$BI37,$BX28,$BM26:$BM37))</f>
        <v>0</v>
      </c>
      <c r="BZ28" s="736" t="e">
        <f>IF(IF(CB28=CB38,SUMIF(BI26:BI37,$BX28,BU26:BU37),SUMIF(BI26:BI37,$BX28,BP26:BP37))=0,NA(),IF(CB28=CB38,SUMIF(BI26:BI37,$BX28,BU26:BU37),SUMIF(BI26:BI37,$BX28,BP26:BP37)))</f>
        <v>#N/A</v>
      </c>
      <c r="CA28" s="739" t="e">
        <f>IF(IF(CB28=CB38,SUMIF(BI26:BI37,$BX28,BS26:BS37),SUMIF(BI26:BI37,$BX28,BN26:BN37))=0,NA(),IF(CB28=CB38,SUMIF(BI26:BI37,$BX28,BS26:BS37),SUMIF(BI26:BI37,$BX28,BN26:BN37)))</f>
        <v>#N/A</v>
      </c>
      <c r="CB28" s="730">
        <f t="shared" si="12"/>
        <v>23</v>
      </c>
      <c r="CC28" s="730">
        <f t="shared" si="10"/>
        <v>12</v>
      </c>
    </row>
    <row r="29" spans="2:81" ht="14.65" customHeight="1">
      <c r="B29" s="1656" t="s">
        <v>656</v>
      </c>
      <c r="C29" s="1657"/>
      <c r="D29" s="1657"/>
      <c r="E29" s="1657"/>
      <c r="F29" s="1657"/>
      <c r="G29" s="1657"/>
      <c r="H29" s="1657"/>
      <c r="I29" s="1657"/>
      <c r="J29" s="1657"/>
      <c r="K29" s="1657"/>
      <c r="L29" s="1657"/>
      <c r="M29" s="1657"/>
      <c r="N29" s="1657"/>
      <c r="O29" s="1657"/>
      <c r="P29" s="1657"/>
      <c r="Q29" s="1657"/>
      <c r="R29" s="1657"/>
      <c r="S29" s="1657"/>
      <c r="T29" s="1657"/>
      <c r="U29" s="1657"/>
      <c r="V29" s="1657"/>
      <c r="W29" s="1657"/>
      <c r="X29" s="1657"/>
      <c r="Y29" s="1657"/>
      <c r="Z29" s="1657"/>
      <c r="AA29" s="1657"/>
      <c r="AB29" s="1658"/>
      <c r="AC29"/>
      <c r="AD29"/>
      <c r="AE29" s="1656" t="s">
        <v>657</v>
      </c>
      <c r="AF29" s="1657"/>
      <c r="AG29" s="1657"/>
      <c r="AH29" s="1657"/>
      <c r="AI29" s="1657"/>
      <c r="AJ29" s="1657"/>
      <c r="AK29" s="1657"/>
      <c r="AL29" s="1657"/>
      <c r="AM29" s="1657"/>
      <c r="AN29" s="1657"/>
      <c r="AO29" s="1657"/>
      <c r="AP29" s="1657"/>
      <c r="AQ29" s="1657"/>
      <c r="AR29" s="1657"/>
      <c r="AS29" s="1657"/>
      <c r="AT29" s="1657"/>
      <c r="AU29" s="1657"/>
      <c r="AV29" s="1657"/>
      <c r="AW29" s="1657"/>
      <c r="AX29" s="1657"/>
      <c r="AY29" s="1657"/>
      <c r="AZ29" s="1657"/>
      <c r="BA29" s="1657"/>
      <c r="BB29" s="1657"/>
      <c r="BC29" s="1657"/>
      <c r="BD29" s="1657"/>
      <c r="BE29" s="1658"/>
      <c r="BI29" s="722" t="s">
        <v>323</v>
      </c>
      <c r="BJ29" s="722">
        <v>4</v>
      </c>
      <c r="BK29" s="722" t="s">
        <v>324</v>
      </c>
      <c r="BL29" s="744"/>
      <c r="BM29" s="804"/>
      <c r="BN29" s="739">
        <f t="shared" si="11"/>
        <v>0</v>
      </c>
      <c r="BO29" s="138">
        <f>IF(SUM(BM29:BM31)=0,0,SUM(BL29:BL31)/SUM(BM29:BM31))</f>
        <v>0</v>
      </c>
      <c r="BP29" s="736"/>
      <c r="BQ29" s="758"/>
      <c r="BR29" s="759"/>
      <c r="BS29" s="739">
        <f>IF(BR29=0,0,BQ29/BR29)</f>
        <v>0</v>
      </c>
      <c r="BT29" s="138">
        <f>IF(SUM(BR29:BR31)=0,0,SUM(BQ29:BQ31)/SUM(BR29:BR31))</f>
        <v>0</v>
      </c>
      <c r="BU29" s="736"/>
      <c r="BX29" s="666" t="str">
        <f t="shared" si="9"/>
        <v>Jan</v>
      </c>
      <c r="BY29" s="728">
        <f>IF(CB29=$CB38,SUMIF($BI26:$BI37,$BX29,$BR26:$BR37),SUMIF($BI26:$BI37,$BX29,$BM26:$BM37))</f>
        <v>0</v>
      </c>
      <c r="BZ29" s="736" t="e">
        <f>IF(IF(CB29=CB38,SUMIF(BI26:BI37,$BX29,BU26:BU37),SUMIF(BI26:BI37,$BX29,BP26:BP37))=0,NA(),IF(CB29=CB38,SUMIF(BI26:BI37,$BX29,BU26:BU37),SUMIF(BI26:BI37,$BX29,BP26:BP37)))</f>
        <v>#N/A</v>
      </c>
      <c r="CA29" s="739" t="e">
        <f>IF(IF(CB29=CB38,SUMIF(BI26:BI37,$BX29,BS26:BS37),SUMIF(BI26:BI37,$BX29,BN26:BN37))=0,NA(),IF(CB29=CB38,SUMIF(BI26:BI37,$BX29,BS26:BS37),SUMIF(BI26:BI37,$BX29,BN26:BN37)))</f>
        <v>#N/A</v>
      </c>
      <c r="CB29" s="730">
        <f t="shared" si="12"/>
        <v>23</v>
      </c>
      <c r="CC29" s="730">
        <f t="shared" si="10"/>
        <v>1</v>
      </c>
    </row>
    <row r="30" spans="2:81" ht="14.65" customHeight="1">
      <c r="B30" s="1659"/>
      <c r="C30" s="1660"/>
      <c r="D30" s="1660"/>
      <c r="E30" s="1660"/>
      <c r="F30" s="1660"/>
      <c r="G30" s="1660"/>
      <c r="H30" s="1660"/>
      <c r="I30" s="1660"/>
      <c r="J30" s="1660"/>
      <c r="K30" s="1660"/>
      <c r="L30" s="1660"/>
      <c r="M30" s="1660"/>
      <c r="N30" s="1660"/>
      <c r="O30" s="1660"/>
      <c r="P30" s="1660"/>
      <c r="Q30" s="1660"/>
      <c r="R30" s="1660"/>
      <c r="S30" s="1660"/>
      <c r="T30" s="1660"/>
      <c r="U30" s="1660"/>
      <c r="V30" s="1660"/>
      <c r="W30" s="1660"/>
      <c r="X30" s="1660"/>
      <c r="Y30" s="1660"/>
      <c r="Z30" s="1660"/>
      <c r="AA30" s="1660"/>
      <c r="AB30" s="1661"/>
      <c r="AC30"/>
      <c r="AD30"/>
      <c r="AE30" s="1659"/>
      <c r="AF30" s="1660"/>
      <c r="AG30" s="1660"/>
      <c r="AH30" s="1660"/>
      <c r="AI30" s="1660"/>
      <c r="AJ30" s="1660"/>
      <c r="AK30" s="1660"/>
      <c r="AL30" s="1660"/>
      <c r="AM30" s="1660"/>
      <c r="AN30" s="1660"/>
      <c r="AO30" s="1660"/>
      <c r="AP30" s="1660"/>
      <c r="AQ30" s="1660"/>
      <c r="AR30" s="1660"/>
      <c r="AS30" s="1660"/>
      <c r="AT30" s="1660"/>
      <c r="AU30" s="1660"/>
      <c r="AV30" s="1660"/>
      <c r="AW30" s="1660"/>
      <c r="AX30" s="1660"/>
      <c r="AY30" s="1660"/>
      <c r="AZ30" s="1660"/>
      <c r="BA30" s="1660"/>
      <c r="BB30" s="1660"/>
      <c r="BC30" s="1660"/>
      <c r="BD30" s="1660"/>
      <c r="BE30" s="1661"/>
      <c r="BI30" s="722" t="s">
        <v>325</v>
      </c>
      <c r="BJ30" s="722">
        <v>5</v>
      </c>
      <c r="BK30" s="722" t="s">
        <v>324</v>
      </c>
      <c r="BL30" s="744"/>
      <c r="BM30" s="804"/>
      <c r="BN30" s="739">
        <f t="shared" si="11"/>
        <v>0</v>
      </c>
      <c r="BO30"/>
      <c r="BP30" s="736"/>
      <c r="BQ30" s="758"/>
      <c r="BR30" s="759"/>
      <c r="BS30" s="739">
        <f>IF(BR30=0,0,BQ30/BR30)</f>
        <v>0</v>
      </c>
      <c r="BT30"/>
      <c r="BU30" s="736"/>
      <c r="BX30" s="666" t="str">
        <f t="shared" si="9"/>
        <v>Feb</v>
      </c>
      <c r="BY30" s="728">
        <f>IF(CB30=$CB38,SUMIF($BI26:$BI37,$BX30,$BR26:$BR37),SUMIF($BI26:$BI37,$BX30,$BM26:$BM37))</f>
        <v>0</v>
      </c>
      <c r="BZ30" s="736" t="e">
        <f>IF(IF(CB30=CB38,SUMIF(BI26:BI37,$BX30,BU26:BU37),SUMIF(BI26:BI37,$BX30,BP26:BP37))=0,NA(),IF(CB30=CB38,SUMIF(BI26:BI37,$BX30,BU26:BU37),SUMIF(BI26:BI37,$BX30,BP26:BP37)))</f>
        <v>#N/A</v>
      </c>
      <c r="CA30" s="739" t="e">
        <f>IF(IF(CB30=CB38,SUMIF(BI26:BI37,$BX30,BS26:BS37),SUMIF(BI26:BI37,$BX30,BN26:BN37))=0,NA(),IF(CB30=CB38,SUMIF(BI26:BI37,$BX30,BS26:BS37),SUMIF(BI26:BI37,$BX30,BN26:BN37)))</f>
        <v>#N/A</v>
      </c>
      <c r="CB30" s="730">
        <f t="shared" si="12"/>
        <v>23</v>
      </c>
      <c r="CC30" s="730">
        <f t="shared" si="10"/>
        <v>2</v>
      </c>
    </row>
    <row r="31" spans="2:81" ht="14.65" customHeight="1">
      <c r="B31" s="1659"/>
      <c r="C31" s="1660"/>
      <c r="D31" s="1660"/>
      <c r="E31" s="1660"/>
      <c r="F31" s="1660"/>
      <c r="G31" s="1660"/>
      <c r="H31" s="1660"/>
      <c r="I31" s="1660"/>
      <c r="J31" s="1660"/>
      <c r="K31" s="1660"/>
      <c r="L31" s="1660"/>
      <c r="M31" s="1660"/>
      <c r="N31" s="1660"/>
      <c r="O31" s="1660"/>
      <c r="P31" s="1660"/>
      <c r="Q31" s="1660"/>
      <c r="R31" s="1660"/>
      <c r="S31" s="1660"/>
      <c r="T31" s="1660"/>
      <c r="U31" s="1660"/>
      <c r="V31" s="1660"/>
      <c r="W31" s="1660"/>
      <c r="X31" s="1660"/>
      <c r="Y31" s="1660"/>
      <c r="Z31" s="1660"/>
      <c r="AA31" s="1660"/>
      <c r="AB31" s="1661"/>
      <c r="AC31"/>
      <c r="AD31"/>
      <c r="AE31" s="1659"/>
      <c r="AF31" s="1660"/>
      <c r="AG31" s="1660"/>
      <c r="AH31" s="1660"/>
      <c r="AI31" s="1660"/>
      <c r="AJ31" s="1660"/>
      <c r="AK31" s="1660"/>
      <c r="AL31" s="1660"/>
      <c r="AM31" s="1660"/>
      <c r="AN31" s="1660"/>
      <c r="AO31" s="1660"/>
      <c r="AP31" s="1660"/>
      <c r="AQ31" s="1660"/>
      <c r="AR31" s="1660"/>
      <c r="AS31" s="1660"/>
      <c r="AT31" s="1660"/>
      <c r="AU31" s="1660"/>
      <c r="AV31" s="1660"/>
      <c r="AW31" s="1660"/>
      <c r="AX31" s="1660"/>
      <c r="AY31" s="1660"/>
      <c r="AZ31" s="1660"/>
      <c r="BA31" s="1660"/>
      <c r="BB31" s="1660"/>
      <c r="BC31" s="1660"/>
      <c r="BD31" s="1660"/>
      <c r="BE31" s="1661"/>
      <c r="BI31" s="722" t="s">
        <v>326</v>
      </c>
      <c r="BJ31" s="722">
        <v>6</v>
      </c>
      <c r="BK31" s="722" t="s">
        <v>324</v>
      </c>
      <c r="BL31" s="744"/>
      <c r="BM31" s="804"/>
      <c r="BN31" s="739">
        <f t="shared" si="11"/>
        <v>0</v>
      </c>
      <c r="BO31"/>
      <c r="BP31" s="736"/>
      <c r="BQ31" s="758"/>
      <c r="BR31" s="759"/>
      <c r="BS31" s="739"/>
      <c r="BT31"/>
      <c r="BU31" s="736"/>
      <c r="BX31" s="666" t="str">
        <f t="shared" si="9"/>
        <v>Mar</v>
      </c>
      <c r="BY31" s="728">
        <f>IF(CB31=$CB38,SUMIF($BI26:$BI37,$BX31,$BR26:$BR37),SUMIF($BI26:$BI37,$BX31,$BM26:$BM37))</f>
        <v>0</v>
      </c>
      <c r="BZ31" s="736" t="e">
        <f>IF(IF(CB31=CB38,SUMIF(BI26:BI37,$BX31,BU26:BU37),SUMIF(BI26:BI37,$BX31,BP26:BP37))=0,NA(),IF(CB31=CB38,SUMIF(BI26:BI37,$BX31,BU26:BU37),SUMIF(BI26:BI37,$BX31,BP26:BP37)))</f>
        <v>#N/A</v>
      </c>
      <c r="CA31" s="739" t="e">
        <f>IF(IF(CB31=CB38,SUMIF(BI26:BI37,$BX31,BS26:BS37),SUMIF(BI26:BI37,$BX31,BN26:BN37))=0,NA(),IF(CB31=CB38,SUMIF(BI26:BI37,$BX31,BS26:BS37),SUMIF(BI26:BI37,$BX31,BN26:BN37)))</f>
        <v>#N/A</v>
      </c>
      <c r="CB31" s="730">
        <f t="shared" si="12"/>
        <v>23</v>
      </c>
      <c r="CC31" s="730">
        <f t="shared" si="10"/>
        <v>3</v>
      </c>
    </row>
    <row r="32" spans="2:81" ht="14.65" customHeight="1">
      <c r="B32" s="1662"/>
      <c r="C32" s="1663"/>
      <c r="D32" s="1663"/>
      <c r="E32" s="1663"/>
      <c r="F32" s="1663"/>
      <c r="G32" s="1663"/>
      <c r="H32" s="1663"/>
      <c r="I32" s="1663"/>
      <c r="J32" s="1663"/>
      <c r="K32" s="1663"/>
      <c r="L32" s="1663"/>
      <c r="M32" s="1663"/>
      <c r="N32" s="1663"/>
      <c r="O32" s="1663"/>
      <c r="P32" s="1663"/>
      <c r="Q32" s="1663"/>
      <c r="R32" s="1663"/>
      <c r="S32" s="1663"/>
      <c r="T32" s="1663"/>
      <c r="U32" s="1663"/>
      <c r="V32" s="1663"/>
      <c r="W32" s="1663"/>
      <c r="X32" s="1663"/>
      <c r="Y32" s="1663"/>
      <c r="Z32" s="1663"/>
      <c r="AA32" s="1663"/>
      <c r="AB32" s="1664"/>
      <c r="AC32"/>
      <c r="AD32"/>
      <c r="AE32" s="1662"/>
      <c r="AF32" s="1663"/>
      <c r="AG32" s="1663"/>
      <c r="AH32" s="1663"/>
      <c r="AI32" s="1663"/>
      <c r="AJ32" s="1663"/>
      <c r="AK32" s="1663"/>
      <c r="AL32" s="1663"/>
      <c r="AM32" s="1663"/>
      <c r="AN32" s="1663"/>
      <c r="AO32" s="1663"/>
      <c r="AP32" s="1663"/>
      <c r="AQ32" s="1663"/>
      <c r="AR32" s="1663"/>
      <c r="AS32" s="1663"/>
      <c r="AT32" s="1663"/>
      <c r="AU32" s="1663"/>
      <c r="AV32" s="1663"/>
      <c r="AW32" s="1663"/>
      <c r="AX32" s="1663"/>
      <c r="AY32" s="1663"/>
      <c r="AZ32" s="1663"/>
      <c r="BA32" s="1663"/>
      <c r="BB32" s="1663"/>
      <c r="BC32" s="1663"/>
      <c r="BD32" s="1663"/>
      <c r="BE32" s="1664"/>
      <c r="BI32" s="722" t="s">
        <v>327</v>
      </c>
      <c r="BJ32" s="722">
        <v>7</v>
      </c>
      <c r="BK32" s="722" t="s">
        <v>328</v>
      </c>
      <c r="BL32" s="744"/>
      <c r="BM32" s="804"/>
      <c r="BN32" s="739">
        <f t="shared" si="11"/>
        <v>0</v>
      </c>
      <c r="BO32" s="138">
        <f>IF(SUM(BM32:BM34)=0,0,SUM(BL32:BL34)/SUM(BM32:BM34))</f>
        <v>0</v>
      </c>
      <c r="BP32" s="736"/>
      <c r="BQ32" s="758"/>
      <c r="BR32" s="759"/>
      <c r="BS32" s="739"/>
      <c r="BT32" s="138">
        <f>IF(SUM(BR32:BR34)=0,0,SUM(BQ32:BQ34)/SUM(BR32:BR34))</f>
        <v>0</v>
      </c>
      <c r="BU32" s="736"/>
      <c r="BX32" s="666" t="str">
        <f t="shared" si="9"/>
        <v>Apr</v>
      </c>
      <c r="BY32" s="728">
        <f>IF(CB32=$CB38,SUMIF($BI26:$BI37,$BX32,$BR26:$BR37),SUMIF($BI26:$BI37,$BX32,$BM26:$BM37))</f>
        <v>0</v>
      </c>
      <c r="BZ32" s="736" t="e">
        <f>IF(IF(CB32=CB38,SUMIF(BI26:BI37,$BX32,BU26:BU37),SUMIF(BI26:BI37,$BX32,BP26:BP37))=0,NA(),IF(CB32=CB38,SUMIF(BI26:BI37,$BX32,BU26:BU37),SUMIF(BI26:BI37,$BX32,BP26:BP37)))</f>
        <v>#N/A</v>
      </c>
      <c r="CA32" s="739" t="e">
        <f>IF(IF(CB32=CB38,SUMIF(BI26:BI37,$BX32,BS26:BS37),SUMIF(BI26:BI37,$BX32,BN26:BN37))=0,NA(),IF(CB32=CB38,SUMIF(BI26:BI37,$BX32,BS26:BS37),SUMIF(BI26:BI37,$BX32,BN26:BN37)))</f>
        <v>#N/A</v>
      </c>
      <c r="CB32" s="730">
        <f t="shared" si="12"/>
        <v>23</v>
      </c>
      <c r="CC32" s="730">
        <f t="shared" si="10"/>
        <v>4</v>
      </c>
    </row>
    <row r="33" spans="1:81" ht="14.65" hidden="1" customHeight="1">
      <c r="BI33" s="722" t="s">
        <v>329</v>
      </c>
      <c r="BJ33" s="722">
        <v>8</v>
      </c>
      <c r="BK33" s="722" t="s">
        <v>328</v>
      </c>
      <c r="BL33" s="744"/>
      <c r="BM33" s="804"/>
      <c r="BN33" s="739">
        <f t="shared" si="11"/>
        <v>0</v>
      </c>
      <c r="BO33"/>
      <c r="BP33" s="736"/>
      <c r="BQ33" s="758"/>
      <c r="BR33" s="759"/>
      <c r="BS33" s="739"/>
      <c r="BT33"/>
      <c r="BU33" s="736"/>
      <c r="BX33" s="666" t="str">
        <f t="shared" si="9"/>
        <v>May</v>
      </c>
      <c r="BY33" s="728">
        <f>IF(CB33=$CB38,SUMIF($BI26:$BI37,$BX33,$BR26:$BR37),SUMIF($BI26:$BI37,$BX33,$BM26:$BM37))</f>
        <v>0</v>
      </c>
      <c r="BZ33" s="736" t="e">
        <f>IF(IF(CB33=CB38,SUMIF(BI26:BI37,$BX33,BU26:BU37),SUMIF(BI26:BI37,$BX33,BP26:BP37))=0,NA(),IF(CB33=CB38,SUMIF(BI26:BI37,$BX33,BU26:BU37),SUMIF(BI26:BI37,$BX33,BP26:BP37)))</f>
        <v>#N/A</v>
      </c>
      <c r="CA33" s="739" t="e">
        <f>IF(IF(CB33=CB38,SUMIF(BI26:BI37,$BX33,BS26:BS37),SUMIF(BI26:BI37,$BX33,BN26:BN37))=0,NA(),IF(CB33=CB38,SUMIF(BI26:BI37,$BX33,BS26:BS37),SUMIF(BI26:BI37,$BX33,BN26:BN37)))</f>
        <v>#N/A</v>
      </c>
      <c r="CB33" s="730">
        <f t="shared" si="12"/>
        <v>23</v>
      </c>
      <c r="CC33" s="730">
        <f t="shared" si="10"/>
        <v>5</v>
      </c>
    </row>
    <row r="34" spans="1:81" ht="14.65" hidden="1" customHeight="1">
      <c r="B34" s="45" t="s">
        <v>330</v>
      </c>
      <c r="C34" s="46"/>
      <c r="D34" s="46"/>
      <c r="E34" s="46"/>
      <c r="F34" s="46"/>
      <c r="G34" s="11"/>
      <c r="H34" s="11"/>
      <c r="I34" s="11"/>
      <c r="J34" s="11"/>
      <c r="K34" s="11"/>
      <c r="L34" s="48"/>
      <c r="M34" s="46"/>
      <c r="N34" s="46"/>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I34" s="722" t="s">
        <v>331</v>
      </c>
      <c r="BJ34" s="722">
        <v>9</v>
      </c>
      <c r="BK34" s="722" t="s">
        <v>328</v>
      </c>
      <c r="BL34" s="744"/>
      <c r="BM34" s="804"/>
      <c r="BN34" s="739">
        <f t="shared" si="11"/>
        <v>0</v>
      </c>
      <c r="BO34"/>
      <c r="BP34" s="736"/>
      <c r="BQ34" s="758"/>
      <c r="BR34" s="759"/>
      <c r="BS34" s="739"/>
      <c r="BT34"/>
      <c r="BU34" s="736"/>
      <c r="BX34" s="666" t="str">
        <f t="shared" si="9"/>
        <v>Jun</v>
      </c>
      <c r="BY34" s="728">
        <f>IF(CB34=$CB38,SUMIF($BI26:$BI37,$BX34,$BR26:$BR37),SUMIF($BI26:$BI37,$BX34,$BM26:$BM37))</f>
        <v>0</v>
      </c>
      <c r="BZ34" s="736" t="e">
        <f>IF(IF(CB34=CB38,SUMIF(BI26:BI37,$BX34,BU26:BU37),SUMIF(BI26:BI37,$BX34,BP26:BP37))=0,NA(),IF(CB34=CB38,SUMIF(BI26:BI37,$BX34,BU26:BU37),SUMIF(BI26:BI37,$BX34,BP26:BP37)))</f>
        <v>#N/A</v>
      </c>
      <c r="CA34" s="739" t="e">
        <f>IF(IF(CB34=CB38,SUMIF(BI26:BI37,$BX34,BS26:BS37),SUMIF(BI26:BI37,$BX34,BN26:BN37))=0,NA(),IF(CB34=CB38,SUMIF(BI26:BI37,$BX34,BS26:BS37),SUMIF(BI26:BI37,$BX34,BN26:BN37)))</f>
        <v>#N/A</v>
      </c>
      <c r="CB34" s="730">
        <f t="shared" si="12"/>
        <v>23</v>
      </c>
      <c r="CC34" s="730">
        <f t="shared" si="10"/>
        <v>6</v>
      </c>
    </row>
    <row r="35" spans="1:81" ht="46.9" hidden="1" customHeight="1">
      <c r="B35" s="1499" t="s">
        <v>332</v>
      </c>
      <c r="C35" s="1499"/>
      <c r="D35" s="1499"/>
      <c r="E35" s="1499"/>
      <c r="F35" s="1499"/>
      <c r="G35" s="1499"/>
      <c r="H35" s="1499"/>
      <c r="I35" s="1499"/>
      <c r="J35" s="1499"/>
      <c r="K35" s="1499" t="s">
        <v>658</v>
      </c>
      <c r="L35" s="1499"/>
      <c r="M35" s="1499"/>
      <c r="N35" s="1499"/>
      <c r="O35" s="1499"/>
      <c r="P35" s="1499"/>
      <c r="Q35" s="1500" t="s">
        <v>659</v>
      </c>
      <c r="R35" s="1500"/>
      <c r="S35" s="1500"/>
      <c r="T35" s="1499" t="s">
        <v>660</v>
      </c>
      <c r="U35" s="1499"/>
      <c r="V35" s="1499"/>
      <c r="W35" s="1499"/>
      <c r="X35" s="1499"/>
      <c r="Y35" s="1499"/>
      <c r="Z35" s="1499"/>
      <c r="AA35" s="1499"/>
      <c r="AB35" s="1499"/>
      <c r="AC35" s="1501" t="s">
        <v>365</v>
      </c>
      <c r="AD35" s="1502"/>
      <c r="AE35" s="1502"/>
      <c r="AF35" s="1502"/>
      <c r="AG35" s="1502"/>
      <c r="AH35" s="1502"/>
      <c r="AI35" s="1502"/>
      <c r="AJ35" s="1502"/>
      <c r="AK35" s="1502"/>
      <c r="AL35" s="1502"/>
      <c r="AM35" s="1502"/>
      <c r="AN35" s="1502"/>
      <c r="AO35" s="1502"/>
      <c r="AP35" s="1502"/>
      <c r="AQ35" s="1502"/>
      <c r="AR35" s="1502"/>
      <c r="AS35" s="1502"/>
      <c r="AT35" s="1502"/>
      <c r="AU35" s="1502"/>
      <c r="AV35" s="1502"/>
      <c r="AW35" s="1502"/>
      <c r="AX35" s="1502"/>
      <c r="AY35" s="1502"/>
      <c r="AZ35" s="1502"/>
      <c r="BA35" s="1502"/>
      <c r="BB35" s="1502"/>
      <c r="BC35" s="1502"/>
      <c r="BD35" s="1502"/>
      <c r="BE35" s="1503"/>
      <c r="BH35" s="160">
        <f>IF(Q38=0,4,IF(W38=0,0,IF(Q38="","",IF(W38&gt;=Q38,1,IF(W38&lt;Q38*0.9,3,2)))))</f>
        <v>4</v>
      </c>
      <c r="BI35" s="722" t="s">
        <v>337</v>
      </c>
      <c r="BJ35" s="722">
        <v>10</v>
      </c>
      <c r="BK35" s="722" t="s">
        <v>338</v>
      </c>
      <c r="BL35" s="744"/>
      <c r="BM35" s="804"/>
      <c r="BN35" s="739">
        <f t="shared" si="11"/>
        <v>0</v>
      </c>
      <c r="BO35" s="138">
        <f>IF(SUM(BM35:BM37)=0,0,SUM(BL35:BL37)/SUM(BM35:BM37))</f>
        <v>0</v>
      </c>
      <c r="BP35" s="736"/>
      <c r="BQ35" s="758"/>
      <c r="BR35" s="759"/>
      <c r="BS35" s="739"/>
      <c r="BT35" s="138">
        <f>IF(SUM(BR35:BR37)=0,0,SUM(BQ35:BQ37)/SUM(BR35:BR37))</f>
        <v>0</v>
      </c>
      <c r="BU35" s="736"/>
      <c r="BX35" s="666" t="str">
        <f t="shared" si="9"/>
        <v>Jul</v>
      </c>
      <c r="BY35" s="728">
        <f>IF(CB35=$CB38,SUMIF($BI26:$BI37,$BX35,$BR26:$BR37),SUMIF($BI26:$BI37,$BX35,$BM26:$BM37))</f>
        <v>0</v>
      </c>
      <c r="BZ35" s="736" t="e">
        <f>IF(IF(CB35=CB38,SUMIF(BI26:BI37,$BX35,BU26:BU37),SUMIF(BI26:BI37,$BX35,BP26:BP37))=0,NA(),IF(CB35=CB38,SUMIF(BI26:BI37,$BX35,BU26:BU37),SUMIF(BI26:BI37,$BX35,BP26:BP37)))</f>
        <v>#N/A</v>
      </c>
      <c r="CA35" s="739" t="e">
        <f>IF(IF(CB35=CB38,SUMIF(BI26:BI37,$BX35,BS26:BS37),SUMIF(BI26:BI37,$BX35,BN26:BN37))=0,NA(),IF(CB35=CB38,SUMIF(BI26:BI37,$BX35,BS26:BS37),SUMIF(BI26:BI37,$BX35,BN26:BN37)))</f>
        <v>#N/A</v>
      </c>
      <c r="CB35" s="730">
        <f t="shared" si="12"/>
        <v>23</v>
      </c>
      <c r="CC35" s="730">
        <f t="shared" si="10"/>
        <v>7</v>
      </c>
    </row>
    <row r="36" spans="1:81" ht="46.9" hidden="1" customHeight="1">
      <c r="B36" s="1499"/>
      <c r="C36" s="1499"/>
      <c r="D36" s="1499"/>
      <c r="E36" s="1499"/>
      <c r="F36" s="1499"/>
      <c r="G36" s="1499"/>
      <c r="H36" s="1499"/>
      <c r="I36" s="1499"/>
      <c r="J36" s="1499"/>
      <c r="K36" s="1499" t="s">
        <v>23</v>
      </c>
      <c r="L36" s="1499"/>
      <c r="M36" s="1499"/>
      <c r="N36" s="1499" t="s">
        <v>339</v>
      </c>
      <c r="O36" s="1499"/>
      <c r="P36" s="1499"/>
      <c r="Q36" s="1500"/>
      <c r="R36" s="1500"/>
      <c r="S36" s="1500"/>
      <c r="T36" s="1500" t="s">
        <v>340</v>
      </c>
      <c r="U36" s="1500"/>
      <c r="V36" s="1500"/>
      <c r="W36" s="1500" t="s">
        <v>341</v>
      </c>
      <c r="X36" s="1500"/>
      <c r="Y36" s="1500"/>
      <c r="Z36" s="1500" t="s">
        <v>342</v>
      </c>
      <c r="AA36" s="1500"/>
      <c r="AB36" s="1500"/>
      <c r="AC36" s="1504"/>
      <c r="AD36" s="1505"/>
      <c r="AE36" s="1505"/>
      <c r="AF36" s="1505"/>
      <c r="AG36" s="1505"/>
      <c r="AH36" s="1505"/>
      <c r="AI36" s="1505"/>
      <c r="AJ36" s="1505"/>
      <c r="AK36" s="1505"/>
      <c r="AL36" s="1505"/>
      <c r="AM36" s="1505"/>
      <c r="AN36" s="1505"/>
      <c r="AO36" s="1505"/>
      <c r="AP36" s="1505"/>
      <c r="AQ36" s="1505"/>
      <c r="AR36" s="1505"/>
      <c r="AS36" s="1505"/>
      <c r="AT36" s="1505"/>
      <c r="AU36" s="1505"/>
      <c r="AV36" s="1505"/>
      <c r="AW36" s="1505"/>
      <c r="AX36" s="1505"/>
      <c r="AY36" s="1505"/>
      <c r="AZ36" s="1505"/>
      <c r="BA36" s="1505"/>
      <c r="BB36" s="1505"/>
      <c r="BC36" s="1505"/>
      <c r="BD36" s="1505"/>
      <c r="BE36" s="1506"/>
      <c r="BH36" s="160">
        <f>IF(Q39=0,4,IF(W39=0,0,IF(Q39="","",IF(W39&lt;=Q39,1,IF(W39&gt;Q39*1.1,3,2)))))</f>
        <v>4</v>
      </c>
      <c r="BI36" s="722" t="s">
        <v>343</v>
      </c>
      <c r="BJ36" s="722">
        <v>11</v>
      </c>
      <c r="BK36" s="722" t="s">
        <v>338</v>
      </c>
      <c r="BL36" s="744"/>
      <c r="BM36" s="804"/>
      <c r="BN36" s="739">
        <f t="shared" si="11"/>
        <v>0</v>
      </c>
      <c r="BP36" s="736"/>
      <c r="BQ36" s="758"/>
      <c r="BR36" s="759"/>
      <c r="BS36" s="739"/>
      <c r="BU36" s="736"/>
      <c r="BX36" s="666" t="str">
        <f t="shared" si="9"/>
        <v>Aug</v>
      </c>
      <c r="BY36" s="728">
        <f>IF(CB36=$CB38,SUMIF($BI26:$BI37,$BX36,$BR26:$BR37),SUMIF($BI26:$BI37,$BX36,$BM26:$BM37))</f>
        <v>0</v>
      </c>
      <c r="BZ36" s="736" t="e">
        <f>IF(IF(CB36=CB38,SUMIF(BI26:BI37,$BX36,BU26:BU37),SUMIF(BI26:BI37,$BX36,BP26:BP37))=0,NA(),IF(CB36=CB38,SUMIF(BI26:BI37,$BX36,BU26:BU37),SUMIF(BI26:BI37,$BX36,BP26:BP37)))</f>
        <v>#N/A</v>
      </c>
      <c r="CA36" s="739" t="e">
        <f>IF(IF(CB36=CB38,SUMIF(BI26:BI37,$BX36,BS26:BS37),SUMIF(BI26:BI37,$BX36,BN26:BN37))=0,NA(),IF(CB36=CB38,SUMIF(BI26:BI37,$BX36,BS26:BS37),SUMIF(BI26:BI37,$BX36,BN26:BN37)))</f>
        <v>#N/A</v>
      </c>
      <c r="CB36" s="730">
        <f t="shared" si="12"/>
        <v>23</v>
      </c>
      <c r="CC36" s="730">
        <f t="shared" si="10"/>
        <v>8</v>
      </c>
    </row>
    <row r="37" spans="1:81" ht="46.9" hidden="1" customHeight="1">
      <c r="B37" s="1499"/>
      <c r="C37" s="1499"/>
      <c r="D37" s="1499"/>
      <c r="E37" s="1499"/>
      <c r="F37" s="1499"/>
      <c r="G37" s="1499"/>
      <c r="H37" s="1499"/>
      <c r="I37" s="1499"/>
      <c r="J37" s="1499"/>
      <c r="K37" s="1499"/>
      <c r="L37" s="1499"/>
      <c r="M37" s="1499"/>
      <c r="N37" s="1499"/>
      <c r="O37" s="1499"/>
      <c r="P37" s="1499"/>
      <c r="Q37" s="1500"/>
      <c r="R37" s="1500"/>
      <c r="S37" s="1500"/>
      <c r="T37" s="1500"/>
      <c r="U37" s="1500"/>
      <c r="V37" s="1500"/>
      <c r="W37" s="1500"/>
      <c r="X37" s="1500"/>
      <c r="Y37" s="1500"/>
      <c r="Z37" s="1500"/>
      <c r="AA37" s="1500"/>
      <c r="AB37" s="1500"/>
      <c r="AC37" s="1507"/>
      <c r="AD37" s="1508"/>
      <c r="AE37" s="1508"/>
      <c r="AF37" s="1508"/>
      <c r="AG37" s="1508"/>
      <c r="AH37" s="1508"/>
      <c r="AI37" s="1508"/>
      <c r="AJ37" s="1508"/>
      <c r="AK37" s="1508"/>
      <c r="AL37" s="1508"/>
      <c r="AM37" s="1508"/>
      <c r="AN37" s="1508"/>
      <c r="AO37" s="1508"/>
      <c r="AP37" s="1508"/>
      <c r="AQ37" s="1508"/>
      <c r="AR37" s="1508"/>
      <c r="AS37" s="1508"/>
      <c r="AT37" s="1508"/>
      <c r="AU37" s="1508"/>
      <c r="AV37" s="1508"/>
      <c r="AW37" s="1508"/>
      <c r="AX37" s="1508"/>
      <c r="AY37" s="1508"/>
      <c r="AZ37" s="1508"/>
      <c r="BA37" s="1508"/>
      <c r="BB37" s="1508"/>
      <c r="BC37" s="1508"/>
      <c r="BD37" s="1508"/>
      <c r="BE37" s="1509"/>
      <c r="BH37" s="160">
        <f>IF(Q40=0,4,IF(W40=0,0,IF(Q40="","",IF(W40&gt;=Q40,1,IF(W40&lt;Q40*0.9,3,2)))))</f>
        <v>4</v>
      </c>
      <c r="BI37" s="722" t="s">
        <v>344</v>
      </c>
      <c r="BJ37" s="722">
        <v>12</v>
      </c>
      <c r="BK37" s="722" t="s">
        <v>338</v>
      </c>
      <c r="BL37" s="744"/>
      <c r="BM37" s="804"/>
      <c r="BN37" s="739">
        <f t="shared" si="11"/>
        <v>0</v>
      </c>
      <c r="BP37" s="736"/>
      <c r="BQ37" s="758"/>
      <c r="BR37" s="759"/>
      <c r="BS37" s="739"/>
      <c r="BU37" s="736"/>
      <c r="BX37" s="666" t="str">
        <f t="shared" si="9"/>
        <v>Sep</v>
      </c>
      <c r="BY37" s="728">
        <f>IF(CB37=$CB38,SUMIF($BI26:$BI37,$BX37,$BR26:$BR37),SUMIF($BI26:$BI37,$BX37,$BM26:$BM37))</f>
        <v>0</v>
      </c>
      <c r="BZ37" s="736" t="e">
        <f>IF(IF(CB37=CB38,SUMIF(BI26:BI37,$BX37,BU26:BU37),SUMIF(BI26:BI37,$BX37,BP26:BP37))=0,NA(),IF(CB37=CB38,SUMIF(BI26:BI37,$BX37,BU26:BU37),SUMIF(BI26:BI37,$BX37,BP26:BP37)))</f>
        <v>#N/A</v>
      </c>
      <c r="CA37" s="739" t="e">
        <f>IF(IF(CB37=CB38,SUMIF(BI26:BI37,$BX37,BS26:BS37),SUMIF(BI26:BI37,$BX37,BN26:BN37))=0,NA(),IF(CB37=CB38,SUMIF(BI26:BI37,$BX37,BS26:BS37),SUMIF(BI26:BI37,$BX37,BN26:BN37)))</f>
        <v>#N/A</v>
      </c>
      <c r="CB37" s="730">
        <f>IF(CC37=9,CB38-1,CB38)</f>
        <v>23</v>
      </c>
      <c r="CC37" s="730">
        <f>IF(CC38-1&lt;1,CC38+11,CC38-1)</f>
        <v>9</v>
      </c>
    </row>
    <row r="38" spans="1:81" ht="46.9" hidden="1" customHeight="1">
      <c r="B38" s="1614"/>
      <c r="C38" s="1614"/>
      <c r="D38" s="1614"/>
      <c r="E38" s="1614"/>
      <c r="F38" s="1614"/>
      <c r="G38" s="1614"/>
      <c r="H38" s="1614"/>
      <c r="I38" s="1614"/>
      <c r="J38" s="1614"/>
      <c r="K38" s="1608">
        <f>SUMIF(HRT!$BJ$26:$BJ$37,Cover!$M$36,HRT!$BN$26:$BN$37)</f>
        <v>0</v>
      </c>
      <c r="L38" s="1608"/>
      <c r="M38" s="1608"/>
      <c r="N38" s="1608">
        <f>SUMIF(HRT!$BK$26:$BK$37,Cover!$M$35,HRT!$BO$26:$BO$37)</f>
        <v>0</v>
      </c>
      <c r="O38" s="1608"/>
      <c r="P38" s="1608"/>
      <c r="Q38" s="1821">
        <f>SUMIF(HRT!$BJ$26:$BJ$37,Cover!$M$36,HRT!$BU$26:$BU$37)</f>
        <v>0</v>
      </c>
      <c r="R38" s="1825"/>
      <c r="S38" s="1825"/>
      <c r="T38" s="1608">
        <f>IF(Cover!$M$36=1,SUMIF($BJ$26:$BJ$37,12,$BN$26:$BN$37),SUMIF(HRT!$BJ$26:$BJ$37,Cover!$M$36-1,HRT!$BS$26:$BS$37))</f>
        <v>0</v>
      </c>
      <c r="U38" s="1608"/>
      <c r="V38" s="1608"/>
      <c r="W38" s="1608">
        <f>SUMIF(HRT!$BJ$26:$BJ$37,Cover!$M$36,HRT!$BS$26:$BS$37)</f>
        <v>0</v>
      </c>
      <c r="X38" s="1608"/>
      <c r="Y38" s="1608"/>
      <c r="Z38" s="1608">
        <f>SUMIF(HRT!$BK$26:$BK$37,Cover!$M$35,HRT!$BT$26:$BT$37)</f>
        <v>0</v>
      </c>
      <c r="AA38" s="1608"/>
      <c r="AB38" s="1608"/>
      <c r="AC38" s="1803"/>
      <c r="AD38" s="1804"/>
      <c r="AE38" s="1804"/>
      <c r="AF38" s="1804"/>
      <c r="AG38" s="1804"/>
      <c r="AH38" s="1804"/>
      <c r="AI38" s="1804"/>
      <c r="AJ38" s="1804"/>
      <c r="AK38" s="1804"/>
      <c r="AL38" s="1804"/>
      <c r="AM38" s="1804"/>
      <c r="AN38" s="1804"/>
      <c r="AO38" s="1804"/>
      <c r="AP38" s="1804"/>
      <c r="AQ38" s="1804"/>
      <c r="AR38" s="1804"/>
      <c r="AS38" s="1804"/>
      <c r="AT38" s="1804"/>
      <c r="AU38" s="1804"/>
      <c r="AV38" s="1804"/>
      <c r="AW38" s="1804"/>
      <c r="AX38" s="1804"/>
      <c r="AY38" s="1804"/>
      <c r="AZ38" s="1804"/>
      <c r="BA38" s="1804"/>
      <c r="BB38" s="1804"/>
      <c r="BC38" s="1804"/>
      <c r="BD38" s="1804"/>
      <c r="BE38" s="1805"/>
      <c r="BH38" s="160">
        <f>IF(Q41=0,4,IF(W41=0,0,IF(Q41="","",IF(W41&gt;=Q41,1,IF(W41&lt;Q41*0.9,3,2)))))</f>
        <v>4</v>
      </c>
      <c r="BW38" s="667" t="str">
        <f>Cover!$M$34</f>
        <v>OCT FY-24</v>
      </c>
      <c r="BX38" s="666" t="str">
        <f>TEXT(CONCATENATE(CC38,"/01/20",CB38),"MMM")</f>
        <v>Oct</v>
      </c>
      <c r="BY38" s="728">
        <f>SUMIF($BI26:$BI37,$BX38,$BR26:$BR37)</f>
        <v>0</v>
      </c>
      <c r="BZ38" s="736" t="e">
        <f>IF(IF(CB38=CB38,SUMIF(BI26:BI37,$BX38,BU26:BU37),SUMIF(BI26:BI37,$BX38,BP26:BP37))=0,NA(),IF(CB38=CB38,SUMIF(BI26:BI37,$BX38,BU26:BU37),SUMIF(BI26:BI37,$BX38,BP26:BP37)))</f>
        <v>#N/A</v>
      </c>
      <c r="CA38" s="739" t="e">
        <f>IF(SUMIF($BI26:$BI37,$BX38,$BS26:$BS37)=0,NA(),SUMIF($BI26:$BI37,$BX38,$BS26:$BS37))</f>
        <v>#N/A</v>
      </c>
      <c r="CB38" s="730" t="str">
        <f>RIGHT(BW38,2)</f>
        <v>24</v>
      </c>
      <c r="CC38" s="730">
        <f>MONTH(DATEVALUE(LEFT(BW38,3)&amp;" 1"))</f>
        <v>10</v>
      </c>
    </row>
    <row r="39" spans="1:81" ht="46.9" hidden="1" customHeight="1">
      <c r="B39" s="1541"/>
      <c r="C39" s="1542"/>
      <c r="D39" s="1542"/>
      <c r="E39" s="1542"/>
      <c r="F39" s="1542"/>
      <c r="G39" s="1542"/>
      <c r="H39" s="1542"/>
      <c r="I39" s="1542"/>
      <c r="J39" s="1542"/>
      <c r="K39" s="1640">
        <f>SUMIF(HRT!$BJ$45:$BJ$56,Cover!$M$36,HRT!$BN$45:$BN$56)</f>
        <v>0</v>
      </c>
      <c r="L39" s="1640"/>
      <c r="M39" s="1640"/>
      <c r="N39" s="1640">
        <f>SUMIF(HRT!$BK$45:$BK$56,Cover!$M$35,HRT!$BO$45:$BO$56)</f>
        <v>0</v>
      </c>
      <c r="O39" s="1640"/>
      <c r="P39" s="1640"/>
      <c r="Q39" s="1824">
        <f>SUMIF(HRT!$BJ$45:$BJ$56,Cover!$M$36,HRT!$BU$45:$BU$56)</f>
        <v>0</v>
      </c>
      <c r="R39" s="1824"/>
      <c r="S39" s="1824"/>
      <c r="T39" s="1640">
        <f>IF(Cover!$M$36=1,SUMIF($BJ$45:$BJ$56,12,$BN$45:$BN$56),SUMIF(HRT!$BJ$45:$BJ$56,Cover!$M$36-1,HRT!$BS$45:$BS$56))</f>
        <v>0</v>
      </c>
      <c r="U39" s="1640"/>
      <c r="V39" s="1640"/>
      <c r="W39" s="1640">
        <f>SUMIF(HRT!$BJ$45:$BJ$56,Cover!$M$36,HRT!$BS$45:$BS$56)</f>
        <v>0</v>
      </c>
      <c r="X39" s="1640"/>
      <c r="Y39" s="1640"/>
      <c r="Z39" s="1640">
        <f>SUMIF(HRT!$BK$45:$BK$56,Cover!$M$35,HRT!$BT$45:$BT$56)</f>
        <v>0</v>
      </c>
      <c r="AA39" s="1640"/>
      <c r="AB39" s="1640"/>
      <c r="AC39" s="1812"/>
      <c r="AD39" s="1813"/>
      <c r="AE39" s="1813"/>
      <c r="AF39" s="1813"/>
      <c r="AG39" s="1813"/>
      <c r="AH39" s="1813"/>
      <c r="AI39" s="1813"/>
      <c r="AJ39" s="1813"/>
      <c r="AK39" s="1813"/>
      <c r="AL39" s="1813"/>
      <c r="AM39" s="1813"/>
      <c r="AN39" s="1813"/>
      <c r="AO39" s="1813"/>
      <c r="AP39" s="1813"/>
      <c r="AQ39" s="1813"/>
      <c r="AR39" s="1813"/>
      <c r="AS39" s="1813"/>
      <c r="AT39" s="1813"/>
      <c r="AU39" s="1813"/>
      <c r="AV39" s="1813"/>
      <c r="AW39" s="1813"/>
      <c r="AX39" s="1813"/>
      <c r="AY39" s="1813"/>
      <c r="AZ39" s="1813"/>
      <c r="BA39" s="1813"/>
      <c r="BB39" s="1813"/>
      <c r="BC39" s="1813"/>
      <c r="BD39" s="1813"/>
      <c r="BE39" s="1814"/>
      <c r="BH39" s="160">
        <f>IF(Q42=0,4,IF(W42=0,0,IF(Q42="","",IF(W42&lt;=Q42,1,IF(W42&gt;Q42*1.1,3,2)))))</f>
        <v>4</v>
      </c>
      <c r="BI39" s="6"/>
      <c r="BJ39" s="6"/>
      <c r="BK39" s="6"/>
      <c r="BL39" s="6"/>
      <c r="BM39" s="6"/>
      <c r="BN39" s="6"/>
      <c r="BO39" s="6"/>
      <c r="BP39" s="6"/>
      <c r="BQ39" s="6"/>
      <c r="BR39" s="6"/>
      <c r="BS39" s="6"/>
      <c r="BT39" s="6"/>
      <c r="BU39" s="6"/>
      <c r="BV39" s="6"/>
    </row>
    <row r="40" spans="1:81" customFormat="1" ht="46.9" hidden="1" customHeight="1">
      <c r="A40" s="6"/>
      <c r="B40" s="1614"/>
      <c r="C40" s="1618"/>
      <c r="D40" s="1618"/>
      <c r="E40" s="1618"/>
      <c r="F40" s="1618"/>
      <c r="G40" s="1618"/>
      <c r="H40" s="1618"/>
      <c r="I40" s="1618"/>
      <c r="J40" s="1618"/>
      <c r="K40" s="1823">
        <f>SUMIF(HRT!$BJ$64:$BJ$75,Cover!$M$36,HRT!$BN$64:$BN$75)</f>
        <v>0</v>
      </c>
      <c r="L40" s="1823"/>
      <c r="M40" s="1823"/>
      <c r="N40" s="1608">
        <f>SUMIF(HRT!$BK$64:$BK$75,Cover!$M$35,HRT!$BO$64:$BO$75)</f>
        <v>0</v>
      </c>
      <c r="O40" s="1608"/>
      <c r="P40" s="1608"/>
      <c r="Q40" s="1821">
        <f>SUMIF(HRT!$BJ$64:$BJ$75,Cover!$M$36,HRT!$BU$64:$BU$75)</f>
        <v>0</v>
      </c>
      <c r="R40" s="1821"/>
      <c r="S40" s="1821"/>
      <c r="T40" s="1823">
        <f>IF(Cover!$M$36=1,SUMIF($BJ$64:$BJ$75,12,$BN$64:$BN$75),SUMIF(HRT!$BJ$64:$BJ$75,Cover!$M$36-1,HRT!$BS$64:$BS$75))</f>
        <v>0</v>
      </c>
      <c r="U40" s="1823"/>
      <c r="V40" s="1823"/>
      <c r="W40" s="1823">
        <f>SUMIF(HRT!$BJ$64:$BJ$75,Cover!$M$36,HRT!$BS$64:$BS$75)</f>
        <v>0</v>
      </c>
      <c r="X40" s="1823"/>
      <c r="Y40" s="1823"/>
      <c r="Z40" s="1823">
        <f>SUMIF(HRT!$BK$64:$BK$75,Cover!$M$35,HRT!$BT$64:$BT$75)</f>
        <v>0</v>
      </c>
      <c r="AA40" s="1823"/>
      <c r="AB40" s="1823"/>
      <c r="AC40" s="1803"/>
      <c r="AD40" s="1804"/>
      <c r="AE40" s="1804"/>
      <c r="AF40" s="1804"/>
      <c r="AG40" s="1804"/>
      <c r="AH40" s="1804"/>
      <c r="AI40" s="1804"/>
      <c r="AJ40" s="1804"/>
      <c r="AK40" s="1804"/>
      <c r="AL40" s="1804"/>
      <c r="AM40" s="1804"/>
      <c r="AN40" s="1804"/>
      <c r="AO40" s="1804"/>
      <c r="AP40" s="1804"/>
      <c r="AQ40" s="1804"/>
      <c r="AR40" s="1804"/>
      <c r="AS40" s="1804"/>
      <c r="AT40" s="1804"/>
      <c r="AU40" s="1804"/>
      <c r="AV40" s="1804"/>
      <c r="AW40" s="1804"/>
      <c r="AX40" s="1804"/>
      <c r="AY40" s="1804"/>
      <c r="AZ40" s="1804"/>
      <c r="BA40" s="1804"/>
      <c r="BB40" s="1804"/>
      <c r="BC40" s="1804"/>
      <c r="BD40" s="1804"/>
      <c r="BE40" s="1805"/>
      <c r="BF40" s="6"/>
      <c r="BH40" s="160">
        <f>IF(Q43=0,4,IF(W43=0,0,IF(Q43="","",IF(W43&lt;=Q43,1,IF(W43&gt;Q43*1.1,3,2)))))</f>
        <v>4</v>
      </c>
      <c r="BI40" s="1" t="s">
        <v>292</v>
      </c>
      <c r="BJ40" s="1526"/>
      <c r="BK40" s="1526"/>
      <c r="BL40" s="1526"/>
      <c r="BM40" s="1526"/>
      <c r="BN40" s="1526"/>
      <c r="BO40" s="1526"/>
      <c r="BP40" s="1526"/>
      <c r="BQ40" s="1526"/>
      <c r="BR40" s="1526"/>
      <c r="BS40" s="1526"/>
      <c r="BT40" s="1526"/>
      <c r="BU40" s="1526"/>
      <c r="BW40" s="6"/>
      <c r="BX40" s="6"/>
    </row>
    <row r="41" spans="1:81" ht="46.9" hidden="1" customHeight="1">
      <c r="B41" s="1541"/>
      <c r="C41" s="1542"/>
      <c r="D41" s="1542"/>
      <c r="E41" s="1542"/>
      <c r="F41" s="1542"/>
      <c r="G41" s="1542"/>
      <c r="H41" s="1542"/>
      <c r="I41" s="1542"/>
      <c r="J41" s="1542"/>
      <c r="K41" s="1608">
        <f>SUMIF(HRT!$BJ$83:$BJ$94,Cover!$M$36,HRT!$BN$83:$BN$94)</f>
        <v>0</v>
      </c>
      <c r="L41" s="1608"/>
      <c r="M41" s="1608"/>
      <c r="N41" s="1608">
        <f>SUMIF(HRT!$BK$83:$BK$94,Cover!$M$35,HRT!$BO$83:$BO$94)</f>
        <v>0</v>
      </c>
      <c r="O41" s="1608"/>
      <c r="P41" s="1608"/>
      <c r="Q41" s="1822">
        <f>SUMIF(HRT!$BJ$83:$BJ$94,Cover!$M$36,HRT!$BU$83:$BU$94)</f>
        <v>0</v>
      </c>
      <c r="R41" s="1822"/>
      <c r="S41" s="1822"/>
      <c r="T41" s="1608">
        <f>IF(Cover!$M$36=1,SUMIF($BJ$83:$BJ$94,12,$BN$83:$BN$94),SUMIF(HRT!$BJ$83:$BJ$94,Cover!$M$36-1,HRT!$BS$83:$BS$94))</f>
        <v>0</v>
      </c>
      <c r="U41" s="1608"/>
      <c r="V41" s="1608"/>
      <c r="W41" s="1608">
        <f>SUMIF(HRT!$BJ$83:$BJ$94,Cover!$M$36,HRT!$BS$83:$BS$94)</f>
        <v>0</v>
      </c>
      <c r="X41" s="1608"/>
      <c r="Y41" s="1608"/>
      <c r="Z41" s="1608">
        <f>SUMIF(HRT!$BK$83:$BK$94,Cover!$M$35,HRT!$BT$83:$BT$94)</f>
        <v>0</v>
      </c>
      <c r="AA41" s="1608"/>
      <c r="AB41" s="1608"/>
      <c r="AC41" s="1812"/>
      <c r="AD41" s="1813"/>
      <c r="AE41" s="1813"/>
      <c r="AF41" s="1813"/>
      <c r="AG41" s="1813"/>
      <c r="AH41" s="1813"/>
      <c r="AI41" s="1813"/>
      <c r="AJ41" s="1813"/>
      <c r="AK41" s="1813"/>
      <c r="AL41" s="1813"/>
      <c r="AM41" s="1813"/>
      <c r="AN41" s="1813"/>
      <c r="AO41" s="1813"/>
      <c r="AP41" s="1813"/>
      <c r="AQ41" s="1813"/>
      <c r="AR41" s="1813"/>
      <c r="AS41" s="1813"/>
      <c r="AT41" s="1813"/>
      <c r="AU41" s="1813"/>
      <c r="AV41" s="1813"/>
      <c r="AW41" s="1813"/>
      <c r="AX41" s="1813"/>
      <c r="AY41" s="1813"/>
      <c r="AZ41" s="1813"/>
      <c r="BA41" s="1813"/>
      <c r="BB41" s="1813"/>
      <c r="BC41" s="1813"/>
      <c r="BD41" s="1813"/>
      <c r="BE41" s="1814"/>
      <c r="BI41" s="54" t="s">
        <v>296</v>
      </c>
      <c r="BJ41" s="166"/>
      <c r="BK41" s="166"/>
      <c r="BL41" s="166"/>
      <c r="BM41" s="166"/>
      <c r="BN41" s="166"/>
      <c r="BO41" s="166"/>
      <c r="BP41" s="166"/>
      <c r="BQ41" s="166"/>
      <c r="BR41" s="166"/>
      <c r="BS41" s="166"/>
      <c r="BT41" s="166"/>
      <c r="BU41" s="166"/>
      <c r="BW41"/>
      <c r="BX41"/>
    </row>
    <row r="42" spans="1:81" customFormat="1" ht="14.65" hidden="1" customHeight="1" thickBot="1">
      <c r="B42" s="1614"/>
      <c r="C42" s="1618"/>
      <c r="D42" s="1618"/>
      <c r="E42" s="1618"/>
      <c r="F42" s="1618"/>
      <c r="G42" s="1618"/>
      <c r="H42" s="1618"/>
      <c r="I42" s="1618"/>
      <c r="J42" s="1618"/>
      <c r="K42" s="1819">
        <f>SUMIF(HRT!$BJ$102:$BJ$113,Cover!$M$36,HRT!$BN$102:$BN$113)</f>
        <v>0</v>
      </c>
      <c r="L42" s="1819"/>
      <c r="M42" s="1819"/>
      <c r="N42" s="1819">
        <f>SUMIF(HRT!$BK$102:$BK$113,Cover!$M$35,HRT!$BO$102:$BO$113)</f>
        <v>0</v>
      </c>
      <c r="O42" s="1819"/>
      <c r="P42" s="1819"/>
      <c r="Q42" s="1821">
        <f>SUMIF(HRT!$BJ$102:$BJ$113,Cover!$M$36,HRT!$BU$102:$BU$113)</f>
        <v>0</v>
      </c>
      <c r="R42" s="1821"/>
      <c r="S42" s="1821"/>
      <c r="T42" s="1819">
        <f>IF(Cover!$M$36=1,SUMIF($BJ$102:$BJ$113,12,$BN$102:$BN$113),SUMIF(HRT!$BJ$102:$BJ$113,Cover!$M$36-1,HRT!$BS$102:$BS$113))</f>
        <v>0</v>
      </c>
      <c r="U42" s="1819"/>
      <c r="V42" s="1819"/>
      <c r="W42" s="1819">
        <f>SUMIF(HRT!$BJ$102:$BJ$113,Cover!$M$36,HRT!$BS$102:$BS$113)</f>
        <v>0</v>
      </c>
      <c r="X42" s="1819"/>
      <c r="Y42" s="1819"/>
      <c r="Z42" s="1819">
        <f>SUMIF(HRT!$BK$102:$BK$113,Cover!$M$35,HRT!$BT$102:$BT$113)</f>
        <v>0</v>
      </c>
      <c r="AA42" s="1819"/>
      <c r="AB42" s="1819"/>
      <c r="AC42" s="1803"/>
      <c r="AD42" s="1804"/>
      <c r="AE42" s="1804"/>
      <c r="AF42" s="1804"/>
      <c r="AG42" s="1804"/>
      <c r="AH42" s="1804"/>
      <c r="AI42" s="1804"/>
      <c r="AJ42" s="1804"/>
      <c r="AK42" s="1804"/>
      <c r="AL42" s="1804"/>
      <c r="AM42" s="1804"/>
      <c r="AN42" s="1804"/>
      <c r="AO42" s="1804"/>
      <c r="AP42" s="1804"/>
      <c r="AQ42" s="1804"/>
      <c r="AR42" s="1804"/>
      <c r="AS42" s="1804"/>
      <c r="AT42" s="1804"/>
      <c r="AU42" s="1804"/>
      <c r="AV42" s="1804"/>
      <c r="AW42" s="1804"/>
      <c r="AX42" s="1804"/>
      <c r="AY42" s="1804"/>
      <c r="AZ42" s="1804"/>
      <c r="BA42" s="1804"/>
      <c r="BB42" s="1804"/>
      <c r="BC42" s="1804"/>
      <c r="BD42" s="1804"/>
      <c r="BE42" s="1805"/>
      <c r="BI42" s="1" t="s">
        <v>300</v>
      </c>
      <c r="BJ42" s="166"/>
      <c r="BK42" s="166"/>
      <c r="BL42" s="166"/>
      <c r="BM42" s="166"/>
      <c r="BN42" s="166"/>
      <c r="BO42" s="166"/>
      <c r="BP42" s="166"/>
      <c r="BQ42" s="166"/>
      <c r="BR42" s="166"/>
      <c r="BS42" s="166"/>
      <c r="BT42" s="166"/>
      <c r="BU42" s="166"/>
      <c r="BW42" s="6"/>
      <c r="BX42" s="6"/>
    </row>
    <row r="43" spans="1:81" ht="14.65" hidden="1" customHeight="1" thickBot="1">
      <c r="B43" s="1541"/>
      <c r="C43" s="1542"/>
      <c r="D43" s="1542"/>
      <c r="E43" s="1542"/>
      <c r="F43" s="1542"/>
      <c r="G43" s="1542"/>
      <c r="H43" s="1542"/>
      <c r="I43" s="1542"/>
      <c r="J43" s="1542"/>
      <c r="K43" s="1819">
        <f>SUMIF(HRT!$BJ$121:$BJ$132,Cover!$M$36,HRT!$BN$121:$BN$132)</f>
        <v>0</v>
      </c>
      <c r="L43" s="1819"/>
      <c r="M43" s="1819"/>
      <c r="N43" s="1819">
        <f>SUMIF(HRT!$BK$121:$BK$132,Cover!$M$35,HRT!$BO$121:$BO$132)</f>
        <v>0</v>
      </c>
      <c r="O43" s="1819"/>
      <c r="P43" s="1819"/>
      <c r="Q43" s="1820">
        <f>SUMIF(HRT!$BJ$121:$BJ$132,Cover!$M$36,HRT!$BU$121:$BU$132)</f>
        <v>0</v>
      </c>
      <c r="R43" s="1820"/>
      <c r="S43" s="1820"/>
      <c r="T43" s="1819">
        <f>IF(Cover!$M$36=1,SUMIF($BJ$121:$BJ$132,12,$BN$121:$BN$132),SUMIF(HRT!$BJ$121:$BJ$132,Cover!$M$36-1,HRT!$BS$121:$BS$132))</f>
        <v>0</v>
      </c>
      <c r="U43" s="1819"/>
      <c r="V43" s="1819"/>
      <c r="W43" s="1819">
        <f>SUMIF(HRT!$BJ$121:$BJ$132,Cover!$M$36,HRT!$BS$121:$BS$132)</f>
        <v>0</v>
      </c>
      <c r="X43" s="1819"/>
      <c r="Y43" s="1819"/>
      <c r="Z43" s="1819">
        <f>SUMIF(HRT!$BK$121:$BK$132,Cover!$M$35,HRT!$BT$121:$BT$132)</f>
        <v>0</v>
      </c>
      <c r="AA43" s="1819"/>
      <c r="AB43" s="1819"/>
      <c r="AC43" s="1812"/>
      <c r="AD43" s="1813"/>
      <c r="AE43" s="1813"/>
      <c r="AF43" s="1813"/>
      <c r="AG43" s="1813"/>
      <c r="AH43" s="1813"/>
      <c r="AI43" s="1813"/>
      <c r="AJ43" s="1813"/>
      <c r="AK43" s="1813"/>
      <c r="AL43" s="1813"/>
      <c r="AM43" s="1813"/>
      <c r="AN43" s="1813"/>
      <c r="AO43" s="1813"/>
      <c r="AP43" s="1813"/>
      <c r="AQ43" s="1813"/>
      <c r="AR43" s="1813"/>
      <c r="AS43" s="1813"/>
      <c r="AT43" s="1813"/>
      <c r="AU43" s="1813"/>
      <c r="AV43" s="1813"/>
      <c r="AW43" s="1813"/>
      <c r="AX43" s="1813"/>
      <c r="AY43" s="1813"/>
      <c r="AZ43" s="1813"/>
      <c r="BA43" s="1813"/>
      <c r="BB43" s="1813"/>
      <c r="BC43" s="1813"/>
      <c r="BD43" s="1813"/>
      <c r="BE43" s="1814"/>
      <c r="BI43" s="2"/>
      <c r="BL43" s="1490" t="s">
        <v>661</v>
      </c>
      <c r="BM43" s="1491"/>
      <c r="BN43" s="1491"/>
      <c r="BO43" s="1491"/>
      <c r="BP43" s="1521"/>
      <c r="BQ43" s="1490" t="s">
        <v>662</v>
      </c>
      <c r="BR43" s="1491"/>
      <c r="BS43" s="1491"/>
      <c r="BT43" s="1491"/>
      <c r="BU43" s="1492"/>
      <c r="BW43" s="1490" t="s">
        <v>303</v>
      </c>
      <c r="BX43" s="1491"/>
      <c r="BY43" s="1491"/>
      <c r="BZ43" s="1491"/>
      <c r="CA43" s="1491"/>
      <c r="CB43" s="1491"/>
      <c r="CC43" s="1492"/>
    </row>
    <row r="44" spans="1:81" ht="14.65" hidden="1" customHeight="1">
      <c r="A44"/>
      <c r="B44" s="49"/>
      <c r="C44" s="50"/>
      <c r="D44" s="50"/>
      <c r="E44" s="50"/>
      <c r="F44" s="50"/>
      <c r="G44" s="50"/>
      <c r="H44" s="50"/>
      <c r="I44" s="50"/>
      <c r="J44" s="50"/>
      <c r="K44" s="50"/>
      <c r="L44" s="50"/>
      <c r="M44" s="50"/>
      <c r="N44" s="50"/>
      <c r="O44" s="50"/>
      <c r="P44" s="50"/>
      <c r="Q44" s="50"/>
      <c r="R44" s="50"/>
      <c r="S44" s="50"/>
      <c r="T44" s="50"/>
      <c r="U44" s="50"/>
      <c r="V44" s="50"/>
      <c r="W44" s="50"/>
      <c r="X44" s="50"/>
      <c r="Y44" s="50"/>
      <c r="Z44" s="50"/>
      <c r="AA44" s="50"/>
      <c r="AB44" s="50"/>
      <c r="AC44" s="50"/>
      <c r="AD44" s="50"/>
      <c r="AE44" s="50"/>
      <c r="AF44" s="50"/>
      <c r="AG44" s="50"/>
      <c r="AH44" s="50"/>
      <c r="AI44" s="50"/>
      <c r="AJ44" s="50"/>
      <c r="AK44" s="50"/>
      <c r="AL44" s="50"/>
      <c r="AM44" s="50"/>
      <c r="AN44" s="50"/>
      <c r="AO44" s="50"/>
      <c r="AP44" s="50"/>
      <c r="AQ44" s="50"/>
      <c r="AR44" s="50"/>
      <c r="AS44" s="50"/>
      <c r="AT44" s="50"/>
      <c r="AU44" s="50"/>
      <c r="AV44" s="50"/>
      <c r="AW44" s="50"/>
      <c r="AX44" s="50"/>
      <c r="AY44" s="50"/>
      <c r="AZ44" s="50"/>
      <c r="BA44" s="50"/>
      <c r="BB44" s="50"/>
      <c r="BC44" s="50"/>
      <c r="BD44" s="50"/>
      <c r="BE44" s="51"/>
      <c r="BF44"/>
      <c r="BI44" s="720" t="s">
        <v>23</v>
      </c>
      <c r="BJ44" s="720" t="s">
        <v>37</v>
      </c>
      <c r="BK44" s="720" t="s">
        <v>304</v>
      </c>
      <c r="BL44" s="721" t="s">
        <v>305</v>
      </c>
      <c r="BM44" s="721" t="s">
        <v>306</v>
      </c>
      <c r="BN44" s="721" t="s">
        <v>663</v>
      </c>
      <c r="BO44" s="135" t="s">
        <v>664</v>
      </c>
      <c r="BP44" s="721" t="s">
        <v>665</v>
      </c>
      <c r="BQ44" s="721" t="s">
        <v>305</v>
      </c>
      <c r="BR44" s="721" t="s">
        <v>666</v>
      </c>
      <c r="BS44" s="721" t="s">
        <v>667</v>
      </c>
      <c r="BT44" s="135" t="s">
        <v>668</v>
      </c>
      <c r="BU44" s="721" t="s">
        <v>669</v>
      </c>
      <c r="BW44" s="164" t="s">
        <v>314</v>
      </c>
      <c r="BX44" s="164" t="s">
        <v>23</v>
      </c>
      <c r="BY44" s="164" t="s">
        <v>315</v>
      </c>
      <c r="BZ44" s="164" t="s">
        <v>122</v>
      </c>
      <c r="CA44" s="164" t="s">
        <v>316</v>
      </c>
      <c r="CB44" s="164" t="s">
        <v>317</v>
      </c>
      <c r="CC44" s="164" t="s">
        <v>318</v>
      </c>
    </row>
    <row r="45" spans="1:81" ht="14.65" hidden="1"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I45" s="722" t="s">
        <v>319</v>
      </c>
      <c r="BJ45" s="722">
        <v>1</v>
      </c>
      <c r="BK45" s="722" t="s">
        <v>320</v>
      </c>
      <c r="BL45" s="744"/>
      <c r="BM45" s="744"/>
      <c r="BN45" s="736">
        <f>IF(BM45=0,0,BL45/BM45)</f>
        <v>0</v>
      </c>
      <c r="BO45" s="138">
        <f>IF(SUM(BM45:BM47=0),0,SUM(BL45:BL47)/SUM(BM45:BM47))</f>
        <v>0</v>
      </c>
      <c r="BP45" s="736"/>
      <c r="BQ45" s="758"/>
      <c r="BR45" s="758"/>
      <c r="BS45" s="736">
        <f>IF(BR45=0,0,BQ45/BR45)</f>
        <v>0</v>
      </c>
      <c r="BT45" s="138">
        <f>IF(SUM(BR45:BR47=0),0,SUM(BQ45:BQ47)/SUM(BR45:BR47))</f>
        <v>0</v>
      </c>
      <c r="BU45" s="736"/>
      <c r="BX45" s="666" t="str">
        <f t="shared" ref="BX45:BX56" si="13">TEXT(CONCATENATE(CC45,"/01/20",CB45),"MMM")</f>
        <v>Oct</v>
      </c>
      <c r="BY45" s="728">
        <f>IF(CB45=$CB57,SUMIF($BI45:$BI56,$BX45,$BR45:$BR56),SUMIF($BI45:$BI56,$BX45,$BM45:$BM56))</f>
        <v>0</v>
      </c>
      <c r="BZ45" s="736" t="e">
        <f>IF(IF(CB45=CB57,SUMIF(BI45:BI56,$BX45,BU45:BU56),SUMIF(BI45:BI56,$BX45,BP45:BP56))=0,NA(),IF(CB45=CB57,SUMIF(BI45:BI56,$BX45,BU45:BU56),SUMIF(BI45:BI56,$BX45,BP45:BP56)))</f>
        <v>#N/A</v>
      </c>
      <c r="CA45" s="739" t="e">
        <f>IF(IF(CB45=CB57,SUMIF(BI45:BI56,$BX45,BS45:BS56),SUMIF(BI45:BI56,$BX45,BN45:BN56))=0,NA(),IF(CB45=CB57,SUMIF(BI45:BI56,$BX45,BS45:BS56),SUMIF(BI45:BI56,$BX45,BN45:BN56)))</f>
        <v>#N/A</v>
      </c>
      <c r="CB45" s="730">
        <f t="shared" ref="CB45:CB55" si="14">IF(CC45=9,CB46-1,CB46)</f>
        <v>23</v>
      </c>
      <c r="CC45" s="730">
        <f t="shared" ref="CC45:CC55" si="15">IF(CC46-1&lt;1,CC46+11,CC46-1)</f>
        <v>10</v>
      </c>
    </row>
    <row r="46" spans="1:81" ht="14.65" hidden="1" customHeight="1">
      <c r="B46" s="45" t="s">
        <v>350</v>
      </c>
      <c r="C46" s="46"/>
      <c r="D46" s="46"/>
      <c r="E46" s="46"/>
      <c r="F46" s="46"/>
      <c r="G46" s="11"/>
      <c r="H46" s="11"/>
      <c r="I46" s="11"/>
      <c r="J46" s="11"/>
      <c r="K46" s="11"/>
      <c r="L46" s="48"/>
      <c r="M46" s="46"/>
      <c r="N46" s="4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I46" s="722" t="s">
        <v>321</v>
      </c>
      <c r="BJ46" s="722">
        <v>2</v>
      </c>
      <c r="BK46" s="722" t="s">
        <v>320</v>
      </c>
      <c r="BL46" s="744"/>
      <c r="BM46" s="744"/>
      <c r="BN46" s="736">
        <f t="shared" ref="BN46:BN56" si="16">IF(BM46=0,0,BL46/BM46)</f>
        <v>0</v>
      </c>
      <c r="BO46"/>
      <c r="BP46" s="736"/>
      <c r="BQ46" s="758"/>
      <c r="BR46" s="758"/>
      <c r="BS46" s="736">
        <f>IF(BR46=0,0,BQ46/BR46)</f>
        <v>0</v>
      </c>
      <c r="BT46"/>
      <c r="BU46" s="736"/>
      <c r="BX46" s="666" t="str">
        <f t="shared" si="13"/>
        <v>Nov</v>
      </c>
      <c r="BY46" s="728">
        <f>IF(CB46=$CB57,SUMIF($BI45:$BI56,$BX46,$BR45:$BR56),SUMIF($BI45:$BI56,$BX46,$BM45:$BM56))</f>
        <v>0</v>
      </c>
      <c r="BZ46" s="736" t="e">
        <f>IF(IF(CB46=CB57,SUMIF(BI45:BI56,$BX46,BU45:BU56),SUMIF(BI45:BI56,$BX46,BP45:BP56))=0,NA(),IF(CB46=CB57,SUMIF(BI45:BI56,$BX46,BU45:BU56),SUMIF(BI45:BI56,$BX46,BP45:BP56)))</f>
        <v>#N/A</v>
      </c>
      <c r="CA46" s="739" t="e">
        <f>IF(IF(CB46=CB57,SUMIF(BI45:BI56,$BX46,BS45:BS56),SUMIF(BI45:BI56,$BX46,BN45:BN56))=0,NA(),IF(CB46=CB57,SUMIF(BI45:BI56,$BX46,BS45:BS56),SUMIF(BI45:BI56,$BX46,BN45:BN56)))</f>
        <v>#N/A</v>
      </c>
      <c r="CB46" s="730">
        <f t="shared" si="14"/>
        <v>23</v>
      </c>
      <c r="CC46" s="730">
        <f t="shared" si="15"/>
        <v>11</v>
      </c>
    </row>
    <row r="47" spans="1:81" ht="14.65" hidden="1" customHeight="1">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I47" s="722" t="s">
        <v>322</v>
      </c>
      <c r="BJ47" s="722">
        <v>3</v>
      </c>
      <c r="BK47" s="722" t="s">
        <v>320</v>
      </c>
      <c r="BL47" s="744"/>
      <c r="BM47" s="744"/>
      <c r="BN47" s="736">
        <f t="shared" si="16"/>
        <v>0</v>
      </c>
      <c r="BO47"/>
      <c r="BP47" s="736"/>
      <c r="BQ47" s="758"/>
      <c r="BR47" s="758"/>
      <c r="BS47" s="736">
        <f>IF(BR47=0,0,BQ47/BR47)</f>
        <v>0</v>
      </c>
      <c r="BT47"/>
      <c r="BU47" s="736"/>
      <c r="BX47" s="666" t="str">
        <f t="shared" si="13"/>
        <v>Dec</v>
      </c>
      <c r="BY47" s="728">
        <f>IF(CB47=$CB57,SUMIF($BI45:$BI56,$BX47,$BR45:$BR56),SUMIF($BI45:$BI56,$BX47,$BM45:$BM56))</f>
        <v>0</v>
      </c>
      <c r="BZ47" s="736" t="e">
        <f>IF(IF(CB47=CB57,SUMIF(BI45:BI56,$BX47,BU45:BU56),SUMIF(BI45:BI56,$BX47,BP45:BP56))=0,NA(),IF(CB47=CB57,SUMIF(BI45:BI56,$BX47,BU45:BU56),SUMIF(BI45:BI56,$BX47,BP45:BP56)))</f>
        <v>#N/A</v>
      </c>
      <c r="CA47" s="739" t="e">
        <f>IF(IF(CB47=CB57,SUMIF(BI45:BI56,$BX47,BS45:BS56),SUMIF(BI45:BI56,$BX47,BN45:BN56))=0,NA(),IF(CB47=CB57,SUMIF(BI45:BI56,$BX47,BS45:BS56),SUMIF(BI45:BI56,$BX47,BN45:BN56)))</f>
        <v>#N/A</v>
      </c>
      <c r="CB47" s="730">
        <f t="shared" si="14"/>
        <v>23</v>
      </c>
      <c r="CC47" s="730">
        <f t="shared" si="15"/>
        <v>12</v>
      </c>
    </row>
    <row r="48" spans="1:81" ht="14.65" hidden="1" customHeight="1">
      <c r="B48" s="52"/>
      <c r="F48" s="21"/>
      <c r="G48" s="22"/>
      <c r="AD48"/>
      <c r="BI48" s="722" t="s">
        <v>323</v>
      </c>
      <c r="BJ48" s="722">
        <v>4</v>
      </c>
      <c r="BK48" s="722" t="s">
        <v>324</v>
      </c>
      <c r="BL48" s="744"/>
      <c r="BM48" s="744"/>
      <c r="BN48" s="736">
        <f t="shared" si="16"/>
        <v>0</v>
      </c>
      <c r="BO48" s="138">
        <f>IF(SUM(BM48:BM50=0),0,SUM(BL48:BL50)/SUM(BM48:BM50))</f>
        <v>0</v>
      </c>
      <c r="BP48" s="736"/>
      <c r="BQ48" s="758"/>
      <c r="BR48" s="758"/>
      <c r="BS48" s="736">
        <f>IF(BR48=0,0,BQ48/BR48)</f>
        <v>0</v>
      </c>
      <c r="BT48" s="138">
        <f>IF(SUM(BR48:BR50=0),0,SUM(BQ48:BQ50)/SUM(BR48:BR50))</f>
        <v>0</v>
      </c>
      <c r="BU48" s="736"/>
      <c r="BX48" s="666" t="str">
        <f t="shared" si="13"/>
        <v>Jan</v>
      </c>
      <c r="BY48" s="728">
        <f>IF(CB48=$CB57,SUMIF($BI45:$BI56,$BX48,$BR45:$BR56),SUMIF($BI45:$BI56,$BX48,$BM45:$BM56))</f>
        <v>0</v>
      </c>
      <c r="BZ48" s="736" t="e">
        <f>IF(IF(CB48=CB57,SUMIF(BI45:BI56,$BX48,BU45:BU56),SUMIF(BI45:BI56,$BX48,BP45:BP56))=0,NA(),IF(CB48=CB57,SUMIF(BI45:BI56,$BX48,BU45:BU56),SUMIF(BI45:BI56,$BX48,BP45:BP56)))</f>
        <v>#N/A</v>
      </c>
      <c r="CA48" s="739" t="e">
        <f>IF(IF(CB48=CB57,SUMIF(BI45:BI56,$BX48,BS45:BS56),SUMIF(BI45:BI56,$BX48,BN45:BN56))=0,NA(),IF(CB48=CB57,SUMIF(BI45:BI56,$BX48,BS45:BS56),SUMIF(BI45:BI56,$BX48,BN45:BN56)))</f>
        <v>#N/A</v>
      </c>
      <c r="CB48" s="730">
        <f t="shared" si="14"/>
        <v>23</v>
      </c>
      <c r="CC48" s="730">
        <f t="shared" si="15"/>
        <v>1</v>
      </c>
    </row>
    <row r="49" spans="2:81" ht="14.65" hidden="1" customHeight="1">
      <c r="F49" s="21"/>
      <c r="G49" s="22"/>
      <c r="BI49" s="722" t="s">
        <v>325</v>
      </c>
      <c r="BJ49" s="722">
        <v>5</v>
      </c>
      <c r="BK49" s="722" t="s">
        <v>324</v>
      </c>
      <c r="BL49" s="744"/>
      <c r="BM49" s="744"/>
      <c r="BN49" s="736">
        <f t="shared" si="16"/>
        <v>0</v>
      </c>
      <c r="BO49"/>
      <c r="BP49" s="736"/>
      <c r="BQ49" s="758"/>
      <c r="BR49" s="758"/>
      <c r="BS49" s="736">
        <f>IF(BR49=0,0,BQ49/BR49)</f>
        <v>0</v>
      </c>
      <c r="BT49"/>
      <c r="BU49" s="736"/>
      <c r="BX49" s="666" t="str">
        <f t="shared" si="13"/>
        <v>Feb</v>
      </c>
      <c r="BY49" s="728">
        <f>IF(CB49=$CB57,SUMIF($BI45:$BI56,$BX49,$BR45:$BR56),SUMIF($BI45:$BI56,$BX49,$BM45:$BM56))</f>
        <v>0</v>
      </c>
      <c r="BZ49" s="736" t="e">
        <f>IF(IF(CB49=CB57,SUMIF(BI45:BI56,$BX49,BU45:BU56),SUMIF(BI45:BI56,$BX49,BP45:BP56))=0,NA(),IF(CB49=CB57,SUMIF(BI45:BI56,$BX49,BU45:BU56),SUMIF(BI45:BI56,$BX49,BP45:BP56)))</f>
        <v>#N/A</v>
      </c>
      <c r="CA49" s="739" t="e">
        <f>IF(IF(CB49=CB57,SUMIF(BI45:BI56,$BX49,BS45:BS56),SUMIF(BI45:BI56,$BX49,BN45:BN56))=0,NA(),IF(CB49=CB57,SUMIF(BI45:BI56,$BX49,BS45:BS56),SUMIF(BI45:BI56,$BX49,BN45:BN56)))</f>
        <v>#N/A</v>
      </c>
      <c r="CB49" s="730">
        <f t="shared" si="14"/>
        <v>23</v>
      </c>
      <c r="CC49" s="730">
        <f t="shared" si="15"/>
        <v>2</v>
      </c>
    </row>
    <row r="50" spans="2:81" ht="14.65" hidden="1" customHeight="1">
      <c r="F50" s="21"/>
      <c r="G50" s="22"/>
      <c r="BI50" s="722" t="s">
        <v>326</v>
      </c>
      <c r="BJ50" s="722">
        <v>6</v>
      </c>
      <c r="BK50" s="722" t="s">
        <v>324</v>
      </c>
      <c r="BL50" s="744"/>
      <c r="BM50" s="744"/>
      <c r="BN50" s="736">
        <f t="shared" si="16"/>
        <v>0</v>
      </c>
      <c r="BO50"/>
      <c r="BP50" s="736"/>
      <c r="BQ50" s="758"/>
      <c r="BR50" s="758"/>
      <c r="BS50" s="736"/>
      <c r="BT50"/>
      <c r="BU50" s="736"/>
      <c r="BX50" s="666" t="str">
        <f t="shared" si="13"/>
        <v>Mar</v>
      </c>
      <c r="BY50" s="728">
        <f>IF(CB50=$CB57,SUMIF($BI45:$BI56,$BX50,$BR45:$BR56),SUMIF($BI45:$BI56,$BX50,$BM45:$BM56))</f>
        <v>0</v>
      </c>
      <c r="BZ50" s="736" t="e">
        <f>IF(IF(CB50=CB57,SUMIF(BI45:BI56,$BX50,BU45:BU56),SUMIF(BI45:BI56,$BX50,BP45:BP56))=0,NA(),IF(CB50=CB57,SUMIF(BI45:BI56,$BX50,BU45:BU56),SUMIF(BI45:BI56,$BX50,BP45:BP56)))</f>
        <v>#N/A</v>
      </c>
      <c r="CA50" s="739" t="e">
        <f>IF(IF(CB50=CB57,SUMIF(BI45:BI56,$BX50,BS45:BS56),SUMIF(BI45:BI56,$BX50,BN45:BN56))=0,NA(),IF(CB50=CB57,SUMIF(BI45:BI56,$BX50,BS45:BS56),SUMIF(BI45:BI56,$BX50,BN45:BN56)))</f>
        <v>#N/A</v>
      </c>
      <c r="CB50" s="730">
        <f t="shared" si="14"/>
        <v>23</v>
      </c>
      <c r="CC50" s="730">
        <f t="shared" si="15"/>
        <v>3</v>
      </c>
    </row>
    <row r="51" spans="2:81" ht="14.65" hidden="1" customHeight="1">
      <c r="B51" s="1818"/>
      <c r="C51" s="1818"/>
      <c r="D51" s="1818"/>
      <c r="E51" s="1818"/>
      <c r="F51" s="21"/>
      <c r="G51" s="22"/>
      <c r="BI51" s="722" t="s">
        <v>327</v>
      </c>
      <c r="BJ51" s="722">
        <v>7</v>
      </c>
      <c r="BK51" s="722" t="s">
        <v>328</v>
      </c>
      <c r="BL51" s="744"/>
      <c r="BM51" s="744"/>
      <c r="BN51" s="736">
        <f t="shared" si="16"/>
        <v>0</v>
      </c>
      <c r="BO51" s="138">
        <f>IF(SUM(BM51:BM53=0),0,SUM(BL51:BL53)/SUM(BM51:BM53))</f>
        <v>0</v>
      </c>
      <c r="BP51" s="736"/>
      <c r="BQ51" s="758"/>
      <c r="BR51" s="758"/>
      <c r="BS51" s="736"/>
      <c r="BT51" s="138">
        <f>IF(SUM(BR51:BR53=0),0,SUM(BQ51:BQ53)/SUM(BR51:BR53))</f>
        <v>0</v>
      </c>
      <c r="BU51" s="736"/>
      <c r="BX51" s="666" t="str">
        <f t="shared" si="13"/>
        <v>Apr</v>
      </c>
      <c r="BY51" s="728">
        <f>IF(CB51=$CB57,SUMIF($BI45:$BI56,$BX51,$BR45:$BR56),SUMIF($BI45:$BI56,$BX51,$BM45:$BM56))</f>
        <v>0</v>
      </c>
      <c r="BZ51" s="736" t="e">
        <f>IF(IF(CB51=CB57,SUMIF(BI45:BI56,$BX51,BU45:BU56),SUMIF(BI45:BI56,$BX51,BP45:BP56))=0,NA(),IF(CB51=CB57,SUMIF(BI45:BI56,$BX51,BU45:BU56),SUMIF(BI45:BI56,$BX51,BP45:BP56)))</f>
        <v>#N/A</v>
      </c>
      <c r="CA51" s="739" t="e">
        <f>IF(IF(CB51=CB57,SUMIF(BI45:BI56,$BX51,BS45:BS56),SUMIF(BI45:BI56,$BX51,BN45:BN56))=0,NA(),IF(CB51=CB57,SUMIF(BI45:BI56,$BX51,BS45:BS56),SUMIF(BI45:BI56,$BX51,BN45:BN56)))</f>
        <v>#N/A</v>
      </c>
      <c r="CB51" s="730">
        <f t="shared" si="14"/>
        <v>23</v>
      </c>
      <c r="CC51" s="730">
        <f t="shared" si="15"/>
        <v>4</v>
      </c>
    </row>
    <row r="52" spans="2:81" ht="14.65" hidden="1" customHeight="1">
      <c r="BI52" s="722" t="s">
        <v>329</v>
      </c>
      <c r="BJ52" s="722">
        <v>8</v>
      </c>
      <c r="BK52" s="722" t="s">
        <v>328</v>
      </c>
      <c r="BL52" s="744"/>
      <c r="BM52" s="744"/>
      <c r="BN52" s="736">
        <f t="shared" si="16"/>
        <v>0</v>
      </c>
      <c r="BO52"/>
      <c r="BP52" s="736"/>
      <c r="BQ52" s="758"/>
      <c r="BR52" s="758"/>
      <c r="BS52" s="736"/>
      <c r="BT52"/>
      <c r="BU52" s="736"/>
      <c r="BX52" s="666" t="str">
        <f t="shared" si="13"/>
        <v>May</v>
      </c>
      <c r="BY52" s="728">
        <f>IF(CB52=$CB57,SUMIF($BI45:$BI56,$BX52,$BR45:$BR56),SUMIF($BI45:$BI56,$BX52,$BM45:$BM56))</f>
        <v>0</v>
      </c>
      <c r="BZ52" s="736" t="e">
        <f>IF(IF(CB52=CB57,SUMIF(BI45:BI56,$BX52,BU45:BU56),SUMIF(BI45:BI56,$BX52,BP45:BP56))=0,NA(),IF(CB52=CB57,SUMIF(BI45:BI56,$BX52,BU45:BU56),SUMIF(BI45:BI56,$BX52,BP45:BP56)))</f>
        <v>#N/A</v>
      </c>
      <c r="CA52" s="739" t="e">
        <f>IF(IF(CB52=CB57,SUMIF(BI45:BI56,$BX52,BS45:BS56),SUMIF(BI45:BI56,$BX52,BN45:BN56))=0,NA(),IF(CB52=CB57,SUMIF(BI45:BI56,$BX52,BS45:BS56),SUMIF(BI45:BI56,$BX52,BN45:BN56)))</f>
        <v>#N/A</v>
      </c>
      <c r="CB52" s="730">
        <f t="shared" si="14"/>
        <v>23</v>
      </c>
      <c r="CC52" s="730">
        <f t="shared" si="15"/>
        <v>5</v>
      </c>
    </row>
    <row r="53" spans="2:81" ht="14.65" hidden="1" customHeight="1">
      <c r="BI53" s="722" t="s">
        <v>331</v>
      </c>
      <c r="BJ53" s="722">
        <v>9</v>
      </c>
      <c r="BK53" s="722" t="s">
        <v>328</v>
      </c>
      <c r="BL53" s="744"/>
      <c r="BM53" s="744"/>
      <c r="BN53" s="736">
        <f t="shared" si="16"/>
        <v>0</v>
      </c>
      <c r="BO53"/>
      <c r="BP53" s="736"/>
      <c r="BQ53" s="758"/>
      <c r="BR53" s="758"/>
      <c r="BS53" s="736"/>
      <c r="BT53"/>
      <c r="BU53" s="736"/>
      <c r="BX53" s="666" t="str">
        <f t="shared" si="13"/>
        <v>Jun</v>
      </c>
      <c r="BY53" s="728">
        <f>IF(CB53=$CB57,SUMIF($BI45:$BI56,$BX53,$BR45:$BR56),SUMIF($BI45:$BI56,$BX53,$BM45:$BM56))</f>
        <v>0</v>
      </c>
      <c r="BZ53" s="736" t="e">
        <f>IF(IF(CB53=CB57,SUMIF(BI45:BI56,$BX53,BU45:BU56),SUMIF(BI45:BI56,$BX53,BP45:BP56))=0,NA(),IF(CB53=CB57,SUMIF(BI45:BI56,$BX53,BU45:BU56),SUMIF(BI45:BI56,$BX53,BP45:BP56)))</f>
        <v>#N/A</v>
      </c>
      <c r="CA53" s="739" t="e">
        <f>IF(IF(CB53=CB57,SUMIF(BI45:BI56,$BX53,BS45:BS56),SUMIF(BI45:BI56,$BX53,BN45:BN56))=0,NA(),IF(CB53=CB57,SUMIF(BI45:BI56,$BX53,BS45:BS56),SUMIF(BI45:BI56,$BX53,BN45:BN56)))</f>
        <v>#N/A</v>
      </c>
      <c r="CB53" s="730">
        <f t="shared" si="14"/>
        <v>23</v>
      </c>
      <c r="CC53" s="730">
        <f t="shared" si="15"/>
        <v>6</v>
      </c>
    </row>
    <row r="54" spans="2:81" ht="14.65" hidden="1" customHeight="1">
      <c r="BI54" s="722" t="s">
        <v>337</v>
      </c>
      <c r="BJ54" s="722">
        <v>10</v>
      </c>
      <c r="BK54" s="722" t="s">
        <v>338</v>
      </c>
      <c r="BL54" s="744"/>
      <c r="BM54" s="743"/>
      <c r="BN54" s="736">
        <f t="shared" si="16"/>
        <v>0</v>
      </c>
      <c r="BO54" s="138">
        <f>IF(SUM(BM54:BM56=0),0,SUM(BL54:BL56)/SUM(BM54:BM56))</f>
        <v>0</v>
      </c>
      <c r="BP54" s="736"/>
      <c r="BQ54" s="758"/>
      <c r="BR54" s="758"/>
      <c r="BS54" s="736"/>
      <c r="BT54" s="138">
        <f>IF(SUM(BR54:BR56=0),0,SUM(BQ54:BQ56)/SUM(BR54:BR56))</f>
        <v>0</v>
      </c>
      <c r="BU54" s="736"/>
      <c r="BX54" s="666" t="str">
        <f t="shared" si="13"/>
        <v>Jul</v>
      </c>
      <c r="BY54" s="728">
        <f>IF(CB54=$CB57,SUMIF($BI45:$BI56,$BX54,$BR45:$BR56),SUMIF($BI45:$BI56,$BX54,$BM45:$BM56))</f>
        <v>0</v>
      </c>
      <c r="BZ54" s="736" t="e">
        <f>IF(IF(CB54=CB57,SUMIF(BI45:BI56,$BX54,BU45:BU56),SUMIF(BI45:BI56,$BX54,BP45:BP56))=0,NA(),IF(CB54=CB57,SUMIF(BI45:BI56,$BX54,BU45:BU56),SUMIF(BI45:BI56,$BX54,BP45:BP56)))</f>
        <v>#N/A</v>
      </c>
      <c r="CA54" s="739" t="e">
        <f>IF(IF(CB54=CB57,SUMIF(BI45:BI56,$BX54,BS45:BS56),SUMIF(BI45:BI56,$BX54,BN45:BN56))=0,NA(),IF(CB54=CB57,SUMIF(BI45:BI56,$BX54,BS45:BS56),SUMIF(BI45:BI56,$BX54,BN45:BN56)))</f>
        <v>#N/A</v>
      </c>
      <c r="CB54" s="730">
        <f t="shared" si="14"/>
        <v>23</v>
      </c>
      <c r="CC54" s="730">
        <f t="shared" si="15"/>
        <v>7</v>
      </c>
    </row>
    <row r="55" spans="2:81" ht="14.65" hidden="1" customHeight="1">
      <c r="BI55" s="722" t="s">
        <v>343</v>
      </c>
      <c r="BJ55" s="722">
        <v>11</v>
      </c>
      <c r="BK55" s="722" t="s">
        <v>338</v>
      </c>
      <c r="BL55" s="744"/>
      <c r="BM55" s="743"/>
      <c r="BN55" s="736">
        <f t="shared" si="16"/>
        <v>0</v>
      </c>
      <c r="BO55"/>
      <c r="BP55" s="736"/>
      <c r="BQ55" s="758"/>
      <c r="BR55" s="758"/>
      <c r="BS55" s="736"/>
      <c r="BT55"/>
      <c r="BU55" s="736"/>
      <c r="BX55" s="666" t="str">
        <f t="shared" si="13"/>
        <v>Aug</v>
      </c>
      <c r="BY55" s="728">
        <f>IF(CB55=$CB57,SUMIF($BI45:$BI56,$BX55,$BR45:$BR56),SUMIF($BI45:$BI56,$BX55,$BM45:$BM56))</f>
        <v>0</v>
      </c>
      <c r="BZ55" s="736" t="e">
        <f>IF(IF(CB55=CB57,SUMIF(BI45:BI56,$BX55,BU45:BU56),SUMIF(BI45:BI56,$BX55,BP45:BP56))=0,NA(),IF(CB55=CB57,SUMIF(BI45:BI56,$BX55,BU45:BU56),SUMIF(BI45:BI56,$BX55,BP45:BP56)))</f>
        <v>#N/A</v>
      </c>
      <c r="CA55" s="739" t="e">
        <f>IF(IF(CB55=CB57,SUMIF(BI45:BI56,$BX55,BS45:BS56),SUMIF(BI45:BI56,$BX55,BN45:BN56))=0,NA(),IF(CB55=CB57,SUMIF(BI45:BI56,$BX55,BS45:BS56),SUMIF(BI45:BI56,$BX55,BN45:BN56)))</f>
        <v>#N/A</v>
      </c>
      <c r="CB55" s="730">
        <f t="shared" si="14"/>
        <v>23</v>
      </c>
      <c r="CC55" s="730">
        <f t="shared" si="15"/>
        <v>8</v>
      </c>
    </row>
    <row r="56" spans="2:81" ht="14.65" hidden="1" customHeight="1">
      <c r="BI56" s="722" t="s">
        <v>344</v>
      </c>
      <c r="BJ56" s="722">
        <v>12</v>
      </c>
      <c r="BK56" s="722" t="s">
        <v>338</v>
      </c>
      <c r="BL56" s="744"/>
      <c r="BM56" s="743"/>
      <c r="BN56" s="736">
        <f t="shared" si="16"/>
        <v>0</v>
      </c>
      <c r="BO56"/>
      <c r="BP56" s="736"/>
      <c r="BQ56" s="758"/>
      <c r="BR56" s="758"/>
      <c r="BS56" s="736"/>
      <c r="BT56"/>
      <c r="BU56" s="736"/>
      <c r="BX56" s="666" t="str">
        <f t="shared" si="13"/>
        <v>Sep</v>
      </c>
      <c r="BY56" s="728">
        <f>IF(CB56=$CB57,SUMIF($BI45:$BI56,$BX56,$BR45:$BR56),SUMIF($BI45:$BI56,$BX56,$BM45:$BM56))</f>
        <v>0</v>
      </c>
      <c r="BZ56" s="736" t="e">
        <f>IF(IF(CB56=CB57,SUMIF(BI45:BI56,$BX56,BU45:BU56),SUMIF(BI45:BI56,$BX56,BP45:BP56))=0,NA(),IF(CB56=CB57,SUMIF(BI45:BI56,$BX56,BU45:BU56),SUMIF(BI45:BI56,$BX56,BP45:BP56)))</f>
        <v>#N/A</v>
      </c>
      <c r="CA56" s="739" t="e">
        <f>IF(IF(CB56=CB57,SUMIF(BI45:BI56,$BX56,BS45:BS56),SUMIF(BI45:BI56,$BX56,BN45:BN56))=0,NA(),IF(CB56=CB57,SUMIF(BI45:BI56,$BX56,BS45:BS56),SUMIF(BI45:BI56,$BX56,BN45:BN56)))</f>
        <v>#N/A</v>
      </c>
      <c r="CB56" s="730">
        <f>IF(CC56=9,CB57-1,CB57)</f>
        <v>23</v>
      </c>
      <c r="CC56" s="730">
        <f>IF(CC57-1&lt;1,CC57+11,CC57-1)</f>
        <v>9</v>
      </c>
    </row>
    <row r="57" spans="2:81" ht="14.65" hidden="1" customHeight="1">
      <c r="BW57" s="667" t="str">
        <f>Cover!$M$34</f>
        <v>OCT FY-24</v>
      </c>
      <c r="BX57" s="666" t="str">
        <f>TEXT(CONCATENATE(CC57,"/01/20",CB57),"MMM")</f>
        <v>Oct</v>
      </c>
      <c r="BY57" s="728">
        <f>SUMIF($BI45:$BI56,$BX57,$BR45:$BR56)</f>
        <v>0</v>
      </c>
      <c r="BZ57" s="736" t="e">
        <f>IF(IF(CB57=CB57,SUMIF(BI45:BI56,$BX57,BU45:BU56),SUMIF(BI45:BI56,$BX57,BP45:BP56))=0,NA(),IF(CB57=CB57,SUMIF(BI45:BI56,$BX57,BU45:BU56),SUMIF(BI45:BI56,$BX57,BP45:BP56)))</f>
        <v>#N/A</v>
      </c>
      <c r="CA57" s="739" t="e">
        <f>IF(SUMIF($BI45:$BI56,$BX57,$BS45:$BS56)=0,NA(),SUMIF($BI45:$BI56,$BX57,$BS45:$BS56))</f>
        <v>#N/A</v>
      </c>
      <c r="CB57" s="730" t="str">
        <f>RIGHT(BW57,2)</f>
        <v>24</v>
      </c>
      <c r="CC57" s="730">
        <f>MONTH(DATEVALUE(LEFT(BW57,3)&amp;" 1"))</f>
        <v>10</v>
      </c>
    </row>
    <row r="58" spans="2:81" ht="14.65" hidden="1" customHeight="1"/>
    <row r="59" spans="2:81" ht="14.65" hidden="1" customHeight="1">
      <c r="BI59" s="1" t="s">
        <v>292</v>
      </c>
      <c r="BJ59" s="166"/>
      <c r="BK59" s="166"/>
      <c r="BL59" s="166"/>
      <c r="BM59" s="166"/>
      <c r="BN59" s="166"/>
      <c r="BO59" s="166"/>
      <c r="BP59" s="166"/>
      <c r="BQ59" s="166"/>
      <c r="BR59" s="166"/>
      <c r="BS59" s="166"/>
      <c r="BT59" s="166"/>
      <c r="BU59" s="166"/>
    </row>
    <row r="60" spans="2:81" ht="14.65" hidden="1" customHeight="1">
      <c r="BI60" s="54" t="s">
        <v>296</v>
      </c>
      <c r="BJ60" s="166"/>
      <c r="BK60" s="166"/>
      <c r="BL60" s="166"/>
      <c r="BM60" s="166"/>
      <c r="BN60" s="166"/>
      <c r="BO60" s="166"/>
      <c r="BP60" s="166"/>
      <c r="BQ60" s="166"/>
      <c r="BR60" s="166"/>
      <c r="BS60" s="166"/>
      <c r="BT60" s="166"/>
      <c r="BU60" s="166"/>
    </row>
    <row r="61" spans="2:81" ht="14.65" hidden="1" customHeight="1" thickBot="1">
      <c r="BI61" s="1" t="s">
        <v>300</v>
      </c>
      <c r="BJ61" s="166"/>
      <c r="BK61" s="166"/>
      <c r="BL61" s="166"/>
      <c r="BM61" s="166"/>
      <c r="BN61" s="166"/>
      <c r="BO61" s="166"/>
      <c r="BP61" s="166"/>
      <c r="BQ61" s="166"/>
      <c r="BR61" s="166"/>
      <c r="BS61" s="166"/>
      <c r="BT61" s="166"/>
      <c r="BU61" s="166"/>
    </row>
    <row r="62" spans="2:81" ht="14.65" hidden="1" customHeight="1" thickBot="1">
      <c r="BI62" s="2"/>
      <c r="BL62" s="1490" t="s">
        <v>661</v>
      </c>
      <c r="BM62" s="1491"/>
      <c r="BN62" s="1491"/>
      <c r="BO62" s="1491"/>
      <c r="BP62" s="1521"/>
      <c r="BQ62" s="1490" t="s">
        <v>662</v>
      </c>
      <c r="BR62" s="1491"/>
      <c r="BS62" s="1491"/>
      <c r="BT62" s="1491"/>
      <c r="BU62" s="1492"/>
      <c r="BW62" s="1490" t="s">
        <v>303</v>
      </c>
      <c r="BX62" s="1491"/>
      <c r="BY62" s="1491"/>
      <c r="BZ62" s="1491"/>
      <c r="CA62" s="1491"/>
      <c r="CB62" s="1491"/>
      <c r="CC62" s="1492"/>
    </row>
    <row r="63" spans="2:81" ht="14.65" hidden="1" customHeight="1">
      <c r="BI63" s="720" t="s">
        <v>23</v>
      </c>
      <c r="BJ63" s="720" t="s">
        <v>37</v>
      </c>
      <c r="BK63" s="720" t="s">
        <v>304</v>
      </c>
      <c r="BL63" s="721" t="s">
        <v>305</v>
      </c>
      <c r="BM63" s="721" t="s">
        <v>306</v>
      </c>
      <c r="BN63" s="721" t="s">
        <v>663</v>
      </c>
      <c r="BO63" s="135" t="s">
        <v>664</v>
      </c>
      <c r="BP63" s="721" t="s">
        <v>665</v>
      </c>
      <c r="BQ63" s="721" t="s">
        <v>305</v>
      </c>
      <c r="BR63" s="721" t="s">
        <v>666</v>
      </c>
      <c r="BS63" s="721" t="s">
        <v>667</v>
      </c>
      <c r="BT63" s="135" t="s">
        <v>668</v>
      </c>
      <c r="BU63" s="721" t="s">
        <v>669</v>
      </c>
      <c r="BW63" s="164" t="s">
        <v>314</v>
      </c>
      <c r="BX63" s="164" t="s">
        <v>23</v>
      </c>
      <c r="BY63" s="164" t="s">
        <v>315</v>
      </c>
      <c r="BZ63" s="164" t="s">
        <v>122</v>
      </c>
      <c r="CA63" s="164" t="s">
        <v>316</v>
      </c>
      <c r="CB63" s="164" t="s">
        <v>317</v>
      </c>
      <c r="CC63" s="164" t="s">
        <v>318</v>
      </c>
    </row>
    <row r="64" spans="2:81" ht="14.65" hidden="1" customHeight="1">
      <c r="BI64" s="722" t="s">
        <v>319</v>
      </c>
      <c r="BJ64" s="722">
        <v>1</v>
      </c>
      <c r="BK64" s="722" t="s">
        <v>320</v>
      </c>
      <c r="BL64" s="805"/>
      <c r="BM64" s="806"/>
      <c r="BN64" s="739">
        <f>IF(BM64=0,0,BL64/BM64)</f>
        <v>0</v>
      </c>
      <c r="BO64" s="138">
        <f>IF(SUM(BM64:BM66=0),0,SUM(BL64:BL66)/SUM(BM64:BM66))</f>
        <v>0</v>
      </c>
      <c r="BP64" s="736"/>
      <c r="BQ64" s="717"/>
      <c r="BR64" s="807"/>
      <c r="BS64" s="739">
        <f>IF(BR64=0,0,BQ64/BR64)</f>
        <v>0</v>
      </c>
      <c r="BT64" s="138">
        <f>IF(SUM(BR64:BR66=0),0,SUM(BQ64:BQ66)/SUM(BR64:BR66))</f>
        <v>0</v>
      </c>
      <c r="BU64" s="736"/>
      <c r="BX64" s="666" t="str">
        <f t="shared" ref="BX64:BX75" si="17">TEXT(CONCATENATE(CC64,"/01/20",CB64),"MMM")</f>
        <v>Oct</v>
      </c>
      <c r="BY64" s="806">
        <f>IF(CB64=$CB76,SUMIF($BI64:$BI75,$BX64,$BR64:$BR75),SUMIF($BI64:$BI75,$BX64,$BM64:$BM75))</f>
        <v>0</v>
      </c>
      <c r="BZ64" s="736" t="e">
        <f>IF(IF(CB64=CB76,SUMIF(BI64:BI75,$BX64,BU64:BU75),SUMIF(BI64:BI75,$BX64,BP64:BP75))=0,NA(),IF(CB64=CB76,SUMIF(BI64:BI75,$BX64,BU64:BU75),SUMIF(BI64:BI75,$BX64,BP64:BP75)))</f>
        <v>#N/A</v>
      </c>
      <c r="CA64" s="739" t="e">
        <f>IF(IF(CB64=CB76,SUMIF(BI64:BI75,$BX64,BS64:BS75),SUMIF(BI64:BI75,$BX64,BN64:BN75))=0,NA(),IF(CB64=CB76,SUMIF(BI64:BI75,$BX64,BS64:BS75),SUMIF(BI64:BI75,$BX64,BN64:BN75)))</f>
        <v>#N/A</v>
      </c>
      <c r="CB64" s="730">
        <f t="shared" ref="CB64:CB74" si="18">IF(CC64=9,CB65-1,CB65)</f>
        <v>23</v>
      </c>
      <c r="CC64" s="730">
        <f t="shared" ref="CC64:CC74" si="19">IF(CC65-1&lt;1,CC65+11,CC65-1)</f>
        <v>10</v>
      </c>
    </row>
    <row r="65" spans="2:81" ht="14.65" hidden="1" customHeight="1">
      <c r="B65" s="44" t="s">
        <v>242</v>
      </c>
      <c r="C65" s="44"/>
      <c r="D65" s="44"/>
      <c r="E65" s="87"/>
      <c r="F65" s="94"/>
      <c r="G65" s="94"/>
      <c r="H65" s="94"/>
      <c r="I65" s="94"/>
      <c r="J65" s="94"/>
      <c r="K65" s="94"/>
      <c r="L65" s="94"/>
      <c r="M65" s="94"/>
      <c r="N65" s="94"/>
      <c r="O65" s="94"/>
      <c r="P65" s="94"/>
      <c r="Q65" s="94"/>
      <c r="R65" s="94"/>
      <c r="S65" s="94"/>
      <c r="T65" s="94"/>
      <c r="U65" s="94"/>
      <c r="V65" s="94"/>
      <c r="W65" s="94"/>
      <c r="X65" s="94"/>
      <c r="Y65" s="94"/>
      <c r="Z65" s="94"/>
      <c r="AA65" s="94"/>
      <c r="AB65" s="94"/>
      <c r="AE65" s="44" t="s">
        <v>242</v>
      </c>
      <c r="AF65" s="44"/>
      <c r="AG65" s="44"/>
      <c r="AH65" s="87"/>
      <c r="AI65" s="94"/>
      <c r="AJ65" s="94"/>
      <c r="AK65" s="94"/>
      <c r="AL65" s="94"/>
      <c r="AM65" s="94"/>
      <c r="AN65" s="94"/>
      <c r="AO65" s="94"/>
      <c r="AP65" s="94"/>
      <c r="AQ65" s="94"/>
      <c r="AR65" s="94"/>
      <c r="AS65" s="94"/>
      <c r="AT65" s="94"/>
      <c r="AU65" s="94"/>
      <c r="AV65" s="94"/>
      <c r="AW65" s="94"/>
      <c r="AX65" s="94"/>
      <c r="AY65" s="94"/>
      <c r="AZ65" s="94"/>
      <c r="BA65" s="94"/>
      <c r="BB65" s="94"/>
      <c r="BC65" s="94"/>
      <c r="BD65" s="94"/>
      <c r="BE65" s="94"/>
      <c r="BI65" s="722" t="s">
        <v>321</v>
      </c>
      <c r="BJ65" s="722">
        <v>2</v>
      </c>
      <c r="BK65" s="722" t="s">
        <v>320</v>
      </c>
      <c r="BL65" s="805"/>
      <c r="BM65" s="806"/>
      <c r="BN65" s="739">
        <f t="shared" ref="BN65:BN75" si="20">IF(BM65=0,0,BL65/BM65)</f>
        <v>0</v>
      </c>
      <c r="BO65"/>
      <c r="BP65" s="736"/>
      <c r="BQ65" s="717"/>
      <c r="BR65" s="807"/>
      <c r="BS65" s="739">
        <f>IF(BR65=0,0,BQ65/BR65)</f>
        <v>0</v>
      </c>
      <c r="BT65"/>
      <c r="BU65" s="736"/>
      <c r="BX65" s="666" t="str">
        <f t="shared" si="17"/>
        <v>Nov</v>
      </c>
      <c r="BY65" s="806">
        <f>IF(CB65=$CB76,SUMIF($BI64:$BI75,$BX65,$BR64:$BR75),SUMIF($BI64:$BI75,$BX65,$BM64:$BM75))</f>
        <v>0</v>
      </c>
      <c r="BZ65" s="736" t="e">
        <f>IF(IF(CB65=CB76,SUMIF(BI64:BI75,$BX65,BU64:BU75),SUMIF(BI64:BI75,$BX65,BP64:BP75))=0,NA(),IF(CB65=CB76,SUMIF(BI64:BI75,$BX65,BU64:BU75),SUMIF(BI64:BI75,$BX65,BP64:BP75)))</f>
        <v>#N/A</v>
      </c>
      <c r="CA65" s="739" t="e">
        <f>IF(IF(CB65=CB76,SUMIF(BI64:BI75,$BX65,BS64:BS75),SUMIF(BI64:BI75,$BX65,BN64:BN75))=0,NA(),IF(CB65=CB76,SUMIF(BI64:BI75,$BX65,BS64:BS75),SUMIF(BI64:BI75,$BX65,BN64:BN75)))</f>
        <v>#N/A</v>
      </c>
      <c r="CB65" s="730">
        <f t="shared" si="18"/>
        <v>23</v>
      </c>
      <c r="CC65" s="730">
        <f t="shared" si="19"/>
        <v>11</v>
      </c>
    </row>
    <row r="66" spans="2:81" ht="14.65" hidden="1" customHeight="1">
      <c r="B66" s="1656"/>
      <c r="C66" s="1657"/>
      <c r="D66" s="1657"/>
      <c r="E66" s="1657"/>
      <c r="F66" s="1657"/>
      <c r="G66" s="1657"/>
      <c r="H66" s="1657"/>
      <c r="I66" s="1657"/>
      <c r="J66" s="1657"/>
      <c r="K66" s="1657"/>
      <c r="L66" s="1657"/>
      <c r="M66" s="1657"/>
      <c r="N66" s="1657"/>
      <c r="O66" s="1657"/>
      <c r="P66" s="1657"/>
      <c r="Q66" s="1657"/>
      <c r="R66" s="1657"/>
      <c r="S66" s="1657"/>
      <c r="T66" s="1657"/>
      <c r="U66" s="1657"/>
      <c r="V66" s="1657"/>
      <c r="W66" s="1657"/>
      <c r="X66" s="1657"/>
      <c r="Y66" s="1657"/>
      <c r="Z66" s="1657"/>
      <c r="AA66" s="1657"/>
      <c r="AB66" s="1658"/>
      <c r="AE66" s="1656"/>
      <c r="AF66" s="1657"/>
      <c r="AG66" s="1657"/>
      <c r="AH66" s="1657"/>
      <c r="AI66" s="1657"/>
      <c r="AJ66" s="1657"/>
      <c r="AK66" s="1657"/>
      <c r="AL66" s="1657"/>
      <c r="AM66" s="1657"/>
      <c r="AN66" s="1657"/>
      <c r="AO66" s="1657"/>
      <c r="AP66" s="1657"/>
      <c r="AQ66" s="1657"/>
      <c r="AR66" s="1657"/>
      <c r="AS66" s="1657"/>
      <c r="AT66" s="1657"/>
      <c r="AU66" s="1657"/>
      <c r="AV66" s="1657"/>
      <c r="AW66" s="1657"/>
      <c r="AX66" s="1657"/>
      <c r="AY66" s="1657"/>
      <c r="AZ66" s="1657"/>
      <c r="BA66" s="1657"/>
      <c r="BB66" s="1657"/>
      <c r="BC66" s="1657"/>
      <c r="BD66" s="1657"/>
      <c r="BE66" s="1658"/>
      <c r="BI66" s="722" t="s">
        <v>322</v>
      </c>
      <c r="BJ66" s="722">
        <v>3</v>
      </c>
      <c r="BK66" s="722" t="s">
        <v>320</v>
      </c>
      <c r="BL66" s="805"/>
      <c r="BM66" s="806"/>
      <c r="BN66" s="739">
        <f t="shared" si="20"/>
        <v>0</v>
      </c>
      <c r="BO66"/>
      <c r="BP66" s="736"/>
      <c r="BQ66" s="717"/>
      <c r="BR66" s="807"/>
      <c r="BS66" s="739">
        <f>IF(BR66=0,0,BQ66/BR66)</f>
        <v>0</v>
      </c>
      <c r="BT66"/>
      <c r="BU66" s="736"/>
      <c r="BX66" s="666" t="str">
        <f t="shared" si="17"/>
        <v>Dec</v>
      </c>
      <c r="BY66" s="806">
        <f>IF(CB66=$CB76,SUMIF($BI64:$BI75,$BX66,$BR64:$BR75),SUMIF($BI64:$BI75,$BX66,$BM64:$BM75))</f>
        <v>0</v>
      </c>
      <c r="BZ66" s="736" t="e">
        <f>IF(IF(CB66=CB76,SUMIF(BI64:BI75,$BX66,BU64:BU75),SUMIF(BI64:BI75,$BX66,BP64:BP75))=0,NA(),IF(CB66=CB76,SUMIF(BI64:BI75,$BX66,BU64:BU75),SUMIF(BI64:BI75,$BX66,BP64:BP75)))</f>
        <v>#N/A</v>
      </c>
      <c r="CA66" s="739" t="e">
        <f>IF(IF(CB66=CB76,SUMIF(BI64:BI75,$BX66,BS64:BS75),SUMIF(BI64:BI75,$BX66,BN64:BN75))=0,NA(),IF(CB66=CB76,SUMIF(BI64:BI75,$BX66,BS64:BS75),SUMIF(BI64:BI75,$BX66,BN64:BN75)))</f>
        <v>#N/A</v>
      </c>
      <c r="CB66" s="730">
        <f t="shared" si="18"/>
        <v>23</v>
      </c>
      <c r="CC66" s="730">
        <f t="shared" si="19"/>
        <v>12</v>
      </c>
    </row>
    <row r="67" spans="2:81" ht="14.65" hidden="1" customHeight="1">
      <c r="B67" s="1659"/>
      <c r="C67" s="1660"/>
      <c r="D67" s="1660"/>
      <c r="E67" s="1660"/>
      <c r="F67" s="1660"/>
      <c r="G67" s="1660"/>
      <c r="H67" s="1660"/>
      <c r="I67" s="1660"/>
      <c r="J67" s="1660"/>
      <c r="K67" s="1660"/>
      <c r="L67" s="1660"/>
      <c r="M67" s="1660"/>
      <c r="N67" s="1660"/>
      <c r="O67" s="1660"/>
      <c r="P67" s="1660"/>
      <c r="Q67" s="1660"/>
      <c r="R67" s="1660"/>
      <c r="S67" s="1660"/>
      <c r="T67" s="1660"/>
      <c r="U67" s="1660"/>
      <c r="V67" s="1660"/>
      <c r="W67" s="1660"/>
      <c r="X67" s="1660"/>
      <c r="Y67" s="1660"/>
      <c r="Z67" s="1660"/>
      <c r="AA67" s="1660"/>
      <c r="AB67" s="1661"/>
      <c r="AE67" s="1659"/>
      <c r="AF67" s="1660"/>
      <c r="AG67" s="1660"/>
      <c r="AH67" s="1660"/>
      <c r="AI67" s="1660"/>
      <c r="AJ67" s="1660"/>
      <c r="AK67" s="1660"/>
      <c r="AL67" s="1660"/>
      <c r="AM67" s="1660"/>
      <c r="AN67" s="1660"/>
      <c r="AO67" s="1660"/>
      <c r="AP67" s="1660"/>
      <c r="AQ67" s="1660"/>
      <c r="AR67" s="1660"/>
      <c r="AS67" s="1660"/>
      <c r="AT67" s="1660"/>
      <c r="AU67" s="1660"/>
      <c r="AV67" s="1660"/>
      <c r="AW67" s="1660"/>
      <c r="AX67" s="1660"/>
      <c r="AY67" s="1660"/>
      <c r="AZ67" s="1660"/>
      <c r="BA67" s="1660"/>
      <c r="BB67" s="1660"/>
      <c r="BC67" s="1660"/>
      <c r="BD67" s="1660"/>
      <c r="BE67" s="1661"/>
      <c r="BI67" s="722" t="s">
        <v>323</v>
      </c>
      <c r="BJ67" s="722">
        <v>4</v>
      </c>
      <c r="BK67" s="722" t="s">
        <v>324</v>
      </c>
      <c r="BL67" s="805"/>
      <c r="BM67" s="806"/>
      <c r="BN67" s="739">
        <f t="shared" si="20"/>
        <v>0</v>
      </c>
      <c r="BO67" s="138">
        <f>IF(SUM(BM67:BM69=0),0,SUM(BL67:BL69)/SUM(BM67:BM69))</f>
        <v>0</v>
      </c>
      <c r="BP67" s="736"/>
      <c r="BQ67" s="717"/>
      <c r="BR67" s="807"/>
      <c r="BS67" s="739">
        <f>IF(BR67=0,0,BQ67/BR67)</f>
        <v>0</v>
      </c>
      <c r="BT67" s="138">
        <f>IF(SUM(BR67:BR69=0),0,SUM(BQ67:BQ69)/SUM(BR67:BR69))</f>
        <v>0</v>
      </c>
      <c r="BU67" s="736"/>
      <c r="BX67" s="666" t="str">
        <f t="shared" si="17"/>
        <v>Jan</v>
      </c>
      <c r="BY67" s="806">
        <f>IF(CB67=$CB76,SUMIF($BI64:$BI75,$BX67,$BR64:$BR75),SUMIF($BI64:$BI75,$BX67,$BM64:$BM75))</f>
        <v>0</v>
      </c>
      <c r="BZ67" s="736" t="e">
        <f>IF(IF(CB67=CB76,SUMIF(BI64:BI75,$BX67,BU64:BU75),SUMIF(BI64:BI75,$BX67,BP64:BP75))=0,NA(),IF(CB67=CB76,SUMIF(BI64:BI75,$BX67,BU64:BU75),SUMIF(BI64:BI75,$BX67,BP64:BP75)))</f>
        <v>#N/A</v>
      </c>
      <c r="CA67" s="739" t="e">
        <f>IF(IF(CB67=CB76,SUMIF(BI64:BI75,$BX67,BS64:BS75),SUMIF(BI64:BI75,$BX67,BN64:BN75))=0,NA(),IF(CB67=CB76,SUMIF(BI64:BI75,$BX67,BS64:BS75),SUMIF(BI64:BI75,$BX67,BN64:BN75)))</f>
        <v>#N/A</v>
      </c>
      <c r="CB67" s="730">
        <f t="shared" si="18"/>
        <v>23</v>
      </c>
      <c r="CC67" s="730">
        <f t="shared" si="19"/>
        <v>1</v>
      </c>
    </row>
    <row r="68" spans="2:81" ht="14.65" hidden="1" customHeight="1">
      <c r="B68" s="1659"/>
      <c r="C68" s="1660"/>
      <c r="D68" s="1660"/>
      <c r="E68" s="1660"/>
      <c r="F68" s="1660"/>
      <c r="G68" s="1660"/>
      <c r="H68" s="1660"/>
      <c r="I68" s="1660"/>
      <c r="J68" s="1660"/>
      <c r="K68" s="1660"/>
      <c r="L68" s="1660"/>
      <c r="M68" s="1660"/>
      <c r="N68" s="1660"/>
      <c r="O68" s="1660"/>
      <c r="P68" s="1660"/>
      <c r="Q68" s="1660"/>
      <c r="R68" s="1660"/>
      <c r="S68" s="1660"/>
      <c r="T68" s="1660"/>
      <c r="U68" s="1660"/>
      <c r="V68" s="1660"/>
      <c r="W68" s="1660"/>
      <c r="X68" s="1660"/>
      <c r="Y68" s="1660"/>
      <c r="Z68" s="1660"/>
      <c r="AA68" s="1660"/>
      <c r="AB68" s="1661"/>
      <c r="AE68" s="1659"/>
      <c r="AF68" s="1660"/>
      <c r="AG68" s="1660"/>
      <c r="AH68" s="1660"/>
      <c r="AI68" s="1660"/>
      <c r="AJ68" s="1660"/>
      <c r="AK68" s="1660"/>
      <c r="AL68" s="1660"/>
      <c r="AM68" s="1660"/>
      <c r="AN68" s="1660"/>
      <c r="AO68" s="1660"/>
      <c r="AP68" s="1660"/>
      <c r="AQ68" s="1660"/>
      <c r="AR68" s="1660"/>
      <c r="AS68" s="1660"/>
      <c r="AT68" s="1660"/>
      <c r="AU68" s="1660"/>
      <c r="AV68" s="1660"/>
      <c r="AW68" s="1660"/>
      <c r="AX68" s="1660"/>
      <c r="AY68" s="1660"/>
      <c r="AZ68" s="1660"/>
      <c r="BA68" s="1660"/>
      <c r="BB68" s="1660"/>
      <c r="BC68" s="1660"/>
      <c r="BD68" s="1660"/>
      <c r="BE68" s="1661"/>
      <c r="BI68" s="722" t="s">
        <v>325</v>
      </c>
      <c r="BJ68" s="722">
        <v>5</v>
      </c>
      <c r="BK68" s="722" t="s">
        <v>324</v>
      </c>
      <c r="BL68" s="805"/>
      <c r="BM68" s="806"/>
      <c r="BN68" s="739">
        <f t="shared" si="20"/>
        <v>0</v>
      </c>
      <c r="BO68"/>
      <c r="BP68" s="736"/>
      <c r="BQ68" s="717"/>
      <c r="BR68" s="807"/>
      <c r="BS68" s="739">
        <f>IF(BR68=0,0,BQ68/BR68)</f>
        <v>0</v>
      </c>
      <c r="BT68"/>
      <c r="BU68" s="736"/>
      <c r="BX68" s="666" t="str">
        <f t="shared" si="17"/>
        <v>Feb</v>
      </c>
      <c r="BY68" s="806">
        <f>IF(CB68=$CB76,SUMIF($BI64:$BI75,$BX68,$BR64:$BR75),SUMIF($BI64:$BI75,$BX68,$BM64:$BM75))</f>
        <v>0</v>
      </c>
      <c r="BZ68" s="736" t="e">
        <f>IF(IF(CB68=CB76,SUMIF(BI64:BI75,$BX68,BU64:BU75),SUMIF(BI64:BI75,$BX68,BP64:BP75))=0,NA(),IF(CB68=CB76,SUMIF(BI64:BI75,$BX68,BU64:BU75),SUMIF(BI64:BI75,$BX68,BP64:BP75)))</f>
        <v>#N/A</v>
      </c>
      <c r="CA68" s="739" t="e">
        <f>IF(IF(CB68=CB76,SUMIF(BI64:BI75,$BX68,BS64:BS75),SUMIF(BI64:BI75,$BX68,BN64:BN75))=0,NA(),IF(CB68=CB76,SUMIF(BI64:BI75,$BX68,BS64:BS75),SUMIF(BI64:BI75,$BX68,BN64:BN75)))</f>
        <v>#N/A</v>
      </c>
      <c r="CB68" s="730">
        <f t="shared" si="18"/>
        <v>23</v>
      </c>
      <c r="CC68" s="730">
        <f t="shared" si="19"/>
        <v>2</v>
      </c>
    </row>
    <row r="69" spans="2:81" ht="14.65" hidden="1" customHeight="1">
      <c r="B69" s="1662"/>
      <c r="C69" s="1663"/>
      <c r="D69" s="1663"/>
      <c r="E69" s="1663"/>
      <c r="F69" s="1663"/>
      <c r="G69" s="1663"/>
      <c r="H69" s="1663"/>
      <c r="I69" s="1663"/>
      <c r="J69" s="1663"/>
      <c r="K69" s="1663"/>
      <c r="L69" s="1663"/>
      <c r="M69" s="1663"/>
      <c r="N69" s="1663"/>
      <c r="O69" s="1663"/>
      <c r="P69" s="1663"/>
      <c r="Q69" s="1663"/>
      <c r="R69" s="1663"/>
      <c r="S69" s="1663"/>
      <c r="T69" s="1663"/>
      <c r="U69" s="1663"/>
      <c r="V69" s="1663"/>
      <c r="W69" s="1663"/>
      <c r="X69" s="1663"/>
      <c r="Y69" s="1663"/>
      <c r="Z69" s="1663"/>
      <c r="AA69" s="1663"/>
      <c r="AB69" s="1664"/>
      <c r="AE69" s="1662"/>
      <c r="AF69" s="1663"/>
      <c r="AG69" s="1663"/>
      <c r="AH69" s="1663"/>
      <c r="AI69" s="1663"/>
      <c r="AJ69" s="1663"/>
      <c r="AK69" s="1663"/>
      <c r="AL69" s="1663"/>
      <c r="AM69" s="1663"/>
      <c r="AN69" s="1663"/>
      <c r="AO69" s="1663"/>
      <c r="AP69" s="1663"/>
      <c r="AQ69" s="1663"/>
      <c r="AR69" s="1663"/>
      <c r="AS69" s="1663"/>
      <c r="AT69" s="1663"/>
      <c r="AU69" s="1663"/>
      <c r="AV69" s="1663"/>
      <c r="AW69" s="1663"/>
      <c r="AX69" s="1663"/>
      <c r="AY69" s="1663"/>
      <c r="AZ69" s="1663"/>
      <c r="BA69" s="1663"/>
      <c r="BB69" s="1663"/>
      <c r="BC69" s="1663"/>
      <c r="BD69" s="1663"/>
      <c r="BE69" s="1664"/>
      <c r="BI69" s="722" t="s">
        <v>326</v>
      </c>
      <c r="BJ69" s="722">
        <v>6</v>
      </c>
      <c r="BK69" s="722" t="s">
        <v>324</v>
      </c>
      <c r="BL69" s="805"/>
      <c r="BM69" s="806"/>
      <c r="BN69" s="739">
        <f t="shared" si="20"/>
        <v>0</v>
      </c>
      <c r="BO69"/>
      <c r="BP69" s="736"/>
      <c r="BQ69" s="717"/>
      <c r="BR69" s="807"/>
      <c r="BS69" s="739"/>
      <c r="BT69"/>
      <c r="BU69" s="736"/>
      <c r="BX69" s="666" t="str">
        <f t="shared" si="17"/>
        <v>Mar</v>
      </c>
      <c r="BY69" s="806">
        <f>IF(CB69=$CB76,SUMIF($BI64:$BI75,$BX69,$BR64:$BR75),SUMIF($BI64:$BI75,$BX69,$BM64:$BM75))</f>
        <v>0</v>
      </c>
      <c r="BZ69" s="736" t="e">
        <f>IF(IF(CB69=CB76,SUMIF(BI64:BI75,$BX69,BU64:BU75),SUMIF(BI64:BI75,$BX69,BP64:BP75))=0,NA(),IF(CB69=CB76,SUMIF(BI64:BI75,$BX69,BU64:BU75),SUMIF(BI64:BI75,$BX69,BP64:BP75)))</f>
        <v>#N/A</v>
      </c>
      <c r="CA69" s="739" t="e">
        <f>IF(IF(CB69=CB76,SUMIF(BI64:BI75,$BX69,BS64:BS75),SUMIF(BI64:BI75,$BX69,BN64:BN75))=0,NA(),IF(CB69=CB76,SUMIF(BI64:BI75,$BX69,BS64:BS75),SUMIF(BI64:BI75,$BX69,BN64:BN75)))</f>
        <v>#N/A</v>
      </c>
      <c r="CB69" s="730">
        <f t="shared" si="18"/>
        <v>23</v>
      </c>
      <c r="CC69" s="730">
        <f t="shared" si="19"/>
        <v>3</v>
      </c>
    </row>
    <row r="70" spans="2:81" ht="14.65" hidden="1" customHeight="1">
      <c r="BI70" s="722" t="s">
        <v>327</v>
      </c>
      <c r="BJ70" s="722">
        <v>7</v>
      </c>
      <c r="BK70" s="722" t="s">
        <v>328</v>
      </c>
      <c r="BL70" s="805"/>
      <c r="BM70" s="806"/>
      <c r="BN70" s="739">
        <f t="shared" si="20"/>
        <v>0</v>
      </c>
      <c r="BO70" s="138">
        <f>IF(SUM(BM70:BM72=0),0,SUM(BL70:BL72)/SUM(BM70:BM72))</f>
        <v>0</v>
      </c>
      <c r="BP70" s="736"/>
      <c r="BQ70" s="717"/>
      <c r="BR70" s="807"/>
      <c r="BS70" s="739"/>
      <c r="BT70" s="138">
        <f>IF(SUM(BR70:BR72=0),0,SUM(BQ70:BQ72)/SUM(BR70:BR72))</f>
        <v>0</v>
      </c>
      <c r="BU70" s="736"/>
      <c r="BX70" s="666" t="str">
        <f t="shared" si="17"/>
        <v>Apr</v>
      </c>
      <c r="BY70" s="806">
        <f>IF(CB70=$CB76,SUMIF($BI64:$BI75,$BX70,$BR64:$BR75),SUMIF($BI64:$BI75,$BX70,$BM64:$BM75))</f>
        <v>0</v>
      </c>
      <c r="BZ70" s="736" t="e">
        <f>IF(IF(CB70=CB76,SUMIF(BI64:BI75,$BX70,BU64:BU75),SUMIF(BI64:BI75,$BX70,BP64:BP75))=0,NA(),IF(CB70=CB76,SUMIF(BI64:BI75,$BX70,BU64:BU75),SUMIF(BI64:BI75,$BX70,BP64:BP75)))</f>
        <v>#N/A</v>
      </c>
      <c r="CA70" s="739" t="e">
        <f>IF(IF(CB70=CB76,SUMIF(BI64:BI75,$BX70,BS64:BS75),SUMIF(BI64:BI75,$BX70,BN64:BN75))=0,NA(),IF(CB70=CB76,SUMIF(BI64:BI75,$BX70,BS64:BS75),SUMIF(BI64:BI75,$BX70,BN64:BN75)))</f>
        <v>#N/A</v>
      </c>
      <c r="CB70" s="730">
        <f t="shared" si="18"/>
        <v>23</v>
      </c>
      <c r="CC70" s="730">
        <f t="shared" si="19"/>
        <v>4</v>
      </c>
    </row>
    <row r="71" spans="2:81" ht="14.65" hidden="1" customHeight="1">
      <c r="B71" s="52"/>
      <c r="AD71"/>
      <c r="BI71" s="722" t="s">
        <v>329</v>
      </c>
      <c r="BJ71" s="722">
        <v>8</v>
      </c>
      <c r="BK71" s="722" t="s">
        <v>328</v>
      </c>
      <c r="BL71" s="805"/>
      <c r="BM71" s="806"/>
      <c r="BN71" s="739">
        <f t="shared" si="20"/>
        <v>0</v>
      </c>
      <c r="BO71"/>
      <c r="BP71" s="736"/>
      <c r="BQ71" s="717"/>
      <c r="BR71" s="807"/>
      <c r="BS71" s="739"/>
      <c r="BT71"/>
      <c r="BU71" s="736"/>
      <c r="BX71" s="666" t="str">
        <f t="shared" si="17"/>
        <v>May</v>
      </c>
      <c r="BY71" s="806">
        <f>IF(CB71=$CB76,SUMIF($BI64:$BI75,$BX71,$BR64:$BR75),SUMIF($BI64:$BI75,$BX71,$BM64:$BM75))</f>
        <v>0</v>
      </c>
      <c r="BZ71" s="736" t="e">
        <f>IF(IF(CB71=CB76,SUMIF(BI64:BI75,$BX71,BU64:BU75),SUMIF(BI64:BI75,$BX71,BP64:BP75))=0,NA(),IF(CB71=CB76,SUMIF(BI64:BI75,$BX71,BU64:BU75),SUMIF(BI64:BI75,$BX71,BP64:BP75)))</f>
        <v>#N/A</v>
      </c>
      <c r="CA71" s="739" t="e">
        <f>IF(IF(CB71=CB76,SUMIF(BI64:BI75,$BX71,BS64:BS75),SUMIF(BI64:BI75,$BX71,BN64:BN75))=0,NA(),IF(CB71=CB76,SUMIF(BI64:BI75,$BX71,BS64:BS75),SUMIF(BI64:BI75,$BX71,BN64:BN75)))</f>
        <v>#N/A</v>
      </c>
      <c r="CB71" s="730">
        <f t="shared" si="18"/>
        <v>23</v>
      </c>
      <c r="CC71" s="730">
        <f t="shared" si="19"/>
        <v>5</v>
      </c>
    </row>
    <row r="72" spans="2:81" ht="14.65" hidden="1" customHeight="1">
      <c r="BI72" s="722" t="s">
        <v>331</v>
      </c>
      <c r="BJ72" s="722">
        <v>9</v>
      </c>
      <c r="BK72" s="722" t="s">
        <v>328</v>
      </c>
      <c r="BL72" s="805"/>
      <c r="BM72" s="806"/>
      <c r="BN72" s="739">
        <f t="shared" si="20"/>
        <v>0</v>
      </c>
      <c r="BO72"/>
      <c r="BP72" s="736"/>
      <c r="BQ72" s="717"/>
      <c r="BR72" s="807"/>
      <c r="BS72" s="739"/>
      <c r="BT72"/>
      <c r="BU72" s="736"/>
      <c r="BX72" s="666" t="str">
        <f t="shared" si="17"/>
        <v>Jun</v>
      </c>
      <c r="BY72" s="806">
        <f>IF(CB72=$CB76,SUMIF($BI64:$BI75,$BX72,$BR64:$BR75),SUMIF($BI64:$BI75,$BX72,$BM64:$BM75))</f>
        <v>0</v>
      </c>
      <c r="BZ72" s="736" t="e">
        <f>IF(IF(CB72=CB76,SUMIF(BI64:BI75,$BX72,BU64:BU75),SUMIF(BI64:BI75,$BX72,BP64:BP75))=0,NA(),IF(CB72=CB76,SUMIF(BI64:BI75,$BX72,BU64:BU75),SUMIF(BI64:BI75,$BX72,BP64:BP75)))</f>
        <v>#N/A</v>
      </c>
      <c r="CA72" s="739" t="e">
        <f>IF(IF(CB72=CB76,SUMIF(BI64:BI75,$BX72,BS64:BS75),SUMIF(BI64:BI75,$BX72,BN64:BN75))=0,NA(),IF(CB72=CB76,SUMIF(BI64:BI75,$BX72,BS64:BS75),SUMIF(BI64:BI75,$BX72,BN64:BN75)))</f>
        <v>#N/A</v>
      </c>
      <c r="CB72" s="730">
        <f t="shared" si="18"/>
        <v>23</v>
      </c>
      <c r="CC72" s="730">
        <f t="shared" si="19"/>
        <v>6</v>
      </c>
    </row>
    <row r="73" spans="2:81" ht="14.65" hidden="1" customHeight="1">
      <c r="BI73" s="722" t="s">
        <v>337</v>
      </c>
      <c r="BJ73" s="722">
        <v>10</v>
      </c>
      <c r="BK73" s="722" t="s">
        <v>338</v>
      </c>
      <c r="BL73" s="805"/>
      <c r="BM73" s="806"/>
      <c r="BN73" s="739">
        <f t="shared" si="20"/>
        <v>0</v>
      </c>
      <c r="BO73" s="138">
        <f>IF(SUM(BM73:BM75=0),0,SUM(BL73:BL75)/SUM(BM73:BM75))</f>
        <v>0</v>
      </c>
      <c r="BP73" s="736"/>
      <c r="BQ73" s="717"/>
      <c r="BR73" s="807"/>
      <c r="BS73" s="739"/>
      <c r="BT73" s="138">
        <f>IF(SUM(BR73:BR75=0),0,SUM(BQ73:BQ75)/SUM(BR73:BR75))</f>
        <v>0</v>
      </c>
      <c r="BU73" s="736"/>
      <c r="BX73" s="666" t="str">
        <f t="shared" si="17"/>
        <v>Jul</v>
      </c>
      <c r="BY73" s="806">
        <f>IF(CB73=$CB76,SUMIF($BI64:$BI75,$BX73,$BR64:$BR75),SUMIF($BI64:$BI75,$BX73,$BM64:$BM75))</f>
        <v>0</v>
      </c>
      <c r="BZ73" s="736" t="e">
        <f>IF(IF(CB73=CB76,SUMIF(BI64:BI75,$BX73,BU64:BU75),SUMIF(BI64:BI75,$BX73,BP64:BP75))=0,NA(),IF(CB73=CB76,SUMIF(BI64:BI75,$BX73,BU64:BU75),SUMIF(BI64:BI75,$BX73,BP64:BP75)))</f>
        <v>#N/A</v>
      </c>
      <c r="CA73" s="739" t="e">
        <f>IF(IF(CB73=CB76,SUMIF(BI64:BI75,$BX73,BS64:BS75),SUMIF(BI64:BI75,$BX73,BN64:BN75))=0,NA(),IF(CB73=CB76,SUMIF(BI64:BI75,$BX73,BS64:BS75),SUMIF(BI64:BI75,$BX73,BN64:BN75)))</f>
        <v>#N/A</v>
      </c>
      <c r="CB73" s="730">
        <f t="shared" si="18"/>
        <v>23</v>
      </c>
      <c r="CC73" s="730">
        <f t="shared" si="19"/>
        <v>7</v>
      </c>
    </row>
    <row r="74" spans="2:81" ht="14.65" hidden="1" customHeight="1">
      <c r="BI74" s="722" t="s">
        <v>343</v>
      </c>
      <c r="BJ74" s="722">
        <v>11</v>
      </c>
      <c r="BK74" s="722" t="s">
        <v>338</v>
      </c>
      <c r="BL74" s="805"/>
      <c r="BM74" s="806"/>
      <c r="BN74" s="739">
        <f t="shared" si="20"/>
        <v>0</v>
      </c>
      <c r="BO74"/>
      <c r="BP74" s="736"/>
      <c r="BQ74" s="717"/>
      <c r="BR74" s="807"/>
      <c r="BS74" s="739"/>
      <c r="BT74"/>
      <c r="BU74" s="736"/>
      <c r="BX74" s="666" t="str">
        <f t="shared" si="17"/>
        <v>Aug</v>
      </c>
      <c r="BY74" s="806">
        <f>IF(CB74=$CB76,SUMIF($BI64:$BI75,$BX74,$BR64:$BR75),SUMIF($BI64:$BI75,$BX74,$BM64:$BM75))</f>
        <v>0</v>
      </c>
      <c r="BZ74" s="736" t="e">
        <f>IF(IF(CB74=CB76,SUMIF(BI64:BI75,$BX74,BU64:BU75),SUMIF(BI64:BI75,$BX74,BP64:BP75))=0,NA(),IF(CB74=CB76,SUMIF(BI64:BI75,$BX74,BU64:BU75),SUMIF(BI64:BI75,$BX74,BP64:BP75)))</f>
        <v>#N/A</v>
      </c>
      <c r="CA74" s="739" t="e">
        <f>IF(IF(CB74=CB76,SUMIF(BI64:BI75,$BX74,BS64:BS75),SUMIF(BI64:BI75,$BX74,BN64:BN75))=0,NA(),IF(CB74=CB76,SUMIF(BI64:BI75,$BX74,BS64:BS75),SUMIF(BI64:BI75,$BX74,BN64:BN75)))</f>
        <v>#N/A</v>
      </c>
      <c r="CB74" s="730">
        <f t="shared" si="18"/>
        <v>23</v>
      </c>
      <c r="CC74" s="730">
        <f t="shared" si="19"/>
        <v>8</v>
      </c>
    </row>
    <row r="75" spans="2:81" ht="14.65" hidden="1" customHeight="1">
      <c r="BI75" s="722" t="s">
        <v>344</v>
      </c>
      <c r="BJ75" s="722">
        <v>12</v>
      </c>
      <c r="BK75" s="722" t="s">
        <v>338</v>
      </c>
      <c r="BL75" s="805"/>
      <c r="BM75" s="806"/>
      <c r="BN75" s="739">
        <f t="shared" si="20"/>
        <v>0</v>
      </c>
      <c r="BO75"/>
      <c r="BP75" s="736"/>
      <c r="BQ75" s="717"/>
      <c r="BR75" s="807"/>
      <c r="BS75" s="739"/>
      <c r="BT75"/>
      <c r="BU75" s="736"/>
      <c r="BX75" s="666" t="str">
        <f t="shared" si="17"/>
        <v>Sep</v>
      </c>
      <c r="BY75" s="806">
        <f>IF(CB75=$CB76,SUMIF($BI64:$BI75,$BX75,$BR64:$BR75),SUMIF($BI64:$BI75,$BX75,$BM64:$BM75))</f>
        <v>0</v>
      </c>
      <c r="BZ75" s="736" t="e">
        <f>IF(IF(CB75=CB76,SUMIF(BI64:BI75,$BX75,BU64:BU75),SUMIF(BI64:BI75,$BX75,BP64:BP75))=0,NA(),IF(CB75=CB76,SUMIF(BI64:BI75,$BX75,BU64:BU75),SUMIF(BI64:BI75,$BX75,BP64:BP75)))</f>
        <v>#N/A</v>
      </c>
      <c r="CA75" s="739" t="e">
        <f>IF(IF(CB75=CB76,SUMIF(BI64:BI75,$BX75,BS64:BS75),SUMIF(BI64:BI75,$BX75,BN64:BN75))=0,NA(),IF(CB75=CB76,SUMIF(BI64:BI75,$BX75,BS64:BS75),SUMIF(BI64:BI75,$BX75,BN64:BN75)))</f>
        <v>#N/A</v>
      </c>
      <c r="CB75" s="730">
        <f>IF(CC75=9,CB76-1,CB76)</f>
        <v>23</v>
      </c>
      <c r="CC75" s="730">
        <f>IF(CC76-1&lt;1,CC76+11,CC76-1)</f>
        <v>9</v>
      </c>
    </row>
    <row r="76" spans="2:81" ht="14.65" hidden="1" customHeight="1">
      <c r="BW76" s="667" t="str">
        <f>Cover!$M$34</f>
        <v>OCT FY-24</v>
      </c>
      <c r="BX76" s="666" t="str">
        <f>TEXT(CONCATENATE(CC76,"/01/20",CB76),"MMM")</f>
        <v>Oct</v>
      </c>
      <c r="BY76" s="806">
        <f>SUMIF($BI64:$BI75,$BX76,$BR64:$BR75)</f>
        <v>0</v>
      </c>
      <c r="BZ76" s="736" t="e">
        <f>IF(IF(CB76=CB76,SUMIF(BI64:BI75,$BX76,BU64:BU75),SUMIF(BI64:BI75,$BX76,BP64:BP75))=0,NA(),IF(CB76=CB76,SUMIF(BI64:BI75,$BX76,BU64:BU75),SUMIF(BI64:BI75,$BX76,BP64:BP75)))</f>
        <v>#N/A</v>
      </c>
      <c r="CA76" s="739" t="e">
        <f>IF(SUMIF($BI64:$BI75,$BX76,$BS64:$BS75)=0,NA(),SUMIF($BI64:$BI75,$BX76,$BS64:$BS75))</f>
        <v>#N/A</v>
      </c>
      <c r="CB76" s="730" t="str">
        <f>RIGHT(BW76,2)</f>
        <v>24</v>
      </c>
      <c r="CC76" s="730">
        <f>MONTH(DATEVALUE(LEFT(BW76,3)&amp;" 1"))</f>
        <v>10</v>
      </c>
    </row>
    <row r="77" spans="2:81" ht="14.65" hidden="1" customHeight="1"/>
    <row r="78" spans="2:81" ht="14.65" hidden="1" customHeight="1">
      <c r="BI78" s="1" t="s">
        <v>292</v>
      </c>
      <c r="BJ78" s="166"/>
      <c r="BK78" s="166"/>
      <c r="BL78" s="166"/>
      <c r="BM78" s="166"/>
      <c r="BN78" s="166"/>
      <c r="BO78" s="166"/>
      <c r="BP78" s="166"/>
      <c r="BQ78" s="166"/>
      <c r="BR78" s="166"/>
      <c r="BS78" s="166"/>
      <c r="BT78" s="166"/>
      <c r="BU78" s="166"/>
    </row>
    <row r="79" spans="2:81" ht="14.65" hidden="1" customHeight="1">
      <c r="BI79" s="54" t="s">
        <v>296</v>
      </c>
      <c r="BJ79" s="166"/>
      <c r="BK79" s="166"/>
      <c r="BL79" s="166"/>
      <c r="BM79" s="166"/>
      <c r="BN79" s="166"/>
      <c r="BO79" s="166"/>
      <c r="BP79" s="166"/>
      <c r="BQ79" s="166"/>
      <c r="BR79" s="166"/>
      <c r="BS79" s="166"/>
      <c r="BT79" s="166"/>
      <c r="BU79" s="166"/>
    </row>
    <row r="80" spans="2:81" ht="14.65" hidden="1" customHeight="1" thickBot="1">
      <c r="BI80" s="1" t="s">
        <v>300</v>
      </c>
      <c r="BJ80" s="166"/>
      <c r="BK80" s="166"/>
      <c r="BL80" s="166"/>
      <c r="BM80" s="166"/>
      <c r="BN80" s="166"/>
      <c r="BO80" s="166"/>
      <c r="BP80" s="166"/>
      <c r="BQ80" s="166"/>
      <c r="BR80" s="166"/>
      <c r="BS80" s="166"/>
      <c r="BT80" s="166"/>
      <c r="BU80" s="166"/>
    </row>
    <row r="81" spans="2:81" ht="14.65" hidden="1" customHeight="1" thickBot="1">
      <c r="BI81" s="2"/>
      <c r="BL81" s="1490" t="s">
        <v>661</v>
      </c>
      <c r="BM81" s="1491"/>
      <c r="BN81" s="1491"/>
      <c r="BO81" s="1491"/>
      <c r="BP81" s="1521"/>
      <c r="BQ81" s="1490" t="s">
        <v>662</v>
      </c>
      <c r="BR81" s="1491"/>
      <c r="BS81" s="1491"/>
      <c r="BT81" s="1491"/>
      <c r="BU81" s="1492"/>
      <c r="BW81" s="1490" t="s">
        <v>303</v>
      </c>
      <c r="BX81" s="1491"/>
      <c r="BY81" s="1491"/>
      <c r="BZ81" s="1491"/>
      <c r="CA81" s="1491"/>
      <c r="CB81" s="1491"/>
      <c r="CC81" s="1492"/>
    </row>
    <row r="82" spans="2:81" ht="14.65" hidden="1" customHeight="1">
      <c r="BI82" s="720" t="s">
        <v>23</v>
      </c>
      <c r="BJ82" s="720" t="s">
        <v>37</v>
      </c>
      <c r="BK82" s="720" t="s">
        <v>304</v>
      </c>
      <c r="BL82" s="721" t="s">
        <v>305</v>
      </c>
      <c r="BM82" s="721" t="s">
        <v>306</v>
      </c>
      <c r="BN82" s="721" t="s">
        <v>663</v>
      </c>
      <c r="BO82" s="135" t="s">
        <v>664</v>
      </c>
      <c r="BP82" s="721" t="s">
        <v>665</v>
      </c>
      <c r="BQ82" s="721" t="s">
        <v>305</v>
      </c>
      <c r="BR82" s="721" t="s">
        <v>666</v>
      </c>
      <c r="BS82" s="721" t="s">
        <v>667</v>
      </c>
      <c r="BT82" s="135" t="s">
        <v>668</v>
      </c>
      <c r="BU82" s="721" t="s">
        <v>669</v>
      </c>
      <c r="BW82" s="164" t="s">
        <v>314</v>
      </c>
      <c r="BX82" s="164" t="s">
        <v>23</v>
      </c>
      <c r="BY82" s="164" t="s">
        <v>315</v>
      </c>
      <c r="BZ82" s="164" t="s">
        <v>122</v>
      </c>
      <c r="CA82" s="164" t="s">
        <v>316</v>
      </c>
      <c r="CB82" s="164" t="s">
        <v>317</v>
      </c>
      <c r="CC82" s="164" t="s">
        <v>318</v>
      </c>
    </row>
    <row r="83" spans="2:81" ht="14.65" hidden="1" customHeight="1">
      <c r="BI83" s="722" t="s">
        <v>319</v>
      </c>
      <c r="BJ83" s="722">
        <v>1</v>
      </c>
      <c r="BK83" s="722" t="s">
        <v>320</v>
      </c>
      <c r="BL83" s="805"/>
      <c r="BM83" s="805"/>
      <c r="BN83" s="735">
        <f>IF(BM83=0,0,BL83/BM83)</f>
        <v>0</v>
      </c>
      <c r="BO83" s="138">
        <f>IF(SUM(BM83:BM85=0),0,SUM(BL83:BL85)/SUM(BM83:BM85))</f>
        <v>0</v>
      </c>
      <c r="BP83" s="736"/>
      <c r="BQ83" s="717"/>
      <c r="BR83" s="717"/>
      <c r="BS83" s="735">
        <f>IF(BR83=0,0,BQ83/BR83)</f>
        <v>0</v>
      </c>
      <c r="BT83" s="138">
        <f>IF(SUM(BR83:BR85=0),0,SUM(BQ83:BQ85)/SUM(BR83:BR85))</f>
        <v>0</v>
      </c>
      <c r="BU83" s="736"/>
      <c r="BX83" s="666" t="str">
        <f t="shared" ref="BX83:BX94" si="21">TEXT(CONCATENATE(CC83,"/01/20",CB83),"MMM")</f>
        <v>Oct</v>
      </c>
      <c r="BY83" s="806">
        <f>IF(CB83=$CB95,SUMIF($BI83:$BI94,$BX83,$BR83:$BR94),SUMIF($BI83:$BI94,$BX83,$BM83:$BM94))</f>
        <v>0</v>
      </c>
      <c r="BZ83" s="736" t="e">
        <f>IF(IF(CB83=CB95,SUMIF(BI83:BI94,$BX83,BU83:BU94),SUMIF(BI83:BI94,$BX83,BP83:BP94))=0,NA(),IF(CB83=CB95,SUMIF(BI83:BI94,$BX83,BU83:BU94),SUMIF(BI83:BI94,$BX83,BP83:BP94)))</f>
        <v>#N/A</v>
      </c>
      <c r="CA83" s="739" t="e">
        <f>IF(IF(CB83=CB95,SUMIF(BI83:BI94,$BX83,BS83:BS94),SUMIF(BI83:BI94,$BX83,BN83:BN94))=0,NA(),IF(CB83=CB95,SUMIF(BI83:BI94,$BX83,BS83:BS94),SUMIF(BI83:BI94,$BX83,BN83:BN94)))</f>
        <v>#N/A</v>
      </c>
      <c r="CB83" s="730">
        <f t="shared" ref="CB83:CB93" si="22">IF(CC83=9,CB84-1,CB84)</f>
        <v>23</v>
      </c>
      <c r="CC83" s="730">
        <f t="shared" ref="CC83:CC93" si="23">IF(CC84-1&lt;1,CC84+11,CC84-1)</f>
        <v>10</v>
      </c>
    </row>
    <row r="84" spans="2:81" ht="14.65" hidden="1" customHeight="1">
      <c r="BI84" s="722" t="s">
        <v>321</v>
      </c>
      <c r="BJ84" s="722">
        <v>2</v>
      </c>
      <c r="BK84" s="722" t="s">
        <v>320</v>
      </c>
      <c r="BL84" s="805"/>
      <c r="BM84" s="805"/>
      <c r="BN84" s="735">
        <f t="shared" ref="BN84:BN94" si="24">IF(BM84=0,0,BL84/BM84)</f>
        <v>0</v>
      </c>
      <c r="BO84"/>
      <c r="BP84" s="736"/>
      <c r="BQ84" s="717"/>
      <c r="BR84" s="717"/>
      <c r="BS84" s="735">
        <f>IF(BR84=0,0,BQ84/BR84)</f>
        <v>0</v>
      </c>
      <c r="BT84"/>
      <c r="BU84" s="736"/>
      <c r="BX84" s="666" t="str">
        <f t="shared" si="21"/>
        <v>Nov</v>
      </c>
      <c r="BY84" s="806">
        <f>IF(CB84=$CB95,SUMIF($BI83:$BI94,$BX84,$BR83:$BR94),SUMIF($BI83:$BI94,$BX84,$BM83:$BM94))</f>
        <v>0</v>
      </c>
      <c r="BZ84" s="736" t="e">
        <f>IF(IF(CB84=CB95,SUMIF(BI83:BI94,$BX84,BU83:BU94),SUMIF(BI83:BI94,$BX84,BP83:BP94))=0,NA(),IF(CB84=CB95,SUMIF(BI83:BI94,$BX84,BU83:BU94),SUMIF(BI83:BI94,$BX84,BP83:BP94)))</f>
        <v>#N/A</v>
      </c>
      <c r="CA84" s="739" t="e">
        <f>IF(IF(CB84=CB95,SUMIF(BI83:BI94,$BX84,BS83:BS94),SUMIF(BI83:BI94,$BX84,BN83:BN94))=0,NA(),IF(CB84=CB95,SUMIF(BI83:BI94,$BX84,BS83:BS94),SUMIF(BI83:BI94,$BX84,BN83:BN94)))</f>
        <v>#N/A</v>
      </c>
      <c r="CB84" s="730">
        <f t="shared" si="22"/>
        <v>23</v>
      </c>
      <c r="CC84" s="730">
        <f t="shared" si="23"/>
        <v>11</v>
      </c>
    </row>
    <row r="85" spans="2:81" ht="14.65" hidden="1" customHeight="1">
      <c r="BI85" s="722" t="s">
        <v>322</v>
      </c>
      <c r="BJ85" s="722">
        <v>3</v>
      </c>
      <c r="BK85" s="722" t="s">
        <v>320</v>
      </c>
      <c r="BL85" s="805"/>
      <c r="BM85" s="805"/>
      <c r="BN85" s="735">
        <f t="shared" si="24"/>
        <v>0</v>
      </c>
      <c r="BO85"/>
      <c r="BP85" s="736"/>
      <c r="BQ85" s="717"/>
      <c r="BR85" s="717"/>
      <c r="BS85" s="735">
        <f>IF(BR85=0,0,BQ85/BR85)</f>
        <v>0</v>
      </c>
      <c r="BT85"/>
      <c r="BU85" s="736"/>
      <c r="BX85" s="666" t="str">
        <f t="shared" si="21"/>
        <v>Dec</v>
      </c>
      <c r="BY85" s="806">
        <f>IF(CB85=$CB95,SUMIF($BI83:$BI94,$BX85,$BR83:$BR94),SUMIF($BI83:$BI94,$BX85,$BM83:$BM94))</f>
        <v>0</v>
      </c>
      <c r="BZ85" s="736" t="e">
        <f>IF(IF(CB85=CB95,SUMIF(BI83:BI94,$BX85,BU83:BU94),SUMIF(BI83:BI94,$BX85,BP83:BP94))=0,NA(),IF(CB85=CB95,SUMIF(BI83:BI94,$BX85,BU83:BU94),SUMIF(BI83:BI94,$BX85,BP83:BP94)))</f>
        <v>#N/A</v>
      </c>
      <c r="CA85" s="739" t="e">
        <f>IF(IF(CB85=CB95,SUMIF(BI83:BI94,$BX85,BS83:BS94),SUMIF(BI83:BI94,$BX85,BN83:BN94))=0,NA(),IF(CB85=CB95,SUMIF(BI83:BI94,$BX85,BS83:BS94),SUMIF(BI83:BI94,$BX85,BN83:BN94)))</f>
        <v>#N/A</v>
      </c>
      <c r="CB85" s="730">
        <f t="shared" si="22"/>
        <v>23</v>
      </c>
      <c r="CC85" s="730">
        <f t="shared" si="23"/>
        <v>12</v>
      </c>
    </row>
    <row r="86" spans="2:81" ht="14.65" hidden="1" customHeight="1">
      <c r="BI86" s="722" t="s">
        <v>323</v>
      </c>
      <c r="BJ86" s="722">
        <v>4</v>
      </c>
      <c r="BK86" s="722" t="s">
        <v>324</v>
      </c>
      <c r="BL86" s="805"/>
      <c r="BM86" s="805"/>
      <c r="BN86" s="735">
        <f t="shared" si="24"/>
        <v>0</v>
      </c>
      <c r="BO86" s="138">
        <f>IF(SUM(BM86:BM88=0),0,SUM(BL86:BL88)/SUM(BM86:BM88))</f>
        <v>0</v>
      </c>
      <c r="BP86" s="736"/>
      <c r="BQ86" s="717"/>
      <c r="BR86" s="717"/>
      <c r="BS86" s="735">
        <f>IF(BR86=0,0,BQ86/BR86)</f>
        <v>0</v>
      </c>
      <c r="BT86" s="138">
        <f>IF(SUM(BR86:BR88=0),0,SUM(BQ86:BQ88)/SUM(BR86:BR88))</f>
        <v>0</v>
      </c>
      <c r="BU86" s="736"/>
      <c r="BX86" s="666" t="str">
        <f t="shared" si="21"/>
        <v>Jan</v>
      </c>
      <c r="BY86" s="806">
        <f>IF(CB86=$CB95,SUMIF($BI83:$BI94,$BX86,$BR83:$BR94),SUMIF($BI83:$BI94,$BX86,$BM83:$BM94))</f>
        <v>0</v>
      </c>
      <c r="BZ86" s="736" t="e">
        <f>IF(IF(CB86=CB95,SUMIF(BI83:BI94,$BX86,BU83:BU94),SUMIF(BI83:BI94,$BX86,BP83:BP94))=0,NA(),IF(CB86=CB95,SUMIF(BI83:BI94,$BX86,BU83:BU94),SUMIF(BI83:BI94,$BX86,BP83:BP94)))</f>
        <v>#N/A</v>
      </c>
      <c r="CA86" s="739" t="e">
        <f>IF(IF(CB86=CB95,SUMIF(BI83:BI94,$BX86,BS83:BS94),SUMIF(BI83:BI94,$BX86,BN83:BN94))=0,NA(),IF(CB86=CB95,SUMIF(BI83:BI94,$BX86,BS83:BS94),SUMIF(BI83:BI94,$BX86,BN83:BN94)))</f>
        <v>#N/A</v>
      </c>
      <c r="CB86" s="730">
        <f t="shared" si="22"/>
        <v>23</v>
      </c>
      <c r="CC86" s="730">
        <f t="shared" si="23"/>
        <v>1</v>
      </c>
    </row>
    <row r="87" spans="2:81" ht="15" hidden="1">
      <c r="BI87" s="722" t="s">
        <v>325</v>
      </c>
      <c r="BJ87" s="722">
        <v>5</v>
      </c>
      <c r="BK87" s="722" t="s">
        <v>324</v>
      </c>
      <c r="BL87" s="805"/>
      <c r="BM87" s="805"/>
      <c r="BN87" s="735">
        <f t="shared" si="24"/>
        <v>0</v>
      </c>
      <c r="BO87"/>
      <c r="BP87" s="736"/>
      <c r="BQ87" s="717"/>
      <c r="BR87" s="717"/>
      <c r="BS87" s="735">
        <f>IF(BR87=0,0,BQ87/BR87)</f>
        <v>0</v>
      </c>
      <c r="BT87"/>
      <c r="BU87" s="736"/>
      <c r="BX87" s="666" t="str">
        <f t="shared" si="21"/>
        <v>Feb</v>
      </c>
      <c r="BY87" s="806">
        <f>IF(CB87=$CB95,SUMIF($BI83:$BI94,$BX87,$BR83:$BR94),SUMIF($BI83:$BI94,$BX87,$BM83:$BM94))</f>
        <v>0</v>
      </c>
      <c r="BZ87" s="736" t="e">
        <f>IF(IF(CB87=CB95,SUMIF(BI83:BI94,$BX87,BU83:BU94),SUMIF(BI83:BI94,$BX87,BP83:BP94))=0,NA(),IF(CB87=CB95,SUMIF(BI83:BI94,$BX87,BU83:BU94),SUMIF(BI83:BI94,$BX87,BP83:BP94)))</f>
        <v>#N/A</v>
      </c>
      <c r="CA87" s="739" t="e">
        <f>IF(IF(CB87=CB95,SUMIF(BI83:BI94,$BX87,BS83:BS94),SUMIF(BI83:BI94,$BX87,BN83:BN94))=0,NA(),IF(CB87=CB95,SUMIF(BI83:BI94,$BX87,BS83:BS94),SUMIF(BI83:BI94,$BX87,BN83:BN94)))</f>
        <v>#N/A</v>
      </c>
      <c r="CB87" s="730">
        <f t="shared" si="22"/>
        <v>23</v>
      </c>
      <c r="CC87" s="730">
        <f t="shared" si="23"/>
        <v>2</v>
      </c>
    </row>
    <row r="88" spans="2:81" ht="15" hidden="1">
      <c r="B88" s="44" t="s">
        <v>242</v>
      </c>
      <c r="C88" s="44"/>
      <c r="D88" s="44"/>
      <c r="E88" s="87"/>
      <c r="F88" s="94"/>
      <c r="G88" s="94"/>
      <c r="H88" s="94"/>
      <c r="I88" s="94"/>
      <c r="J88" s="94"/>
      <c r="K88" s="94"/>
      <c r="L88" s="94"/>
      <c r="M88" s="94"/>
      <c r="N88" s="94"/>
      <c r="O88" s="94"/>
      <c r="P88" s="94"/>
      <c r="Q88" s="94"/>
      <c r="R88" s="94"/>
      <c r="S88" s="94"/>
      <c r="T88" s="94"/>
      <c r="U88" s="94"/>
      <c r="V88" s="94"/>
      <c r="W88" s="94"/>
      <c r="X88" s="94"/>
      <c r="Y88" s="94"/>
      <c r="Z88" s="94"/>
      <c r="AA88" s="94"/>
      <c r="AB88" s="94"/>
      <c r="AE88" s="44" t="s">
        <v>242</v>
      </c>
      <c r="AF88" s="44"/>
      <c r="AG88" s="44"/>
      <c r="AH88" s="87"/>
      <c r="AI88" s="94"/>
      <c r="AJ88" s="94"/>
      <c r="AK88" s="94"/>
      <c r="AL88" s="94"/>
      <c r="AM88" s="94"/>
      <c r="AN88" s="94"/>
      <c r="AO88" s="94"/>
      <c r="AP88" s="94"/>
      <c r="AQ88" s="94"/>
      <c r="AR88" s="94"/>
      <c r="AS88" s="94"/>
      <c r="AT88" s="94"/>
      <c r="AU88" s="94"/>
      <c r="AV88" s="94"/>
      <c r="AW88" s="94"/>
      <c r="AX88" s="94"/>
      <c r="AY88" s="94"/>
      <c r="AZ88" s="94"/>
      <c r="BA88" s="94"/>
      <c r="BB88" s="94"/>
      <c r="BC88" s="94"/>
      <c r="BD88" s="94"/>
      <c r="BE88" s="94"/>
      <c r="BI88" s="722" t="s">
        <v>326</v>
      </c>
      <c r="BJ88" s="722">
        <v>6</v>
      </c>
      <c r="BK88" s="722" t="s">
        <v>324</v>
      </c>
      <c r="BL88" s="805"/>
      <c r="BM88" s="805"/>
      <c r="BN88" s="735">
        <f t="shared" si="24"/>
        <v>0</v>
      </c>
      <c r="BO88"/>
      <c r="BP88" s="736"/>
      <c r="BQ88" s="717"/>
      <c r="BR88" s="717"/>
      <c r="BS88" s="735"/>
      <c r="BT88"/>
      <c r="BU88" s="736"/>
      <c r="BX88" s="666" t="str">
        <f t="shared" si="21"/>
        <v>Mar</v>
      </c>
      <c r="BY88" s="806">
        <f>IF(CB88=$CB95,SUMIF($BI83:$BI94,$BX88,$BR83:$BR94),SUMIF($BI83:$BI94,$BX88,$BM83:$BM94))</f>
        <v>0</v>
      </c>
      <c r="BZ88" s="736" t="e">
        <f>IF(IF(CB88=CB95,SUMIF(BI83:BI94,$BX88,BU83:BU94),SUMIF(BI83:BI94,$BX88,BP83:BP94))=0,NA(),IF(CB88=CB95,SUMIF(BI83:BI94,$BX88,BU83:BU94),SUMIF(BI83:BI94,$BX88,BP83:BP94)))</f>
        <v>#N/A</v>
      </c>
      <c r="CA88" s="739" t="e">
        <f>IF(IF(CB88=CB95,SUMIF(BI83:BI94,$BX88,BS83:BS94),SUMIF(BI83:BI94,$BX88,BN83:BN94))=0,NA(),IF(CB88=CB95,SUMIF(BI83:BI94,$BX88,BS83:BS94),SUMIF(BI83:BI94,$BX88,BN83:BN94)))</f>
        <v>#N/A</v>
      </c>
      <c r="CB88" s="730">
        <f t="shared" si="22"/>
        <v>23</v>
      </c>
      <c r="CC88" s="730">
        <f t="shared" si="23"/>
        <v>3</v>
      </c>
    </row>
    <row r="89" spans="2:81" ht="15" hidden="1">
      <c r="B89" s="1656"/>
      <c r="C89" s="1657"/>
      <c r="D89" s="1657"/>
      <c r="E89" s="1657"/>
      <c r="F89" s="1657"/>
      <c r="G89" s="1657"/>
      <c r="H89" s="1657"/>
      <c r="I89" s="1657"/>
      <c r="J89" s="1657"/>
      <c r="K89" s="1657"/>
      <c r="L89" s="1657"/>
      <c r="M89" s="1657"/>
      <c r="N89" s="1657"/>
      <c r="O89" s="1657"/>
      <c r="P89" s="1657"/>
      <c r="Q89" s="1657"/>
      <c r="R89" s="1657"/>
      <c r="S89" s="1657"/>
      <c r="T89" s="1657"/>
      <c r="U89" s="1657"/>
      <c r="V89" s="1657"/>
      <c r="W89" s="1657"/>
      <c r="X89" s="1657"/>
      <c r="Y89" s="1657"/>
      <c r="Z89" s="1657"/>
      <c r="AA89" s="1657"/>
      <c r="AB89" s="1658"/>
      <c r="AE89" s="1656"/>
      <c r="AF89" s="1657"/>
      <c r="AG89" s="1657"/>
      <c r="AH89" s="1657"/>
      <c r="AI89" s="1657"/>
      <c r="AJ89" s="1657"/>
      <c r="AK89" s="1657"/>
      <c r="AL89" s="1657"/>
      <c r="AM89" s="1657"/>
      <c r="AN89" s="1657"/>
      <c r="AO89" s="1657"/>
      <c r="AP89" s="1657"/>
      <c r="AQ89" s="1657"/>
      <c r="AR89" s="1657"/>
      <c r="AS89" s="1657"/>
      <c r="AT89" s="1657"/>
      <c r="AU89" s="1657"/>
      <c r="AV89" s="1657"/>
      <c r="AW89" s="1657"/>
      <c r="AX89" s="1657"/>
      <c r="AY89" s="1657"/>
      <c r="AZ89" s="1657"/>
      <c r="BA89" s="1657"/>
      <c r="BB89" s="1657"/>
      <c r="BC89" s="1657"/>
      <c r="BD89" s="1657"/>
      <c r="BE89" s="1658"/>
      <c r="BI89" s="722" t="s">
        <v>327</v>
      </c>
      <c r="BJ89" s="722">
        <v>7</v>
      </c>
      <c r="BK89" s="722" t="s">
        <v>328</v>
      </c>
      <c r="BL89" s="805"/>
      <c r="BM89" s="805"/>
      <c r="BN89" s="735">
        <f t="shared" si="24"/>
        <v>0</v>
      </c>
      <c r="BO89" s="138">
        <f>IF(SUM(BM89:BM91=0),0,SUM(BL89:BL91)/SUM(BM89:BM91))</f>
        <v>0</v>
      </c>
      <c r="BP89" s="736"/>
      <c r="BQ89" s="717"/>
      <c r="BR89" s="717"/>
      <c r="BS89" s="735"/>
      <c r="BT89" s="138">
        <f>IF(SUM(BR89:BR91=0),0,SUM(BQ89:BQ91)/SUM(BR89:BR91))</f>
        <v>0</v>
      </c>
      <c r="BU89" s="736"/>
      <c r="BX89" s="666" t="str">
        <f t="shared" si="21"/>
        <v>Apr</v>
      </c>
      <c r="BY89" s="806">
        <f>IF(CB89=$CB95,SUMIF($BI83:$BI94,$BX89,$BR83:$BR94),SUMIF($BI83:$BI94,$BX89,$BM83:$BM94))</f>
        <v>0</v>
      </c>
      <c r="BZ89" s="736" t="e">
        <f>IF(IF(CB89=CB95,SUMIF(BI83:BI94,$BX89,BU83:BU94),SUMIF(BI83:BI94,$BX89,BP83:BP94))=0,NA(),IF(CB89=CB95,SUMIF(BI83:BI94,$BX89,BU83:BU94),SUMIF(BI83:BI94,$BX89,BP83:BP94)))</f>
        <v>#N/A</v>
      </c>
      <c r="CA89" s="739" t="e">
        <f>IF(IF(CB89=CB95,SUMIF(BI83:BI94,$BX89,BS83:BS94),SUMIF(BI83:BI94,$BX89,BN83:BN94))=0,NA(),IF(CB89=CB95,SUMIF(BI83:BI94,$BX89,BS83:BS94),SUMIF(BI83:BI94,$BX89,BN83:BN94)))</f>
        <v>#N/A</v>
      </c>
      <c r="CB89" s="730">
        <f t="shared" si="22"/>
        <v>23</v>
      </c>
      <c r="CC89" s="730">
        <f t="shared" si="23"/>
        <v>4</v>
      </c>
    </row>
    <row r="90" spans="2:81" ht="15" hidden="1">
      <c r="B90" s="1659"/>
      <c r="C90" s="1660"/>
      <c r="D90" s="1660"/>
      <c r="E90" s="1660"/>
      <c r="F90" s="1660"/>
      <c r="G90" s="1660"/>
      <c r="H90" s="1660"/>
      <c r="I90" s="1660"/>
      <c r="J90" s="1660"/>
      <c r="K90" s="1660"/>
      <c r="L90" s="1660"/>
      <c r="M90" s="1660"/>
      <c r="N90" s="1660"/>
      <c r="O90" s="1660"/>
      <c r="P90" s="1660"/>
      <c r="Q90" s="1660"/>
      <c r="R90" s="1660"/>
      <c r="S90" s="1660"/>
      <c r="T90" s="1660"/>
      <c r="U90" s="1660"/>
      <c r="V90" s="1660"/>
      <c r="W90" s="1660"/>
      <c r="X90" s="1660"/>
      <c r="Y90" s="1660"/>
      <c r="Z90" s="1660"/>
      <c r="AA90" s="1660"/>
      <c r="AB90" s="1661"/>
      <c r="AE90" s="1659"/>
      <c r="AF90" s="1660"/>
      <c r="AG90" s="1660"/>
      <c r="AH90" s="1660"/>
      <c r="AI90" s="1660"/>
      <c r="AJ90" s="1660"/>
      <c r="AK90" s="1660"/>
      <c r="AL90" s="1660"/>
      <c r="AM90" s="1660"/>
      <c r="AN90" s="1660"/>
      <c r="AO90" s="1660"/>
      <c r="AP90" s="1660"/>
      <c r="AQ90" s="1660"/>
      <c r="AR90" s="1660"/>
      <c r="AS90" s="1660"/>
      <c r="AT90" s="1660"/>
      <c r="AU90" s="1660"/>
      <c r="AV90" s="1660"/>
      <c r="AW90" s="1660"/>
      <c r="AX90" s="1660"/>
      <c r="AY90" s="1660"/>
      <c r="AZ90" s="1660"/>
      <c r="BA90" s="1660"/>
      <c r="BB90" s="1660"/>
      <c r="BC90" s="1660"/>
      <c r="BD90" s="1660"/>
      <c r="BE90" s="1661"/>
      <c r="BI90" s="722" t="s">
        <v>329</v>
      </c>
      <c r="BJ90" s="722">
        <v>8</v>
      </c>
      <c r="BK90" s="722" t="s">
        <v>328</v>
      </c>
      <c r="BL90" s="805"/>
      <c r="BM90" s="805"/>
      <c r="BN90" s="735">
        <f t="shared" si="24"/>
        <v>0</v>
      </c>
      <c r="BO90"/>
      <c r="BP90" s="736"/>
      <c r="BQ90" s="717"/>
      <c r="BR90" s="717"/>
      <c r="BS90" s="735"/>
      <c r="BT90"/>
      <c r="BU90" s="736"/>
      <c r="BX90" s="666" t="str">
        <f t="shared" si="21"/>
        <v>May</v>
      </c>
      <c r="BY90" s="806">
        <f>IF(CB90=$CB95,SUMIF($BI83:$BI94,$BX90,$BR83:$BR94),SUMIF($BI83:$BI94,$BX90,$BM83:$BM94))</f>
        <v>0</v>
      </c>
      <c r="BZ90" s="736" t="e">
        <f>IF(IF(CB90=CB95,SUMIF(BI83:BI94,$BX90,BU83:BU94),SUMIF(BI83:BI94,$BX90,BP83:BP94))=0,NA(),IF(CB90=CB95,SUMIF(BI83:BI94,$BX90,BU83:BU94),SUMIF(BI83:BI94,$BX90,BP83:BP94)))</f>
        <v>#N/A</v>
      </c>
      <c r="CA90" s="739" t="e">
        <f>IF(IF(CB90=CB95,SUMIF(BI83:BI94,$BX90,BS83:BS94),SUMIF(BI83:BI94,$BX90,BN83:BN94))=0,NA(),IF(CB90=CB95,SUMIF(BI83:BI94,$BX90,BS83:BS94),SUMIF(BI83:BI94,$BX90,BN83:BN94)))</f>
        <v>#N/A</v>
      </c>
      <c r="CB90" s="730">
        <f t="shared" si="22"/>
        <v>23</v>
      </c>
      <c r="CC90" s="730">
        <f t="shared" si="23"/>
        <v>5</v>
      </c>
    </row>
    <row r="91" spans="2:81" ht="15" hidden="1">
      <c r="B91" s="1659"/>
      <c r="C91" s="1660"/>
      <c r="D91" s="1660"/>
      <c r="E91" s="1660"/>
      <c r="F91" s="1660"/>
      <c r="G91" s="1660"/>
      <c r="H91" s="1660"/>
      <c r="I91" s="1660"/>
      <c r="J91" s="1660"/>
      <c r="K91" s="1660"/>
      <c r="L91" s="1660"/>
      <c r="M91" s="1660"/>
      <c r="N91" s="1660"/>
      <c r="O91" s="1660"/>
      <c r="P91" s="1660"/>
      <c r="Q91" s="1660"/>
      <c r="R91" s="1660"/>
      <c r="S91" s="1660"/>
      <c r="T91" s="1660"/>
      <c r="U91" s="1660"/>
      <c r="V91" s="1660"/>
      <c r="W91" s="1660"/>
      <c r="X91" s="1660"/>
      <c r="Y91" s="1660"/>
      <c r="Z91" s="1660"/>
      <c r="AA91" s="1660"/>
      <c r="AB91" s="1661"/>
      <c r="AE91" s="1659"/>
      <c r="AF91" s="1660"/>
      <c r="AG91" s="1660"/>
      <c r="AH91" s="1660"/>
      <c r="AI91" s="1660"/>
      <c r="AJ91" s="1660"/>
      <c r="AK91" s="1660"/>
      <c r="AL91" s="1660"/>
      <c r="AM91" s="1660"/>
      <c r="AN91" s="1660"/>
      <c r="AO91" s="1660"/>
      <c r="AP91" s="1660"/>
      <c r="AQ91" s="1660"/>
      <c r="AR91" s="1660"/>
      <c r="AS91" s="1660"/>
      <c r="AT91" s="1660"/>
      <c r="AU91" s="1660"/>
      <c r="AV91" s="1660"/>
      <c r="AW91" s="1660"/>
      <c r="AX91" s="1660"/>
      <c r="AY91" s="1660"/>
      <c r="AZ91" s="1660"/>
      <c r="BA91" s="1660"/>
      <c r="BB91" s="1660"/>
      <c r="BC91" s="1660"/>
      <c r="BD91" s="1660"/>
      <c r="BE91" s="1661"/>
      <c r="BI91" s="722" t="s">
        <v>331</v>
      </c>
      <c r="BJ91" s="722">
        <v>9</v>
      </c>
      <c r="BK91" s="722" t="s">
        <v>328</v>
      </c>
      <c r="BL91" s="805"/>
      <c r="BM91" s="805"/>
      <c r="BN91" s="735">
        <f t="shared" si="24"/>
        <v>0</v>
      </c>
      <c r="BO91"/>
      <c r="BP91" s="736"/>
      <c r="BQ91" s="717"/>
      <c r="BR91" s="717"/>
      <c r="BS91" s="735"/>
      <c r="BT91"/>
      <c r="BU91" s="736"/>
      <c r="BX91" s="666" t="str">
        <f t="shared" si="21"/>
        <v>Jun</v>
      </c>
      <c r="BY91" s="806">
        <f>IF(CB91=$CB95,SUMIF($BI83:$BI94,$BX91,$BR83:$BR94),SUMIF($BI83:$BI94,$BX91,$BM83:$BM94))</f>
        <v>0</v>
      </c>
      <c r="BZ91" s="736" t="e">
        <f>IF(IF(CB91=CB95,SUMIF(BI83:BI94,$BX91,BU83:BU94),SUMIF(BI83:BI94,$BX91,BP83:BP94))=0,NA(),IF(CB91=CB95,SUMIF(BI83:BI94,$BX91,BU83:BU94),SUMIF(BI83:BI94,$BX91,BP83:BP94)))</f>
        <v>#N/A</v>
      </c>
      <c r="CA91" s="739" t="e">
        <f>IF(IF(CB91=CB95,SUMIF(BI83:BI94,$BX91,BS83:BS94),SUMIF(BI83:BI94,$BX91,BN83:BN94))=0,NA(),IF(CB91=CB95,SUMIF(BI83:BI94,$BX91,BS83:BS94),SUMIF(BI83:BI94,$BX91,BN83:BN94)))</f>
        <v>#N/A</v>
      </c>
      <c r="CB91" s="730">
        <f t="shared" si="22"/>
        <v>23</v>
      </c>
      <c r="CC91" s="730">
        <f t="shared" si="23"/>
        <v>6</v>
      </c>
    </row>
    <row r="92" spans="2:81" ht="14.65" hidden="1" customHeight="1">
      <c r="B92" s="1662"/>
      <c r="C92" s="1663"/>
      <c r="D92" s="1663"/>
      <c r="E92" s="1663"/>
      <c r="F92" s="1663"/>
      <c r="G92" s="1663"/>
      <c r="H92" s="1663"/>
      <c r="I92" s="1663"/>
      <c r="J92" s="1663"/>
      <c r="K92" s="1663"/>
      <c r="L92" s="1663"/>
      <c r="M92" s="1663"/>
      <c r="N92" s="1663"/>
      <c r="O92" s="1663"/>
      <c r="P92" s="1663"/>
      <c r="Q92" s="1663"/>
      <c r="R92" s="1663"/>
      <c r="S92" s="1663"/>
      <c r="T92" s="1663"/>
      <c r="U92" s="1663"/>
      <c r="V92" s="1663"/>
      <c r="W92" s="1663"/>
      <c r="X92" s="1663"/>
      <c r="Y92" s="1663"/>
      <c r="Z92" s="1663"/>
      <c r="AA92" s="1663"/>
      <c r="AB92" s="1664"/>
      <c r="AE92" s="1662"/>
      <c r="AF92" s="1663"/>
      <c r="AG92" s="1663"/>
      <c r="AH92" s="1663"/>
      <c r="AI92" s="1663"/>
      <c r="AJ92" s="1663"/>
      <c r="AK92" s="1663"/>
      <c r="AL92" s="1663"/>
      <c r="AM92" s="1663"/>
      <c r="AN92" s="1663"/>
      <c r="AO92" s="1663"/>
      <c r="AP92" s="1663"/>
      <c r="AQ92" s="1663"/>
      <c r="AR92" s="1663"/>
      <c r="AS92" s="1663"/>
      <c r="AT92" s="1663"/>
      <c r="AU92" s="1663"/>
      <c r="AV92" s="1663"/>
      <c r="AW92" s="1663"/>
      <c r="AX92" s="1663"/>
      <c r="AY92" s="1663"/>
      <c r="AZ92" s="1663"/>
      <c r="BA92" s="1663"/>
      <c r="BB92" s="1663"/>
      <c r="BC92" s="1663"/>
      <c r="BD92" s="1663"/>
      <c r="BE92" s="1664"/>
      <c r="BI92" s="722" t="s">
        <v>337</v>
      </c>
      <c r="BJ92" s="722">
        <v>10</v>
      </c>
      <c r="BK92" s="722" t="s">
        <v>338</v>
      </c>
      <c r="BL92" s="805"/>
      <c r="BM92" s="805"/>
      <c r="BN92" s="735">
        <f t="shared" si="24"/>
        <v>0</v>
      </c>
      <c r="BO92" s="138">
        <f>IF(SUM(BM92:BM94=0),0,SUM(BL92:BL94)/SUM(BM92:BM94))</f>
        <v>0</v>
      </c>
      <c r="BP92" s="736"/>
      <c r="BQ92" s="717"/>
      <c r="BR92" s="717"/>
      <c r="BS92" s="735"/>
      <c r="BT92" s="138">
        <f>IF(SUM(BR92:BR94=0),0,SUM(BQ92:BQ94)/SUM(BR92:BR94))</f>
        <v>0</v>
      </c>
      <c r="BU92" s="736"/>
      <c r="BX92" s="666" t="str">
        <f t="shared" si="21"/>
        <v>Jul</v>
      </c>
      <c r="BY92" s="806">
        <f>IF(CB92=$CB95,SUMIF($BI83:$BI94,$BX92,$BR83:$BR94),SUMIF($BI83:$BI94,$BX92,$BM83:$BM94))</f>
        <v>0</v>
      </c>
      <c r="BZ92" s="736" t="e">
        <f>IF(IF(CB92=CB95,SUMIF(BI83:BI94,$BX92,BU83:BU94),SUMIF(BI83:BI94,$BX92,BP83:BP94))=0,NA(),IF(CB92=CB95,SUMIF(BI83:BI94,$BX92,BU83:BU94),SUMIF(BI83:BI94,$BX92,BP83:BP94)))</f>
        <v>#N/A</v>
      </c>
      <c r="CA92" s="739" t="e">
        <f>IF(IF(CB92=CB95,SUMIF(BI83:BI94,$BX92,BS83:BS94),SUMIF(BI83:BI94,$BX92,BN83:BN94))=0,NA(),IF(CB92=CB95,SUMIF(BI83:BI94,$BX92,BS83:BS94),SUMIF(BI83:BI94,$BX92,BN83:BN94)))</f>
        <v>#N/A</v>
      </c>
      <c r="CB92" s="730">
        <f t="shared" si="22"/>
        <v>23</v>
      </c>
      <c r="CC92" s="730">
        <f t="shared" si="23"/>
        <v>7</v>
      </c>
    </row>
    <row r="93" spans="2:81" ht="15" hidden="1">
      <c r="B93" s="159"/>
      <c r="C93" s="159"/>
      <c r="D93" s="159"/>
      <c r="E93" s="159"/>
      <c r="F93" s="159"/>
      <c r="G93" s="159"/>
      <c r="H93" s="159"/>
      <c r="I93" s="159"/>
      <c r="J93" s="159"/>
      <c r="K93" s="159"/>
      <c r="L93" s="159"/>
      <c r="M93" s="159"/>
      <c r="N93" s="159"/>
      <c r="O93" s="159"/>
      <c r="P93" s="159"/>
      <c r="Q93" s="159"/>
      <c r="R93" s="159"/>
      <c r="S93" s="159"/>
      <c r="T93" s="159"/>
      <c r="U93" s="159"/>
      <c r="V93" s="159"/>
      <c r="W93" s="159"/>
      <c r="X93" s="159"/>
      <c r="Y93" s="159"/>
      <c r="Z93" s="159"/>
      <c r="AA93" s="159"/>
      <c r="AB93" s="159"/>
      <c r="AE93" s="159"/>
      <c r="AF93" s="159"/>
      <c r="AG93" s="159"/>
      <c r="AH93" s="159"/>
      <c r="AI93" s="159"/>
      <c r="AJ93" s="159"/>
      <c r="AK93" s="159"/>
      <c r="AL93" s="159"/>
      <c r="AM93" s="159"/>
      <c r="AN93" s="159"/>
      <c r="AO93" s="159"/>
      <c r="AP93" s="159"/>
      <c r="AQ93" s="159"/>
      <c r="AR93" s="159"/>
      <c r="AS93" s="159"/>
      <c r="AT93" s="159"/>
      <c r="AU93" s="159"/>
      <c r="AV93" s="159"/>
      <c r="AW93" s="159"/>
      <c r="AX93" s="159"/>
      <c r="AY93" s="159"/>
      <c r="AZ93" s="159"/>
      <c r="BA93" s="159"/>
      <c r="BB93" s="159"/>
      <c r="BC93" s="159"/>
      <c r="BD93" s="159"/>
      <c r="BE93" s="159"/>
      <c r="BI93" s="722" t="s">
        <v>343</v>
      </c>
      <c r="BJ93" s="722">
        <v>11</v>
      </c>
      <c r="BK93" s="722" t="s">
        <v>338</v>
      </c>
      <c r="BL93" s="805"/>
      <c r="BM93" s="805"/>
      <c r="BN93" s="735">
        <f t="shared" si="24"/>
        <v>0</v>
      </c>
      <c r="BO93"/>
      <c r="BP93" s="736"/>
      <c r="BQ93" s="717"/>
      <c r="BR93" s="717"/>
      <c r="BS93" s="735"/>
      <c r="BT93"/>
      <c r="BU93" s="736"/>
      <c r="BX93" s="666" t="str">
        <f t="shared" si="21"/>
        <v>Aug</v>
      </c>
      <c r="BY93" s="806">
        <f>IF(CB93=$CB95,SUMIF($BI83:$BI94,$BX93,$BR83:$BR94),SUMIF($BI83:$BI94,$BX93,$BM83:$BM94))</f>
        <v>0</v>
      </c>
      <c r="BZ93" s="736" t="e">
        <f>IF(IF(CB93=CB95,SUMIF(BI83:BI94,$BX93,BU83:BU94),SUMIF(BI83:BI94,$BX93,BP83:BP94))=0,NA(),IF(CB93=CB95,SUMIF(BI83:BI94,$BX93,BU83:BU94),SUMIF(BI83:BI94,$BX93,BP83:BP94)))</f>
        <v>#N/A</v>
      </c>
      <c r="CA93" s="739" t="e">
        <f>IF(IF(CB93=CB95,SUMIF(BI83:BI94,$BX93,BS83:BS94),SUMIF(BI83:BI94,$BX93,BN83:BN94))=0,NA(),IF(CB93=CB95,SUMIF(BI83:BI94,$BX93,BS83:BS94),SUMIF(BI83:BI94,$BX93,BN83:BN94)))</f>
        <v>#N/A</v>
      </c>
      <c r="CB93" s="730">
        <f t="shared" si="22"/>
        <v>23</v>
      </c>
      <c r="CC93" s="730">
        <f t="shared" si="23"/>
        <v>8</v>
      </c>
    </row>
    <row r="94" spans="2:81" ht="15" hidden="1">
      <c r="BI94" s="722" t="s">
        <v>344</v>
      </c>
      <c r="BJ94" s="722">
        <v>12</v>
      </c>
      <c r="BK94" s="722" t="s">
        <v>338</v>
      </c>
      <c r="BL94" s="805"/>
      <c r="BM94" s="805"/>
      <c r="BN94" s="735">
        <f t="shared" si="24"/>
        <v>0</v>
      </c>
      <c r="BO94"/>
      <c r="BP94" s="736"/>
      <c r="BQ94" s="717"/>
      <c r="BR94" s="717"/>
      <c r="BS94" s="735"/>
      <c r="BT94"/>
      <c r="BU94" s="736"/>
      <c r="BX94" s="666" t="str">
        <f t="shared" si="21"/>
        <v>Sep</v>
      </c>
      <c r="BY94" s="806">
        <f>IF(CB94=$CB95,SUMIF($BI83:$BI94,$BX94,$BR83:$BR94),SUMIF($BI83:$BI94,$BX94,$BM83:$BM94))</f>
        <v>0</v>
      </c>
      <c r="BZ94" s="736" t="e">
        <f>IF(IF(CB94=CB95,SUMIF(BI83:BI94,$BX94,BU83:BU94),SUMIF(BI83:BI94,$BX94,BP83:BP94))=0,NA(),IF(CB94=CB95,SUMIF(BI83:BI94,$BX94,BU83:BU94),SUMIF(BI83:BI94,$BX94,BP83:BP94)))</f>
        <v>#N/A</v>
      </c>
      <c r="CA94" s="739" t="e">
        <f>IF(IF(CB94=CB95,SUMIF(BI83:BI94,$BX94,BS83:BS94),SUMIF(BI83:BI94,$BX94,BN83:BN94))=0,NA(),IF(CB94=CB95,SUMIF(BI83:BI94,$BX94,BS83:BS94),SUMIF(BI83:BI94,$BX94,BN83:BN94)))</f>
        <v>#N/A</v>
      </c>
      <c r="CB94" s="730">
        <f>IF(CC94=9,CB95-1,CB95)</f>
        <v>23</v>
      </c>
      <c r="CC94" s="730">
        <f>IF(CC95-1&lt;1,CC95+11,CC95-1)</f>
        <v>9</v>
      </c>
    </row>
    <row r="95" spans="2:81" ht="15" hidden="1">
      <c r="B95" s="45" t="s">
        <v>350</v>
      </c>
      <c r="C95" s="46"/>
      <c r="D95" s="46"/>
      <c r="E95" s="46"/>
      <c r="F95" s="46"/>
      <c r="G95" s="11"/>
      <c r="H95" s="11"/>
      <c r="I95" s="11"/>
      <c r="J95" s="11"/>
      <c r="K95" s="11"/>
      <c r="L95" s="48"/>
      <c r="M95" s="46"/>
      <c r="N95" s="4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W95" s="667" t="str">
        <f>Cover!$M$34</f>
        <v>OCT FY-24</v>
      </c>
      <c r="BX95" s="666" t="str">
        <f>TEXT(CONCATENATE(CC95,"/01/20",CB95),"MMM")</f>
        <v>Oct</v>
      </c>
      <c r="BY95" s="806">
        <f>SUMIF($BI83:$BI94,$BX95,$BR83:$BR94)</f>
        <v>0</v>
      </c>
      <c r="BZ95" s="736" t="e">
        <f>IF(IF(CB95=CB95,SUMIF(BI83:BI94,$BX95,BU83:BU94),SUMIF(BI83:BI94,$BX95,BP83:BP94))=0,NA(),IF(CB95=CB95,SUMIF(BI83:BI94,$BX95,BU83:BU94),SUMIF(BI83:BI94,$BX95,BP83:BP94)))</f>
        <v>#N/A</v>
      </c>
      <c r="CA95" s="739" t="e">
        <f>IF(SUMIF($BI83:$BI94,$BX95,$BS83:$BS94)=0,NA(),SUMIF($BI83:$BI94,$BX95,$BS83:$BS94))</f>
        <v>#N/A</v>
      </c>
      <c r="CB95" s="730" t="str">
        <f>RIGHT(BW95,2)</f>
        <v>24</v>
      </c>
      <c r="CC95" s="730">
        <f>MONTH(DATEVALUE(LEFT(BW95,3)&amp;" 1"))</f>
        <v>10</v>
      </c>
    </row>
    <row r="96" spans="2:81" ht="15" hidden="1">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row>
    <row r="97" spans="2:81" ht="15" hidden="1">
      <c r="B97" s="52"/>
      <c r="F97" s="21"/>
      <c r="G97" s="22"/>
      <c r="AD97"/>
      <c r="BI97" s="1" t="s">
        <v>292</v>
      </c>
      <c r="BJ97" s="166"/>
      <c r="BK97" s="166"/>
      <c r="BL97" s="166"/>
      <c r="BM97" s="166"/>
      <c r="BN97" s="166"/>
      <c r="BO97" s="166"/>
      <c r="BP97" s="166"/>
      <c r="BQ97" s="166"/>
      <c r="BR97" s="166"/>
      <c r="BS97" s="166"/>
      <c r="BT97" s="166"/>
      <c r="BU97" s="166"/>
    </row>
    <row r="98" spans="2:81" ht="15" hidden="1">
      <c r="F98" s="21"/>
      <c r="G98" s="22"/>
      <c r="BI98" s="54" t="s">
        <v>296</v>
      </c>
      <c r="BJ98" s="166"/>
      <c r="BK98" s="166"/>
      <c r="BL98" s="166"/>
      <c r="BM98" s="166"/>
      <c r="BN98" s="166"/>
      <c r="BO98" s="166"/>
      <c r="BP98" s="166"/>
      <c r="BQ98" s="166"/>
      <c r="BR98" s="166"/>
      <c r="BS98" s="166"/>
      <c r="BT98" s="166"/>
      <c r="BU98" s="166"/>
    </row>
    <row r="99" spans="2:81" ht="15.75" hidden="1" thickBot="1">
      <c r="F99" s="21"/>
      <c r="G99" s="22"/>
      <c r="BI99" s="1" t="s">
        <v>300</v>
      </c>
      <c r="BJ99" s="166"/>
      <c r="BK99" s="166"/>
      <c r="BL99" s="166"/>
      <c r="BM99" s="166"/>
      <c r="BN99" s="166"/>
      <c r="BO99" s="166"/>
      <c r="BP99" s="166"/>
      <c r="BQ99" s="166"/>
      <c r="BR99" s="166"/>
      <c r="BS99" s="166"/>
      <c r="BT99" s="166"/>
      <c r="BU99" s="166"/>
    </row>
    <row r="100" spans="2:81" ht="15.75" hidden="1" thickBot="1">
      <c r="B100" s="1818"/>
      <c r="C100" s="1818"/>
      <c r="D100" s="1818"/>
      <c r="E100" s="1818"/>
      <c r="F100" s="21"/>
      <c r="G100" s="22"/>
      <c r="BI100" s="2"/>
      <c r="BL100" s="1490" t="s">
        <v>661</v>
      </c>
      <c r="BM100" s="1491"/>
      <c r="BN100" s="1491"/>
      <c r="BO100" s="1491"/>
      <c r="BP100" s="1521"/>
      <c r="BQ100" s="1490" t="s">
        <v>662</v>
      </c>
      <c r="BR100" s="1491"/>
      <c r="BS100" s="1491"/>
      <c r="BT100" s="1491"/>
      <c r="BU100" s="1492"/>
      <c r="BW100" s="1490" t="s">
        <v>303</v>
      </c>
      <c r="BX100" s="1491"/>
      <c r="BY100" s="1491"/>
      <c r="BZ100" s="1491"/>
      <c r="CA100" s="1491"/>
      <c r="CB100" s="1491"/>
      <c r="CC100" s="1492"/>
    </row>
    <row r="101" spans="2:81" ht="30" hidden="1">
      <c r="BI101" s="720" t="s">
        <v>23</v>
      </c>
      <c r="BJ101" s="720" t="s">
        <v>37</v>
      </c>
      <c r="BK101" s="720" t="s">
        <v>304</v>
      </c>
      <c r="BL101" s="721" t="s">
        <v>305</v>
      </c>
      <c r="BM101" s="721" t="s">
        <v>306</v>
      </c>
      <c r="BN101" s="721" t="s">
        <v>663</v>
      </c>
      <c r="BO101" s="135" t="s">
        <v>664</v>
      </c>
      <c r="BP101" s="721" t="s">
        <v>665</v>
      </c>
      <c r="BQ101" s="721" t="s">
        <v>305</v>
      </c>
      <c r="BR101" s="721" t="s">
        <v>666</v>
      </c>
      <c r="BS101" s="721" t="s">
        <v>667</v>
      </c>
      <c r="BT101" s="135" t="s">
        <v>668</v>
      </c>
      <c r="BU101" s="721" t="s">
        <v>669</v>
      </c>
      <c r="BW101" s="164" t="s">
        <v>314</v>
      </c>
      <c r="BX101" s="164" t="s">
        <v>23</v>
      </c>
      <c r="BY101" s="164" t="s">
        <v>315</v>
      </c>
      <c r="BZ101" s="164" t="s">
        <v>122</v>
      </c>
      <c r="CA101" s="164" t="s">
        <v>316</v>
      </c>
      <c r="CB101" s="164" t="s">
        <v>317</v>
      </c>
      <c r="CC101" s="164" t="s">
        <v>318</v>
      </c>
    </row>
    <row r="102" spans="2:81" ht="15" hidden="1">
      <c r="BI102" s="722" t="s">
        <v>319</v>
      </c>
      <c r="BJ102" s="722">
        <v>1</v>
      </c>
      <c r="BK102" s="722" t="s">
        <v>320</v>
      </c>
      <c r="BL102" s="808">
        <f>BN102*BM102</f>
        <v>0</v>
      </c>
      <c r="BM102" s="809"/>
      <c r="BN102" s="725"/>
      <c r="BO102" s="140">
        <f>IF(SUM(BM102:BM104=0),0,SUM(BL102:BL104)/SUM(BM102:BM104))</f>
        <v>0</v>
      </c>
      <c r="BP102" s="736"/>
      <c r="BQ102" s="737"/>
      <c r="BR102" s="810"/>
      <c r="BS102" s="780" t="str">
        <f>IF(BR102="","",BQ102/BR102)</f>
        <v/>
      </c>
      <c r="BT102" s="140">
        <f>IF(SUM(BR102:BR104=0),0,SUM(BQ102:BQ104)/SUM(BR102:BR104))</f>
        <v>0</v>
      </c>
      <c r="BU102" s="725"/>
      <c r="BX102" s="666" t="str">
        <f t="shared" ref="BX102:BX113" si="25">TEXT(CONCATENATE(CC102,"/01/20",CB102),"MMM")</f>
        <v>Oct</v>
      </c>
      <c r="BY102" s="728">
        <f>IF(CB102=$CB114,SUMIF($BI102:$BI113,$BX102,$BR102:$BR113),SUMIF($BI102:$BI113,$BX102,$BM102:$BM113))</f>
        <v>0</v>
      </c>
      <c r="BZ102" s="728" t="e">
        <f>IF(IF(CB102=CB114,SUMIF(BI102:BI113,$BX102,BU102:BU113),SUMIF(BI102:BI113,$BX102,BP102:BP113))=0,NA(),IF(CB102=CB114,SUMIF(BI102:BI113,$BX102,BU102:BU113),SUMIF(BI102:BI113,$BX102,BP102:BP113)))</f>
        <v>#N/A</v>
      </c>
      <c r="CA102" s="729" t="e">
        <f>IF(IF(CB102=CB114,SUMIF(BI102:BI113,$BX102,BS102:BS113),SUMIF(BI102:BI113,$BX102,BN102:BN113))=0,NA(),IF(CB102=CB114,SUMIF(BI102:BI113,$BX102,BS102:BS113),SUMIF(BI102:BI113,$BX102,BN102:BN113)))</f>
        <v>#N/A</v>
      </c>
      <c r="CB102" s="730">
        <f t="shared" ref="CB102:CB112" si="26">IF(CC102=9,CB103-1,CB103)</f>
        <v>23</v>
      </c>
      <c r="CC102" s="730">
        <f t="shared" ref="CC102:CC112" si="27">IF(CC103-1&lt;1,CC103+11,CC103-1)</f>
        <v>10</v>
      </c>
    </row>
    <row r="103" spans="2:81" ht="15" hidden="1">
      <c r="BI103" s="722" t="s">
        <v>321</v>
      </c>
      <c r="BJ103" s="722">
        <v>2</v>
      </c>
      <c r="BK103" s="722" t="s">
        <v>320</v>
      </c>
      <c r="BL103" s="808">
        <f t="shared" ref="BL103:BL113" si="28">BN103*BM103</f>
        <v>0</v>
      </c>
      <c r="BM103" s="809"/>
      <c r="BN103" s="725"/>
      <c r="BO103" s="136"/>
      <c r="BP103" s="736"/>
      <c r="BQ103" s="737"/>
      <c r="BR103" s="810"/>
      <c r="BS103" s="780" t="str">
        <f>IF(BR103="","",BQ103/BR103)</f>
        <v/>
      </c>
      <c r="BT103" s="136"/>
      <c r="BU103" s="725"/>
      <c r="BX103" s="666" t="str">
        <f t="shared" si="25"/>
        <v>Nov</v>
      </c>
      <c r="BY103" s="728">
        <f>IF(CB103=$CB114,SUMIF($BI102:$BI113,$BX103,$BR102:$BR113),SUMIF($BI102:$BI113,$BX103,$BM102:$BM113))</f>
        <v>0</v>
      </c>
      <c r="BZ103" s="728" t="e">
        <f>IF(IF(CB103=CB114,SUMIF(BI102:BI113,$BX103,BU102:BU113),SUMIF(BI102:BI113,$BX103,BP102:BP113))=0,NA(),IF(CB103=CB114,SUMIF(BI102:BI113,$BX103,BU102:BU113),SUMIF(BI102:BI113,$BX103,BP102:BP113)))</f>
        <v>#N/A</v>
      </c>
      <c r="CA103" s="729" t="e">
        <f>IF(IF(CB103=CB114,SUMIF(BI102:BI113,$BX103,BS102:BS113),SUMIF(BI102:BI113,$BX103,BN102:BN113))=0,NA(),IF(CB103=CB114,SUMIF(BI102:BI113,$BX103,BS102:BS113),SUMIF(BI102:BI113,$BX103,BN102:BN113)))</f>
        <v>#N/A</v>
      </c>
      <c r="CB103" s="730">
        <f t="shared" si="26"/>
        <v>23</v>
      </c>
      <c r="CC103" s="730">
        <f t="shared" si="27"/>
        <v>11</v>
      </c>
    </row>
    <row r="104" spans="2:81" ht="15" hidden="1">
      <c r="BI104" s="722" t="s">
        <v>322</v>
      </c>
      <c r="BJ104" s="722">
        <v>3</v>
      </c>
      <c r="BK104" s="722" t="s">
        <v>320</v>
      </c>
      <c r="BL104" s="808">
        <f t="shared" si="28"/>
        <v>0</v>
      </c>
      <c r="BM104" s="809"/>
      <c r="BN104" s="725"/>
      <c r="BO104" s="136"/>
      <c r="BP104" s="736"/>
      <c r="BQ104" s="737"/>
      <c r="BR104" s="810"/>
      <c r="BS104" s="780" t="str">
        <f t="shared" ref="BS104:BS113" si="29">IF(BR104="","",BQ104/BR104)</f>
        <v/>
      </c>
      <c r="BT104" s="136"/>
      <c r="BU104" s="725"/>
      <c r="BX104" s="666" t="str">
        <f t="shared" si="25"/>
        <v>Dec</v>
      </c>
      <c r="BY104" s="728">
        <f>IF(CB104=$CB114,SUMIF($BI102:$BI113,$BX104,$BR102:$BR113),SUMIF($BI102:$BI113,$BX104,$BM102:$BM113))</f>
        <v>0</v>
      </c>
      <c r="BZ104" s="728" t="e">
        <f>IF(IF(CB104=CB114,SUMIF(BI102:BI113,$BX104,BU102:BU113),SUMIF(BI102:BI113,$BX104,BP102:BP113))=0,NA(),IF(CB104=CB114,SUMIF(BI102:BI113,$BX104,BU102:BU113),SUMIF(BI102:BI113,$BX104,BP102:BP113)))</f>
        <v>#N/A</v>
      </c>
      <c r="CA104" s="729" t="e">
        <f>IF(IF(CB104=CB114,SUMIF(BI102:BI113,$BX104,BS102:BS113),SUMIF(BI102:BI113,$BX104,BN102:BN113))=0,NA(),IF(CB104=CB114,SUMIF(BI102:BI113,$BX104,BS102:BS113),SUMIF(BI102:BI113,$BX104,BN102:BN113)))</f>
        <v>#N/A</v>
      </c>
      <c r="CB104" s="730">
        <f t="shared" si="26"/>
        <v>23</v>
      </c>
      <c r="CC104" s="730">
        <f t="shared" si="27"/>
        <v>12</v>
      </c>
    </row>
    <row r="105" spans="2:81" ht="15" hidden="1">
      <c r="BI105" s="722" t="s">
        <v>323</v>
      </c>
      <c r="BJ105" s="722">
        <v>4</v>
      </c>
      <c r="BK105" s="722" t="s">
        <v>324</v>
      </c>
      <c r="BL105" s="808">
        <f t="shared" si="28"/>
        <v>0</v>
      </c>
      <c r="BM105" s="809"/>
      <c r="BN105" s="725"/>
      <c r="BO105" s="140">
        <f>IF(SUM(BM105:BM107=0),0,SUM(BL105:BL107)/SUM(BM105:BM107))</f>
        <v>0</v>
      </c>
      <c r="BP105" s="736"/>
      <c r="BQ105" s="737"/>
      <c r="BR105" s="810"/>
      <c r="BS105" s="780" t="str">
        <f t="shared" si="29"/>
        <v/>
      </c>
      <c r="BT105" s="140">
        <f>IF(SUM(BR105:BR107=0),0,SUM(BQ105:BQ107)/SUM(BR105:BR107))</f>
        <v>0</v>
      </c>
      <c r="BU105" s="725"/>
      <c r="BX105" s="666" t="str">
        <f t="shared" si="25"/>
        <v>Jan</v>
      </c>
      <c r="BY105" s="728">
        <f>IF(CB105=$CB114,SUMIF($BI102:$BI113,$BX105,$BR102:$BR113),SUMIF($BI102:$BI113,$BX105,$BM102:$BM113))</f>
        <v>0</v>
      </c>
      <c r="BZ105" s="728" t="e">
        <f>IF(IF(CB105=CB114,SUMIF(BI102:BI113,$BX105,BU102:BU113),SUMIF(BI102:BI113,$BX105,BP102:BP113))=0,NA(),IF(CB105=CB114,SUMIF(BI102:BI113,$BX105,BU102:BU113),SUMIF(BI102:BI113,$BX105,BP102:BP113)))</f>
        <v>#N/A</v>
      </c>
      <c r="CA105" s="729" t="e">
        <f>IF(IF(CB105=CB114,SUMIF(BI102:BI113,$BX105,BS102:BS113),SUMIF(BI102:BI113,$BX105,BN102:BN113))=0,NA(),IF(CB105=CB114,SUMIF(BI102:BI113,$BX105,BS102:BS113),SUMIF(BI102:BI113,$BX105,BN102:BN113)))</f>
        <v>#N/A</v>
      </c>
      <c r="CB105" s="730">
        <f t="shared" si="26"/>
        <v>23</v>
      </c>
      <c r="CC105" s="730">
        <f t="shared" si="27"/>
        <v>1</v>
      </c>
    </row>
    <row r="106" spans="2:81" ht="15" hidden="1">
      <c r="BI106" s="722" t="s">
        <v>325</v>
      </c>
      <c r="BJ106" s="722">
        <v>5</v>
      </c>
      <c r="BK106" s="722" t="s">
        <v>324</v>
      </c>
      <c r="BL106" s="808">
        <f t="shared" si="28"/>
        <v>0</v>
      </c>
      <c r="BM106" s="809"/>
      <c r="BN106" s="725"/>
      <c r="BO106" s="136"/>
      <c r="BP106" s="736"/>
      <c r="BQ106" s="737"/>
      <c r="BR106" s="810"/>
      <c r="BS106" s="780" t="str">
        <f t="shared" si="29"/>
        <v/>
      </c>
      <c r="BT106" s="136"/>
      <c r="BU106" s="725"/>
      <c r="BX106" s="666" t="str">
        <f t="shared" si="25"/>
        <v>Feb</v>
      </c>
      <c r="BY106" s="728">
        <f>IF(CB106=$CB114,SUMIF($BI102:$BI113,$BX106,$BR102:$BR113),SUMIF($BI102:$BI113,$BX106,$BM102:$BM113))</f>
        <v>0</v>
      </c>
      <c r="BZ106" s="728" t="e">
        <f>IF(IF(CB106=CB114,SUMIF(BI102:BI113,$BX106,BU102:BU113),SUMIF(BI102:BI113,$BX106,BP102:BP113))=0,NA(),IF(CB106=CB114,SUMIF(BI102:BI113,$BX106,BU102:BU113),SUMIF(BI102:BI113,$BX106,BP102:BP113)))</f>
        <v>#N/A</v>
      </c>
      <c r="CA106" s="729" t="e">
        <f>IF(IF(CB106=CB114,SUMIF(BI102:BI113,$BX106,BS102:BS113),SUMIF(BI102:BI113,$BX106,BN102:BN113))=0,NA(),IF(CB106=CB114,SUMIF(BI102:BI113,$BX106,BS102:BS113),SUMIF(BI102:BI113,$BX106,BN102:BN113)))</f>
        <v>#N/A</v>
      </c>
      <c r="CB106" s="730">
        <f t="shared" si="26"/>
        <v>23</v>
      </c>
      <c r="CC106" s="730">
        <f t="shared" si="27"/>
        <v>2</v>
      </c>
    </row>
    <row r="107" spans="2:81" ht="15" hidden="1">
      <c r="BI107" s="722" t="s">
        <v>326</v>
      </c>
      <c r="BJ107" s="722">
        <v>6</v>
      </c>
      <c r="BK107" s="722" t="s">
        <v>324</v>
      </c>
      <c r="BL107" s="808">
        <f t="shared" si="28"/>
        <v>0</v>
      </c>
      <c r="BM107" s="809"/>
      <c r="BN107" s="725"/>
      <c r="BO107" s="136"/>
      <c r="BP107" s="736"/>
      <c r="BQ107" s="737"/>
      <c r="BR107" s="810"/>
      <c r="BS107" s="780" t="str">
        <f t="shared" si="29"/>
        <v/>
      </c>
      <c r="BT107" s="136"/>
      <c r="BU107" s="725"/>
      <c r="BX107" s="666" t="str">
        <f t="shared" si="25"/>
        <v>Mar</v>
      </c>
      <c r="BY107" s="728">
        <f>IF(CB107=$CB114,SUMIF($BI102:$BI113,$BX107,$BR102:$BR113),SUMIF($BI102:$BI113,$BX107,$BM102:$BM113))</f>
        <v>0</v>
      </c>
      <c r="BZ107" s="728" t="e">
        <f>IF(IF(CB107=CB114,SUMIF(BI102:BI113,$BX107,BU102:BU113),SUMIF(BI102:BI113,$BX107,BP102:BP113))=0,NA(),IF(CB107=CB114,SUMIF(BI102:BI113,$BX107,BU102:BU113),SUMIF(BI102:BI113,$BX107,BP102:BP113)))</f>
        <v>#N/A</v>
      </c>
      <c r="CA107" s="729" t="e">
        <f>IF(IF(CB107=CB114,SUMIF(BI102:BI113,$BX107,BS102:BS113),SUMIF(BI102:BI113,$BX107,BN102:BN113))=0,NA(),IF(CB107=CB114,SUMIF(BI102:BI113,$BX107,BS102:BS113),SUMIF(BI102:BI113,$BX107,BN102:BN113)))</f>
        <v>#N/A</v>
      </c>
      <c r="CB107" s="730">
        <f t="shared" si="26"/>
        <v>23</v>
      </c>
      <c r="CC107" s="730">
        <f t="shared" si="27"/>
        <v>3</v>
      </c>
    </row>
    <row r="108" spans="2:81" ht="15" hidden="1">
      <c r="BI108" s="722" t="s">
        <v>327</v>
      </c>
      <c r="BJ108" s="722">
        <v>7</v>
      </c>
      <c r="BK108" s="722" t="s">
        <v>328</v>
      </c>
      <c r="BL108" s="808">
        <f t="shared" si="28"/>
        <v>0</v>
      </c>
      <c r="BM108" s="809"/>
      <c r="BN108" s="725"/>
      <c r="BO108" s="140">
        <f>IF(SUM(BM108:BM110=0),0,SUM(BL108:BL110)/SUM(BM108:BM110))</f>
        <v>0</v>
      </c>
      <c r="BP108" s="736"/>
      <c r="BQ108" s="737"/>
      <c r="BR108" s="810"/>
      <c r="BS108" s="780" t="str">
        <f t="shared" si="29"/>
        <v/>
      </c>
      <c r="BT108" s="140">
        <f>IF(SUM(BR108:BR110=0),0,SUM(BQ108:BQ110)/SUM(BR108:BR110))</f>
        <v>0</v>
      </c>
      <c r="BU108" s="725"/>
      <c r="BX108" s="666" t="str">
        <f t="shared" si="25"/>
        <v>Apr</v>
      </c>
      <c r="BY108" s="728">
        <f>IF(CB108=$CB114,SUMIF($BI102:$BI113,$BX108,$BR102:$BR113),SUMIF($BI102:$BI113,$BX108,$BM102:$BM113))</f>
        <v>0</v>
      </c>
      <c r="BZ108" s="728" t="e">
        <f>IF(IF(CB108=CB114,SUMIF(BI102:BI113,$BX108,BU102:BU113),SUMIF(BI102:BI113,$BX108,BP102:BP113))=0,NA(),IF(CB108=CB114,SUMIF(BI102:BI113,$BX108,BU102:BU113),SUMIF(BI102:BI113,$BX108,BP102:BP113)))</f>
        <v>#N/A</v>
      </c>
      <c r="CA108" s="729" t="e">
        <f>IF(IF(CB108=CB114,SUMIF(BI102:BI113,$BX108,BS102:BS113),SUMIF(BI102:BI113,$BX108,BN102:BN113))=0,NA(),IF(CB108=CB114,SUMIF(BI102:BI113,$BX108,BS102:BS113),SUMIF(BI102:BI113,$BX108,BN102:BN113)))</f>
        <v>#N/A</v>
      </c>
      <c r="CB108" s="730">
        <f t="shared" si="26"/>
        <v>23</v>
      </c>
      <c r="CC108" s="730">
        <f t="shared" si="27"/>
        <v>4</v>
      </c>
    </row>
    <row r="109" spans="2:81" ht="15" hidden="1">
      <c r="BI109" s="722" t="s">
        <v>329</v>
      </c>
      <c r="BJ109" s="722">
        <v>8</v>
      </c>
      <c r="BK109" s="722" t="s">
        <v>328</v>
      </c>
      <c r="BL109" s="808">
        <f t="shared" si="28"/>
        <v>0</v>
      </c>
      <c r="BM109" s="809"/>
      <c r="BN109" s="725"/>
      <c r="BO109" s="136"/>
      <c r="BP109" s="736"/>
      <c r="BQ109" s="737"/>
      <c r="BR109" s="810"/>
      <c r="BS109" s="780" t="str">
        <f t="shared" si="29"/>
        <v/>
      </c>
      <c r="BT109" s="136"/>
      <c r="BU109" s="725"/>
      <c r="BX109" s="666" t="str">
        <f t="shared" si="25"/>
        <v>May</v>
      </c>
      <c r="BY109" s="728">
        <f>IF(CB109=$CB114,SUMIF($BI102:$BI113,$BX109,$BR102:$BR113),SUMIF($BI102:$BI113,$BX109,$BM102:$BM113))</f>
        <v>0</v>
      </c>
      <c r="BZ109" s="728" t="e">
        <f>IF(IF(CB109=CB114,SUMIF(BI102:BI113,$BX109,BU102:BU113),SUMIF(BI102:BI113,$BX109,BP102:BP113))=0,NA(),IF(CB109=CB114,SUMIF(BI102:BI113,$BX109,BU102:BU113),SUMIF(BI102:BI113,$BX109,BP102:BP113)))</f>
        <v>#N/A</v>
      </c>
      <c r="CA109" s="729" t="e">
        <f>IF(IF(CB109=CB114,SUMIF(BI102:BI113,$BX109,BS102:BS113),SUMIF(BI102:BI113,$BX109,BN102:BN113))=0,NA(),IF(CB109=CB114,SUMIF(BI102:BI113,$BX109,BS102:BS113),SUMIF(BI102:BI113,$BX109,BN102:BN113)))</f>
        <v>#N/A</v>
      </c>
      <c r="CB109" s="730">
        <f t="shared" si="26"/>
        <v>23</v>
      </c>
      <c r="CC109" s="730">
        <f t="shared" si="27"/>
        <v>5</v>
      </c>
    </row>
    <row r="110" spans="2:81" ht="15" hidden="1">
      <c r="BI110" s="722" t="s">
        <v>331</v>
      </c>
      <c r="BJ110" s="722">
        <v>9</v>
      </c>
      <c r="BK110" s="722" t="s">
        <v>328</v>
      </c>
      <c r="BL110" s="808">
        <f t="shared" si="28"/>
        <v>0</v>
      </c>
      <c r="BM110" s="809"/>
      <c r="BN110" s="725"/>
      <c r="BO110" s="136"/>
      <c r="BP110" s="736"/>
      <c r="BQ110" s="737"/>
      <c r="BR110" s="810"/>
      <c r="BS110" s="780" t="str">
        <f t="shared" si="29"/>
        <v/>
      </c>
      <c r="BT110" s="136"/>
      <c r="BU110" s="725"/>
      <c r="BX110" s="666" t="str">
        <f t="shared" si="25"/>
        <v>Jun</v>
      </c>
      <c r="BY110" s="728">
        <f>IF(CB110=$CB114,SUMIF($BI102:$BI113,$BX110,$BR102:$BR113),SUMIF($BI102:$BI113,$BX110,$BM102:$BM113))</f>
        <v>0</v>
      </c>
      <c r="BZ110" s="728" t="e">
        <f>IF(IF(CB110=CB114,SUMIF(BI102:BI113,$BX110,BU102:BU113),SUMIF(BI102:BI113,$BX110,BP102:BP113))=0,NA(),IF(CB110=CB114,SUMIF(BI102:BI113,$BX110,BU102:BU113),SUMIF(BI102:BI113,$BX110,BP102:BP113)))</f>
        <v>#N/A</v>
      </c>
      <c r="CA110" s="729" t="e">
        <f>IF(IF(CB110=CB114,SUMIF(BI102:BI113,$BX110,BS102:BS113),SUMIF(BI102:BI113,$BX110,BN102:BN113))=0,NA(),IF(CB110=CB114,SUMIF(BI102:BI113,$BX110,BS102:BS113),SUMIF(BI102:BI113,$BX110,BN102:BN113)))</f>
        <v>#N/A</v>
      </c>
      <c r="CB110" s="730">
        <f t="shared" si="26"/>
        <v>23</v>
      </c>
      <c r="CC110" s="730">
        <f t="shared" si="27"/>
        <v>6</v>
      </c>
    </row>
    <row r="111" spans="2:81" ht="15" hidden="1">
      <c r="BI111" s="722" t="s">
        <v>337</v>
      </c>
      <c r="BJ111" s="722">
        <v>10</v>
      </c>
      <c r="BK111" s="722" t="s">
        <v>338</v>
      </c>
      <c r="BL111" s="808">
        <f t="shared" si="28"/>
        <v>0</v>
      </c>
      <c r="BM111" s="809"/>
      <c r="BN111" s="725"/>
      <c r="BO111" s="140">
        <f>IF(SUM(BM111:BM113=0),0,SUM(BL111:BL113)/SUM(BM111:BM113))</f>
        <v>0</v>
      </c>
      <c r="BP111" s="736"/>
      <c r="BQ111" s="737"/>
      <c r="BR111" s="810"/>
      <c r="BS111" s="780" t="str">
        <f t="shared" si="29"/>
        <v/>
      </c>
      <c r="BT111" s="140">
        <f>IF(SUM(BR111:BR113=0),0,SUM(BQ111:BQ113)/SUM(BR111:BR113))</f>
        <v>0</v>
      </c>
      <c r="BU111" s="725"/>
      <c r="BX111" s="666" t="str">
        <f t="shared" si="25"/>
        <v>Jul</v>
      </c>
      <c r="BY111" s="728">
        <f>IF(CB111=$CB114,SUMIF($BI102:$BI113,$BX111,$BR102:$BR113),SUMIF($BI102:$BI113,$BX111,$BM102:$BM113))</f>
        <v>0</v>
      </c>
      <c r="BZ111" s="728" t="e">
        <f>IF(IF(CB111=CB114,SUMIF(BI102:BI113,$BX111,BU102:BU113),SUMIF(BI102:BI113,$BX111,BP102:BP113))=0,NA(),IF(CB111=CB114,SUMIF(BI102:BI113,$BX111,BU102:BU113),SUMIF(BI102:BI113,$BX111,BP102:BP113)))</f>
        <v>#N/A</v>
      </c>
      <c r="CA111" s="729" t="e">
        <f>IF(IF(CB111=CB114,SUMIF(BI102:BI113,$BX111,BS102:BS113),SUMIF(BI102:BI113,$BX111,BN102:BN113))=0,NA(),IF(CB111=CB114,SUMIF(BI102:BI113,$BX111,BS102:BS113),SUMIF(BI102:BI113,$BX111,BN102:BN113)))</f>
        <v>#N/A</v>
      </c>
      <c r="CB111" s="730">
        <f t="shared" si="26"/>
        <v>23</v>
      </c>
      <c r="CC111" s="730">
        <f t="shared" si="27"/>
        <v>7</v>
      </c>
    </row>
    <row r="112" spans="2:81" ht="15" hidden="1">
      <c r="BI112" s="722" t="s">
        <v>343</v>
      </c>
      <c r="BJ112" s="722">
        <v>11</v>
      </c>
      <c r="BK112" s="722" t="s">
        <v>338</v>
      </c>
      <c r="BL112" s="808">
        <f t="shared" si="28"/>
        <v>0</v>
      </c>
      <c r="BM112" s="809"/>
      <c r="BN112" s="725"/>
      <c r="BO112" s="136"/>
      <c r="BP112" s="736"/>
      <c r="BQ112" s="737"/>
      <c r="BR112" s="810"/>
      <c r="BS112" s="780" t="str">
        <f t="shared" si="29"/>
        <v/>
      </c>
      <c r="BT112" s="136"/>
      <c r="BU112" s="725"/>
      <c r="BX112" s="666" t="str">
        <f t="shared" si="25"/>
        <v>Aug</v>
      </c>
      <c r="BY112" s="728">
        <f>IF(CB112=$CB114,SUMIF($BI102:$BI113,$BX112,$BR102:$BR113),SUMIF($BI102:$BI113,$BX112,$BM102:$BM113))</f>
        <v>0</v>
      </c>
      <c r="BZ112" s="728" t="e">
        <f>IF(IF(CB112=CB114,SUMIF(BI102:BI113,$BX112,BU102:BU113),SUMIF(BI102:BI113,$BX112,BP102:BP113))=0,NA(),IF(CB112=CB114,SUMIF(BI102:BI113,$BX112,BU102:BU113),SUMIF(BI102:BI113,$BX112,BP102:BP113)))</f>
        <v>#N/A</v>
      </c>
      <c r="CA112" s="729" t="e">
        <f>IF(IF(CB112=CB114,SUMIF(BI102:BI113,$BX112,BS102:BS113),SUMIF(BI102:BI113,$BX112,BN102:BN113))=0,NA(),IF(CB112=CB114,SUMIF(BI102:BI113,$BX112,BS102:BS113),SUMIF(BI102:BI113,$BX112,BN102:BN113)))</f>
        <v>#N/A</v>
      </c>
      <c r="CB112" s="730">
        <f t="shared" si="26"/>
        <v>23</v>
      </c>
      <c r="CC112" s="730">
        <f t="shared" si="27"/>
        <v>8</v>
      </c>
    </row>
    <row r="113" spans="2:81" ht="15" hidden="1">
      <c r="B113" s="44" t="s">
        <v>242</v>
      </c>
      <c r="C113" s="44"/>
      <c r="D113" s="44"/>
      <c r="E113" s="87"/>
      <c r="F113" s="94"/>
      <c r="G113" s="94"/>
      <c r="H113" s="94"/>
      <c r="I113" s="94"/>
      <c r="J113" s="94"/>
      <c r="K113" s="94"/>
      <c r="L113" s="94"/>
      <c r="M113" s="94"/>
      <c r="N113" s="94"/>
      <c r="O113" s="94"/>
      <c r="P113" s="94"/>
      <c r="Q113" s="94"/>
      <c r="R113" s="94"/>
      <c r="S113" s="94"/>
      <c r="T113" s="94"/>
      <c r="U113" s="94"/>
      <c r="V113" s="94"/>
      <c r="W113" s="94"/>
      <c r="X113" s="94"/>
      <c r="Y113" s="94"/>
      <c r="Z113" s="94"/>
      <c r="AA113" s="94"/>
      <c r="AB113" s="94"/>
      <c r="AE113" s="44" t="s">
        <v>242</v>
      </c>
      <c r="AF113" s="44"/>
      <c r="AG113" s="44"/>
      <c r="AH113" s="87"/>
      <c r="AI113" s="94"/>
      <c r="AJ113" s="94"/>
      <c r="AK113" s="94"/>
      <c r="AL113" s="94"/>
      <c r="AM113" s="94"/>
      <c r="AN113" s="94"/>
      <c r="AO113" s="94"/>
      <c r="AP113" s="94"/>
      <c r="AQ113" s="94"/>
      <c r="AR113" s="94"/>
      <c r="AS113" s="94"/>
      <c r="AT113" s="94"/>
      <c r="AU113" s="94"/>
      <c r="AV113" s="94"/>
      <c r="AW113" s="94"/>
      <c r="AX113" s="94"/>
      <c r="AY113" s="94"/>
      <c r="AZ113" s="94"/>
      <c r="BA113" s="94"/>
      <c r="BB113" s="94"/>
      <c r="BC113" s="94"/>
      <c r="BD113" s="94"/>
      <c r="BE113" s="94"/>
      <c r="BI113" s="722" t="s">
        <v>344</v>
      </c>
      <c r="BJ113" s="722">
        <v>12</v>
      </c>
      <c r="BK113" s="722" t="s">
        <v>338</v>
      </c>
      <c r="BL113" s="808">
        <f t="shared" si="28"/>
        <v>0</v>
      </c>
      <c r="BM113" s="809"/>
      <c r="BN113" s="725"/>
      <c r="BO113" s="136"/>
      <c r="BP113" s="736"/>
      <c r="BQ113" s="737"/>
      <c r="BR113" s="810"/>
      <c r="BS113" s="780" t="str">
        <f t="shared" si="29"/>
        <v/>
      </c>
      <c r="BT113" s="136"/>
      <c r="BU113" s="725"/>
      <c r="BX113" s="666" t="str">
        <f t="shared" si="25"/>
        <v>Sep</v>
      </c>
      <c r="BY113" s="728">
        <f>IF(CB113=$CB114,SUMIF($BI102:$BI113,$BX113,$BR102:$BR113),SUMIF($BI102:$BI113,$BX113,$BM102:$BM113))</f>
        <v>0</v>
      </c>
      <c r="BZ113" s="728" t="e">
        <f>IF(IF(CB113=CB114,SUMIF(BI102:BI113,$BX113,BU102:BU113),SUMIF(BI102:BI113,$BX113,BP102:BP113))=0,NA(),IF(CB113=CB114,SUMIF(BI102:BI113,$BX113,BU102:BU113),SUMIF(BI102:BI113,$BX113,BP102:BP113)))</f>
        <v>#N/A</v>
      </c>
      <c r="CA113" s="729" t="e">
        <f>IF(IF(CB113=CB114,SUMIF(BI102:BI113,$BX113,BS102:BS113),SUMIF(BI102:BI113,$BX113,BN102:BN113))=0,NA(),IF(CB113=CB114,SUMIF(BI102:BI113,$BX113,BS102:BS113),SUMIF(BI102:BI113,$BX113,BN102:BN113)))</f>
        <v>#N/A</v>
      </c>
      <c r="CB113" s="730">
        <f>IF(CC113=9,CB114-1,CB114)</f>
        <v>23</v>
      </c>
      <c r="CC113" s="730">
        <f>IF(CC114-1&lt;1,CC114+11,CC114-1)</f>
        <v>9</v>
      </c>
    </row>
    <row r="114" spans="2:81" ht="15" hidden="1">
      <c r="B114" s="1656"/>
      <c r="C114" s="1657"/>
      <c r="D114" s="1657"/>
      <c r="E114" s="1657"/>
      <c r="F114" s="1657"/>
      <c r="G114" s="1657"/>
      <c r="H114" s="1657"/>
      <c r="I114" s="1657"/>
      <c r="J114" s="1657"/>
      <c r="K114" s="1657"/>
      <c r="L114" s="1657"/>
      <c r="M114" s="1657"/>
      <c r="N114" s="1657"/>
      <c r="O114" s="1657"/>
      <c r="P114" s="1657"/>
      <c r="Q114" s="1657"/>
      <c r="R114" s="1657"/>
      <c r="S114" s="1657"/>
      <c r="T114" s="1657"/>
      <c r="U114" s="1657"/>
      <c r="V114" s="1657"/>
      <c r="W114" s="1657"/>
      <c r="X114" s="1657"/>
      <c r="Y114" s="1657"/>
      <c r="Z114" s="1657"/>
      <c r="AA114" s="1657"/>
      <c r="AB114" s="1658"/>
      <c r="AE114" s="1656"/>
      <c r="AF114" s="1657"/>
      <c r="AG114" s="1657"/>
      <c r="AH114" s="1657"/>
      <c r="AI114" s="1657"/>
      <c r="AJ114" s="1657"/>
      <c r="AK114" s="1657"/>
      <c r="AL114" s="1657"/>
      <c r="AM114" s="1657"/>
      <c r="AN114" s="1657"/>
      <c r="AO114" s="1657"/>
      <c r="AP114" s="1657"/>
      <c r="AQ114" s="1657"/>
      <c r="AR114" s="1657"/>
      <c r="AS114" s="1657"/>
      <c r="AT114" s="1657"/>
      <c r="AU114" s="1657"/>
      <c r="AV114" s="1657"/>
      <c r="AW114" s="1657"/>
      <c r="AX114" s="1657"/>
      <c r="AY114" s="1657"/>
      <c r="AZ114" s="1657"/>
      <c r="BA114" s="1657"/>
      <c r="BB114" s="1657"/>
      <c r="BC114" s="1657"/>
      <c r="BD114" s="1657"/>
      <c r="BE114" s="1658"/>
      <c r="BW114" s="667" t="str">
        <f>Cover!$M$34</f>
        <v>OCT FY-24</v>
      </c>
      <c r="BX114" s="666" t="str">
        <f>TEXT(CONCATENATE(CC114,"/01/20",CB114),"MMM")</f>
        <v>Oct</v>
      </c>
      <c r="BY114" s="728">
        <f>SUMIF($BI102:$BI113,$BX114,$BR102:$BR113)</f>
        <v>0</v>
      </c>
      <c r="BZ114" s="728" t="e">
        <f>IF(IF(CB114=CB114,SUMIF(BI102:BI113,$BX114,BU102:BU113),SUMIF(BI102:BI113,$BX114,BP102:BP113))=0,NA(),IF(CB114=CB114,SUMIF(BI102:BI113,$BX114,BU102:BU113),SUMIF(BI102:BI113,$BX114,BP102:BP113)))</f>
        <v>#N/A</v>
      </c>
      <c r="CA114" s="729" t="e">
        <f>IF(SUMIF($BI102:$BI113,$BX114,$BS102:$BS113)=0,NA(),SUMIF($BI102:$BI113,$BX114,$BS102:$BS113))</f>
        <v>#N/A</v>
      </c>
      <c r="CB114" s="730" t="str">
        <f>RIGHT(BW114,2)</f>
        <v>24</v>
      </c>
      <c r="CC114" s="730">
        <f>MONTH(DATEVALUE(LEFT(BW114,3)&amp;" 1"))</f>
        <v>10</v>
      </c>
    </row>
    <row r="115" spans="2:81" ht="15" hidden="1">
      <c r="B115" s="1659"/>
      <c r="C115" s="1660"/>
      <c r="D115" s="1660"/>
      <c r="E115" s="1660"/>
      <c r="F115" s="1660"/>
      <c r="G115" s="1660"/>
      <c r="H115" s="1660"/>
      <c r="I115" s="1660"/>
      <c r="J115" s="1660"/>
      <c r="K115" s="1660"/>
      <c r="L115" s="1660"/>
      <c r="M115" s="1660"/>
      <c r="N115" s="1660"/>
      <c r="O115" s="1660"/>
      <c r="P115" s="1660"/>
      <c r="Q115" s="1660"/>
      <c r="R115" s="1660"/>
      <c r="S115" s="1660"/>
      <c r="T115" s="1660"/>
      <c r="U115" s="1660"/>
      <c r="V115" s="1660"/>
      <c r="W115" s="1660"/>
      <c r="X115" s="1660"/>
      <c r="Y115" s="1660"/>
      <c r="Z115" s="1660"/>
      <c r="AA115" s="1660"/>
      <c r="AB115" s="1661"/>
      <c r="AE115" s="1659"/>
      <c r="AF115" s="1660"/>
      <c r="AG115" s="1660"/>
      <c r="AH115" s="1660"/>
      <c r="AI115" s="1660"/>
      <c r="AJ115" s="1660"/>
      <c r="AK115" s="1660"/>
      <c r="AL115" s="1660"/>
      <c r="AM115" s="1660"/>
      <c r="AN115" s="1660"/>
      <c r="AO115" s="1660"/>
      <c r="AP115" s="1660"/>
      <c r="AQ115" s="1660"/>
      <c r="AR115" s="1660"/>
      <c r="AS115" s="1660"/>
      <c r="AT115" s="1660"/>
      <c r="AU115" s="1660"/>
      <c r="AV115" s="1660"/>
      <c r="AW115" s="1660"/>
      <c r="AX115" s="1660"/>
      <c r="AY115" s="1660"/>
      <c r="AZ115" s="1660"/>
      <c r="BA115" s="1660"/>
      <c r="BB115" s="1660"/>
      <c r="BC115" s="1660"/>
      <c r="BD115" s="1660"/>
      <c r="BE115" s="1661"/>
    </row>
    <row r="116" spans="2:81" ht="15" hidden="1">
      <c r="B116" s="1659"/>
      <c r="C116" s="1660"/>
      <c r="D116" s="1660"/>
      <c r="E116" s="1660"/>
      <c r="F116" s="1660"/>
      <c r="G116" s="1660"/>
      <c r="H116" s="1660"/>
      <c r="I116" s="1660"/>
      <c r="J116" s="1660"/>
      <c r="K116" s="1660"/>
      <c r="L116" s="1660"/>
      <c r="M116" s="1660"/>
      <c r="N116" s="1660"/>
      <c r="O116" s="1660"/>
      <c r="P116" s="1660"/>
      <c r="Q116" s="1660"/>
      <c r="R116" s="1660"/>
      <c r="S116" s="1660"/>
      <c r="T116" s="1660"/>
      <c r="U116" s="1660"/>
      <c r="V116" s="1660"/>
      <c r="W116" s="1660"/>
      <c r="X116" s="1660"/>
      <c r="Y116" s="1660"/>
      <c r="Z116" s="1660"/>
      <c r="AA116" s="1660"/>
      <c r="AB116" s="1661"/>
      <c r="AE116" s="1659"/>
      <c r="AF116" s="1660"/>
      <c r="AG116" s="1660"/>
      <c r="AH116" s="1660"/>
      <c r="AI116" s="1660"/>
      <c r="AJ116" s="1660"/>
      <c r="AK116" s="1660"/>
      <c r="AL116" s="1660"/>
      <c r="AM116" s="1660"/>
      <c r="AN116" s="1660"/>
      <c r="AO116" s="1660"/>
      <c r="AP116" s="1660"/>
      <c r="AQ116" s="1660"/>
      <c r="AR116" s="1660"/>
      <c r="AS116" s="1660"/>
      <c r="AT116" s="1660"/>
      <c r="AU116" s="1660"/>
      <c r="AV116" s="1660"/>
      <c r="AW116" s="1660"/>
      <c r="AX116" s="1660"/>
      <c r="AY116" s="1660"/>
      <c r="AZ116" s="1660"/>
      <c r="BA116" s="1660"/>
      <c r="BB116" s="1660"/>
      <c r="BC116" s="1660"/>
      <c r="BD116" s="1660"/>
      <c r="BE116" s="1661"/>
      <c r="BI116" s="1" t="s">
        <v>292</v>
      </c>
      <c r="BJ116" s="166"/>
      <c r="BK116" s="166"/>
      <c r="BL116" s="166"/>
      <c r="BM116" s="166"/>
      <c r="BN116" s="166"/>
      <c r="BO116" s="166"/>
      <c r="BP116" s="166"/>
      <c r="BQ116" s="166"/>
      <c r="BR116" s="166"/>
      <c r="BS116" s="166"/>
      <c r="BT116" s="166"/>
      <c r="BU116" s="166"/>
    </row>
    <row r="117" spans="2:81" ht="15" hidden="1">
      <c r="B117" s="1662"/>
      <c r="C117" s="1663"/>
      <c r="D117" s="1663"/>
      <c r="E117" s="1663"/>
      <c r="F117" s="1663"/>
      <c r="G117" s="1663"/>
      <c r="H117" s="1663"/>
      <c r="I117" s="1663"/>
      <c r="J117" s="1663"/>
      <c r="K117" s="1663"/>
      <c r="L117" s="1663"/>
      <c r="M117" s="1663"/>
      <c r="N117" s="1663"/>
      <c r="O117" s="1663"/>
      <c r="P117" s="1663"/>
      <c r="Q117" s="1663"/>
      <c r="R117" s="1663"/>
      <c r="S117" s="1663"/>
      <c r="T117" s="1663"/>
      <c r="U117" s="1663"/>
      <c r="V117" s="1663"/>
      <c r="W117" s="1663"/>
      <c r="X117" s="1663"/>
      <c r="Y117" s="1663"/>
      <c r="Z117" s="1663"/>
      <c r="AA117" s="1663"/>
      <c r="AB117" s="1664"/>
      <c r="AE117" s="1662"/>
      <c r="AF117" s="1663"/>
      <c r="AG117" s="1663"/>
      <c r="AH117" s="1663"/>
      <c r="AI117" s="1663"/>
      <c r="AJ117" s="1663"/>
      <c r="AK117" s="1663"/>
      <c r="AL117" s="1663"/>
      <c r="AM117" s="1663"/>
      <c r="AN117" s="1663"/>
      <c r="AO117" s="1663"/>
      <c r="AP117" s="1663"/>
      <c r="AQ117" s="1663"/>
      <c r="AR117" s="1663"/>
      <c r="AS117" s="1663"/>
      <c r="AT117" s="1663"/>
      <c r="AU117" s="1663"/>
      <c r="AV117" s="1663"/>
      <c r="AW117" s="1663"/>
      <c r="AX117" s="1663"/>
      <c r="AY117" s="1663"/>
      <c r="AZ117" s="1663"/>
      <c r="BA117" s="1663"/>
      <c r="BB117" s="1663"/>
      <c r="BC117" s="1663"/>
      <c r="BD117" s="1663"/>
      <c r="BE117" s="1664"/>
      <c r="BI117" s="54" t="s">
        <v>296</v>
      </c>
      <c r="BJ117" s="166"/>
      <c r="BK117" s="166"/>
      <c r="BL117" s="166"/>
      <c r="BM117" s="166"/>
      <c r="BN117" s="166"/>
      <c r="BO117" s="166"/>
      <c r="BP117" s="166"/>
      <c r="BQ117" s="166"/>
      <c r="BR117" s="166"/>
      <c r="BS117" s="166"/>
      <c r="BT117" s="166"/>
      <c r="BU117" s="166"/>
    </row>
    <row r="118" spans="2:81" ht="15.75" hidden="1" thickBot="1">
      <c r="BI118" s="1" t="s">
        <v>300</v>
      </c>
      <c r="BJ118" s="166"/>
      <c r="BK118" s="166"/>
      <c r="BL118" s="166"/>
      <c r="BM118" s="166"/>
      <c r="BN118" s="166"/>
      <c r="BO118" s="166"/>
      <c r="BP118" s="166"/>
      <c r="BQ118" s="166"/>
      <c r="BR118" s="166"/>
      <c r="BS118" s="166"/>
      <c r="BT118" s="166"/>
      <c r="BU118" s="166"/>
    </row>
    <row r="119" spans="2:81" ht="15.75" hidden="1" thickBot="1">
      <c r="B119" s="52"/>
      <c r="AD119"/>
      <c r="BI119" s="2"/>
      <c r="BL119" s="1490" t="s">
        <v>661</v>
      </c>
      <c r="BM119" s="1491"/>
      <c r="BN119" s="1491"/>
      <c r="BO119" s="1491"/>
      <c r="BP119" s="1521"/>
      <c r="BQ119" s="1490" t="s">
        <v>662</v>
      </c>
      <c r="BR119" s="1491"/>
      <c r="BS119" s="1491"/>
      <c r="BT119" s="1491"/>
      <c r="BU119" s="1492"/>
      <c r="BW119" s="1490" t="s">
        <v>303</v>
      </c>
      <c r="BX119" s="1491"/>
      <c r="BY119" s="1491"/>
      <c r="BZ119" s="1491"/>
      <c r="CA119" s="1491"/>
      <c r="CB119" s="1491"/>
      <c r="CC119" s="1492"/>
    </row>
    <row r="120" spans="2:81" ht="30" hidden="1">
      <c r="BI120" s="720" t="s">
        <v>23</v>
      </c>
      <c r="BJ120" s="720" t="s">
        <v>37</v>
      </c>
      <c r="BK120" s="720" t="s">
        <v>304</v>
      </c>
      <c r="BL120" s="721" t="s">
        <v>305</v>
      </c>
      <c r="BM120" s="721" t="s">
        <v>306</v>
      </c>
      <c r="BN120" s="721" t="s">
        <v>663</v>
      </c>
      <c r="BO120" s="135" t="s">
        <v>664</v>
      </c>
      <c r="BP120" s="721" t="s">
        <v>665</v>
      </c>
      <c r="BQ120" s="721" t="s">
        <v>305</v>
      </c>
      <c r="BR120" s="721" t="s">
        <v>666</v>
      </c>
      <c r="BS120" s="721" t="s">
        <v>667</v>
      </c>
      <c r="BT120" s="135" t="s">
        <v>668</v>
      </c>
      <c r="BU120" s="721" t="s">
        <v>669</v>
      </c>
      <c r="BW120" s="164" t="s">
        <v>314</v>
      </c>
      <c r="BX120" s="164" t="s">
        <v>23</v>
      </c>
      <c r="BY120" s="164" t="s">
        <v>315</v>
      </c>
      <c r="BZ120" s="164" t="s">
        <v>122</v>
      </c>
      <c r="CA120" s="164" t="s">
        <v>316</v>
      </c>
      <c r="CB120" s="164" t="s">
        <v>317</v>
      </c>
      <c r="CC120" s="164" t="s">
        <v>318</v>
      </c>
    </row>
    <row r="121" spans="2:81" ht="15" hidden="1">
      <c r="BI121" s="722" t="s">
        <v>319</v>
      </c>
      <c r="BJ121" s="722">
        <v>1</v>
      </c>
      <c r="BK121" s="722" t="s">
        <v>320</v>
      </c>
      <c r="BL121" s="808">
        <f>BN121*BM121</f>
        <v>0</v>
      </c>
      <c r="BM121" s="809"/>
      <c r="BN121" s="725"/>
      <c r="BO121" s="140">
        <f>IF(SUM(BM121:BM123=0),0,SUM(BL121:BL123)/SUM(BM121:BM123))</f>
        <v>0</v>
      </c>
      <c r="BP121" s="736"/>
      <c r="BQ121" s="737"/>
      <c r="BR121" s="810"/>
      <c r="BS121" s="780" t="str">
        <f>IF(BR121="","",BQ121/BR121)</f>
        <v/>
      </c>
      <c r="BT121" s="140">
        <f>IF(SUM(BR121:BR123=0),0,SUM(BQ121:BQ123)/SUM(BR121:BR123))</f>
        <v>0</v>
      </c>
      <c r="BU121" s="725"/>
      <c r="BX121" s="666" t="str">
        <f t="shared" ref="BX121:BX132" si="30">TEXT(CONCATENATE(CC121,"/01/20",CB121),"MMM")</f>
        <v>Oct</v>
      </c>
      <c r="BY121" s="728">
        <f>IF(CB121=$CB133,SUMIF($BI121:$BI132,$BX121,$BR121:$BR132),SUMIF($BI121:$BI132,$BX121,$BM121:$BM132))</f>
        <v>0</v>
      </c>
      <c r="BZ121" s="728" t="e">
        <f>IF(IF(CB121=CB133,SUMIF(BI121:BI132,$BX121,BU121:BU132),SUMIF(BI121:BI132,$BX121,BP121:BP132))=0,NA(),IF(CB121=CB133,SUMIF(BI121:BI132,$BX121,BU121:BU132),SUMIF(BI121:BI132,$BX121,BP121:BP132)))</f>
        <v>#N/A</v>
      </c>
      <c r="CA121" s="729" t="e">
        <f>IF(IF(CB121=CB133,SUMIF(BI121:BI132,$BX121,BS121:BS132),SUMIF(BI121:BI132,$BX121,BN121:BN132))=0,NA(),IF(CB121=CB133,SUMIF(BI121:BI132,$BX121,BS121:BS132),SUMIF(BI121:BI132,$BX121,BN121:BN132)))</f>
        <v>#N/A</v>
      </c>
      <c r="CB121" s="730">
        <f t="shared" ref="CB121:CB131" si="31">IF(CC121=9,CB122-1,CB122)</f>
        <v>23</v>
      </c>
      <c r="CC121" s="730">
        <f t="shared" ref="CC121:CC131" si="32">IF(CC122-1&lt;1,CC122+11,CC122-1)</f>
        <v>10</v>
      </c>
    </row>
    <row r="122" spans="2:81" ht="15" hidden="1">
      <c r="BI122" s="722" t="s">
        <v>321</v>
      </c>
      <c r="BJ122" s="722">
        <v>2</v>
      </c>
      <c r="BK122" s="722" t="s">
        <v>320</v>
      </c>
      <c r="BL122" s="808">
        <f t="shared" ref="BL122:BL132" si="33">BN122*BM122</f>
        <v>0</v>
      </c>
      <c r="BM122" s="809"/>
      <c r="BN122" s="725"/>
      <c r="BO122" s="136"/>
      <c r="BP122" s="736"/>
      <c r="BQ122" s="737"/>
      <c r="BR122" s="810"/>
      <c r="BS122" s="780" t="str">
        <f>IF(BR122="","",BQ122/BR122)</f>
        <v/>
      </c>
      <c r="BT122" s="136"/>
      <c r="BU122" s="725"/>
      <c r="BX122" s="666" t="str">
        <f t="shared" si="30"/>
        <v>Nov</v>
      </c>
      <c r="BY122" s="728">
        <f>IF(CB122=$CB133,SUMIF($BI121:$BI132,$BX122,$BR121:$BR132),SUMIF($BI121:$BI132,$BX122,$BM121:$BM132))</f>
        <v>0</v>
      </c>
      <c r="BZ122" s="728" t="e">
        <f>IF(IF(CB122=CB133,SUMIF(BI121:BI132,$BX122,BU121:BU132),SUMIF(BI121:BI132,$BX122,BP121:BP132))=0,NA(),IF(CB122=CB133,SUMIF(BI121:BI132,$BX122,BU121:BU132),SUMIF(BI121:BI132,$BX122,BP121:BP132)))</f>
        <v>#N/A</v>
      </c>
      <c r="CA122" s="729" t="e">
        <f>IF(IF(CB122=CB133,SUMIF(BI121:BI132,$BX122,BS121:BS132),SUMIF(BI121:BI132,$BX122,BN121:BN132))=0,NA(),IF(CB122=CB133,SUMIF(BI121:BI132,$BX122,BS121:BS132),SUMIF(BI121:BI132,$BX122,BN121:BN132)))</f>
        <v>#N/A</v>
      </c>
      <c r="CB122" s="730">
        <f t="shared" si="31"/>
        <v>23</v>
      </c>
      <c r="CC122" s="730">
        <f t="shared" si="32"/>
        <v>11</v>
      </c>
    </row>
    <row r="123" spans="2:81" ht="15" hidden="1">
      <c r="BI123" s="722" t="s">
        <v>322</v>
      </c>
      <c r="BJ123" s="722">
        <v>3</v>
      </c>
      <c r="BK123" s="722" t="s">
        <v>320</v>
      </c>
      <c r="BL123" s="808">
        <f t="shared" si="33"/>
        <v>0</v>
      </c>
      <c r="BM123" s="809"/>
      <c r="BN123" s="725"/>
      <c r="BO123" s="136"/>
      <c r="BP123" s="736"/>
      <c r="BQ123" s="737"/>
      <c r="BR123" s="810"/>
      <c r="BS123" s="780" t="str">
        <f t="shared" ref="BS123:BS132" si="34">IF(BR123="","",BQ123/BR123)</f>
        <v/>
      </c>
      <c r="BT123" s="136"/>
      <c r="BU123" s="725"/>
      <c r="BX123" s="666" t="str">
        <f t="shared" si="30"/>
        <v>Dec</v>
      </c>
      <c r="BY123" s="728">
        <f>IF(CB123=$CB133,SUMIF($BI121:$BI132,$BX123,$BR121:$BR132),SUMIF($BI121:$BI132,$BX123,$BM121:$BM132))</f>
        <v>0</v>
      </c>
      <c r="BZ123" s="728" t="e">
        <f>IF(IF(CB123=CB133,SUMIF(BI121:BI132,$BX123,BU121:BU132),SUMIF(BI121:BI132,$BX123,BP121:BP132))=0,NA(),IF(CB123=CB133,SUMIF(BI121:BI132,$BX123,BU121:BU132),SUMIF(BI121:BI132,$BX123,BP121:BP132)))</f>
        <v>#N/A</v>
      </c>
      <c r="CA123" s="729" t="e">
        <f>IF(IF(CB123=CB133,SUMIF(BI121:BI132,$BX123,BS121:BS132),SUMIF(BI121:BI132,$BX123,BN121:BN132))=0,NA(),IF(CB123=CB133,SUMIF(BI121:BI132,$BX123,BS121:BS132),SUMIF(BI121:BI132,$BX123,BN121:BN132)))</f>
        <v>#N/A</v>
      </c>
      <c r="CB123" s="730">
        <f t="shared" si="31"/>
        <v>23</v>
      </c>
      <c r="CC123" s="730">
        <f t="shared" si="32"/>
        <v>12</v>
      </c>
    </row>
    <row r="124" spans="2:81" ht="15" hidden="1">
      <c r="BI124" s="722" t="s">
        <v>323</v>
      </c>
      <c r="BJ124" s="722">
        <v>4</v>
      </c>
      <c r="BK124" s="722" t="s">
        <v>324</v>
      </c>
      <c r="BL124" s="808">
        <f t="shared" si="33"/>
        <v>0</v>
      </c>
      <c r="BM124" s="809"/>
      <c r="BN124" s="725"/>
      <c r="BO124" s="140">
        <f>IF(SUM(BM124:BM126=0),0,SUM(BL124:BL126)/SUM(BM124:BM126))</f>
        <v>0</v>
      </c>
      <c r="BP124" s="736"/>
      <c r="BQ124" s="737"/>
      <c r="BR124" s="810"/>
      <c r="BS124" s="780" t="str">
        <f t="shared" si="34"/>
        <v/>
      </c>
      <c r="BT124" s="140">
        <f>IF(SUM(BR124:BR126=0),0,SUM(BQ124:BQ126)/SUM(BR124:BR126))</f>
        <v>0</v>
      </c>
      <c r="BU124" s="725"/>
      <c r="BX124" s="666" t="str">
        <f t="shared" si="30"/>
        <v>Jan</v>
      </c>
      <c r="BY124" s="728">
        <f>IF(CB124=$CB133,SUMIF($BI121:$BI132,$BX124,$BR121:$BR132),SUMIF($BI121:$BI132,$BX124,$BM121:$BM132))</f>
        <v>0</v>
      </c>
      <c r="BZ124" s="728" t="e">
        <f>IF(IF(CB124=CB133,SUMIF(BI121:BI132,$BX124,BU121:BU132),SUMIF(BI121:BI132,$BX124,BP121:BP132))=0,NA(),IF(CB124=CB133,SUMIF(BI121:BI132,$BX124,BU121:BU132),SUMIF(BI121:BI132,$BX124,BP121:BP132)))</f>
        <v>#N/A</v>
      </c>
      <c r="CA124" s="729" t="e">
        <f>IF(IF(CB124=CB133,SUMIF(BI121:BI132,$BX124,BS121:BS132),SUMIF(BI121:BI132,$BX124,BN121:BN132))=0,NA(),IF(CB124=CB133,SUMIF(BI121:BI132,$BX124,BS121:BS132),SUMIF(BI121:BI132,$BX124,BN121:BN132)))</f>
        <v>#N/A</v>
      </c>
      <c r="CB124" s="730">
        <f t="shared" si="31"/>
        <v>23</v>
      </c>
      <c r="CC124" s="730">
        <f t="shared" si="32"/>
        <v>1</v>
      </c>
    </row>
    <row r="125" spans="2:81" ht="15" hidden="1">
      <c r="BI125" s="722" t="s">
        <v>325</v>
      </c>
      <c r="BJ125" s="722">
        <v>5</v>
      </c>
      <c r="BK125" s="722" t="s">
        <v>324</v>
      </c>
      <c r="BL125" s="808">
        <f t="shared" si="33"/>
        <v>0</v>
      </c>
      <c r="BM125" s="809"/>
      <c r="BN125" s="725"/>
      <c r="BO125" s="136"/>
      <c r="BP125" s="736"/>
      <c r="BQ125" s="737"/>
      <c r="BR125" s="810"/>
      <c r="BS125" s="780" t="str">
        <f t="shared" si="34"/>
        <v/>
      </c>
      <c r="BT125" s="136"/>
      <c r="BU125" s="725"/>
      <c r="BX125" s="666" t="str">
        <f t="shared" si="30"/>
        <v>Feb</v>
      </c>
      <c r="BY125" s="728">
        <f>IF(CB125=$CB133,SUMIF($BI121:$BI132,$BX125,$BR121:$BR132),SUMIF($BI121:$BI132,$BX125,$BM121:$BM132))</f>
        <v>0</v>
      </c>
      <c r="BZ125" s="728" t="e">
        <f>IF(IF(CB125=CB133,SUMIF(BI121:BI132,$BX125,BU121:BU132),SUMIF(BI121:BI132,$BX125,BP121:BP132))=0,NA(),IF(CB125=CB133,SUMIF(BI121:BI132,$BX125,BU121:BU132),SUMIF(BI121:BI132,$BX125,BP121:BP132)))</f>
        <v>#N/A</v>
      </c>
      <c r="CA125" s="729" t="e">
        <f>IF(IF(CB125=CB133,SUMIF(BI121:BI132,$BX125,BS121:BS132),SUMIF(BI121:BI132,$BX125,BN121:BN132))=0,NA(),IF(CB125=CB133,SUMIF(BI121:BI132,$BX125,BS121:BS132),SUMIF(BI121:BI132,$BX125,BN121:BN132)))</f>
        <v>#N/A</v>
      </c>
      <c r="CB125" s="730">
        <f t="shared" si="31"/>
        <v>23</v>
      </c>
      <c r="CC125" s="730">
        <f t="shared" si="32"/>
        <v>2</v>
      </c>
    </row>
    <row r="126" spans="2:81" ht="15" hidden="1">
      <c r="BI126" s="722" t="s">
        <v>326</v>
      </c>
      <c r="BJ126" s="722">
        <v>6</v>
      </c>
      <c r="BK126" s="722" t="s">
        <v>324</v>
      </c>
      <c r="BL126" s="808">
        <f t="shared" si="33"/>
        <v>0</v>
      </c>
      <c r="BM126" s="809"/>
      <c r="BN126" s="725"/>
      <c r="BO126" s="136"/>
      <c r="BP126" s="736"/>
      <c r="BQ126" s="737"/>
      <c r="BR126" s="810"/>
      <c r="BS126" s="780" t="str">
        <f t="shared" si="34"/>
        <v/>
      </c>
      <c r="BT126" s="136"/>
      <c r="BU126" s="725"/>
      <c r="BX126" s="666" t="str">
        <f t="shared" si="30"/>
        <v>Mar</v>
      </c>
      <c r="BY126" s="728">
        <f>IF(CB126=$CB133,SUMIF($BI121:$BI132,$BX126,$BR121:$BR132),SUMIF($BI121:$BI132,$BX126,$BM121:$BM132))</f>
        <v>0</v>
      </c>
      <c r="BZ126" s="728" t="e">
        <f>IF(IF(CB126=CB133,SUMIF(BI121:BI132,$BX126,BU121:BU132),SUMIF(BI121:BI132,$BX126,BP121:BP132))=0,NA(),IF(CB126=CB133,SUMIF(BI121:BI132,$BX126,BU121:BU132),SUMIF(BI121:BI132,$BX126,BP121:BP132)))</f>
        <v>#N/A</v>
      </c>
      <c r="CA126" s="729" t="e">
        <f>IF(IF(CB126=CB133,SUMIF(BI121:BI132,$BX126,BS121:BS132),SUMIF(BI121:BI132,$BX126,BN121:BN132))=0,NA(),IF(CB126=CB133,SUMIF(BI121:BI132,$BX126,BS121:BS132),SUMIF(BI121:BI132,$BX126,BN121:BN132)))</f>
        <v>#N/A</v>
      </c>
      <c r="CB126" s="730">
        <f t="shared" si="31"/>
        <v>23</v>
      </c>
      <c r="CC126" s="730">
        <f t="shared" si="32"/>
        <v>3</v>
      </c>
    </row>
    <row r="127" spans="2:81" ht="15" hidden="1">
      <c r="BI127" s="722" t="s">
        <v>327</v>
      </c>
      <c r="BJ127" s="722">
        <v>7</v>
      </c>
      <c r="BK127" s="722" t="s">
        <v>328</v>
      </c>
      <c r="BL127" s="808">
        <f t="shared" si="33"/>
        <v>0</v>
      </c>
      <c r="BM127" s="809"/>
      <c r="BN127" s="725"/>
      <c r="BO127" s="140">
        <f>IF(SUM(BM127:BM129=0),0,SUM(BL127:BL129)/SUM(BM127:BM129))</f>
        <v>0</v>
      </c>
      <c r="BP127" s="736"/>
      <c r="BQ127" s="737"/>
      <c r="BR127" s="810"/>
      <c r="BS127" s="780" t="str">
        <f t="shared" si="34"/>
        <v/>
      </c>
      <c r="BT127" s="140">
        <f>IF(SUM(BR127:BR129=0),0,SUM(BQ127:BQ129)/SUM(BR127:BR129))</f>
        <v>0</v>
      </c>
      <c r="BU127" s="725"/>
      <c r="BX127" s="666" t="str">
        <f t="shared" si="30"/>
        <v>Apr</v>
      </c>
      <c r="BY127" s="728">
        <f>IF(CB127=$CB133,SUMIF($BI121:$BI132,$BX127,$BR121:$BR132),SUMIF($BI121:$BI132,$BX127,$BM121:$BM132))</f>
        <v>0</v>
      </c>
      <c r="BZ127" s="728" t="e">
        <f>IF(IF(CB127=CB133,SUMIF(BI121:BI132,$BX127,BU121:BU132),SUMIF(BI121:BI132,$BX127,BP121:BP132))=0,NA(),IF(CB127=CB133,SUMIF(BI121:BI132,$BX127,BU121:BU132),SUMIF(BI121:BI132,$BX127,BP121:BP132)))</f>
        <v>#N/A</v>
      </c>
      <c r="CA127" s="729" t="e">
        <f>IF(IF(CB127=CB133,SUMIF(BI121:BI132,$BX127,BS121:BS132),SUMIF(BI121:BI132,$BX127,BN121:BN132))=0,NA(),IF(CB127=CB133,SUMIF(BI121:BI132,$BX127,BS121:BS132),SUMIF(BI121:BI132,$BX127,BN121:BN132)))</f>
        <v>#N/A</v>
      </c>
      <c r="CB127" s="730">
        <f t="shared" si="31"/>
        <v>23</v>
      </c>
      <c r="CC127" s="730">
        <f t="shared" si="32"/>
        <v>4</v>
      </c>
    </row>
    <row r="128" spans="2:81" ht="15" hidden="1">
      <c r="BI128" s="722" t="s">
        <v>329</v>
      </c>
      <c r="BJ128" s="722">
        <v>8</v>
      </c>
      <c r="BK128" s="722" t="s">
        <v>328</v>
      </c>
      <c r="BL128" s="808">
        <f t="shared" si="33"/>
        <v>0</v>
      </c>
      <c r="BM128" s="809"/>
      <c r="BN128" s="725"/>
      <c r="BO128" s="136"/>
      <c r="BP128" s="736"/>
      <c r="BQ128" s="737"/>
      <c r="BR128" s="810"/>
      <c r="BS128" s="780" t="str">
        <f t="shared" si="34"/>
        <v/>
      </c>
      <c r="BT128" s="136"/>
      <c r="BU128" s="725"/>
      <c r="BX128" s="666" t="str">
        <f t="shared" si="30"/>
        <v>May</v>
      </c>
      <c r="BY128" s="728">
        <f>IF(CB128=$CB133,SUMIF($BI121:$BI132,$BX128,$BR121:$BR132),SUMIF($BI121:$BI132,$BX128,$BM121:$BM132))</f>
        <v>0</v>
      </c>
      <c r="BZ128" s="728" t="e">
        <f>IF(IF(CB128=CB133,SUMIF(BI121:BI132,$BX128,BU121:BU132),SUMIF(BI121:BI132,$BX128,BP121:BP132))=0,NA(),IF(CB128=CB133,SUMIF(BI121:BI132,$BX128,BU121:BU132),SUMIF(BI121:BI132,$BX128,BP121:BP132)))</f>
        <v>#N/A</v>
      </c>
      <c r="CA128" s="729" t="e">
        <f>IF(IF(CB128=CB133,SUMIF(BI121:BI132,$BX128,BS121:BS132),SUMIF(BI121:BI132,$BX128,BN121:BN132))=0,NA(),IF(CB128=CB133,SUMIF(BI121:BI132,$BX128,BS121:BS132),SUMIF(BI121:BI132,$BX128,BN121:BN132)))</f>
        <v>#N/A</v>
      </c>
      <c r="CB128" s="730">
        <f t="shared" si="31"/>
        <v>23</v>
      </c>
      <c r="CC128" s="730">
        <f t="shared" si="32"/>
        <v>5</v>
      </c>
    </row>
    <row r="129" spans="2:81" ht="15" hidden="1">
      <c r="BI129" s="722" t="s">
        <v>331</v>
      </c>
      <c r="BJ129" s="722">
        <v>9</v>
      </c>
      <c r="BK129" s="722" t="s">
        <v>328</v>
      </c>
      <c r="BL129" s="808">
        <f t="shared" si="33"/>
        <v>0</v>
      </c>
      <c r="BM129" s="809"/>
      <c r="BN129" s="725"/>
      <c r="BO129" s="136"/>
      <c r="BP129" s="736"/>
      <c r="BQ129" s="737"/>
      <c r="BR129" s="810"/>
      <c r="BS129" s="780" t="str">
        <f t="shared" si="34"/>
        <v/>
      </c>
      <c r="BT129" s="136"/>
      <c r="BU129" s="725"/>
      <c r="BX129" s="666" t="str">
        <f t="shared" si="30"/>
        <v>Jun</v>
      </c>
      <c r="BY129" s="728">
        <f>IF(CB129=$CB133,SUMIF($BI121:$BI132,$BX129,$BR121:$BR132),SUMIF($BI121:$BI132,$BX129,$BM121:$BM132))</f>
        <v>0</v>
      </c>
      <c r="BZ129" s="728" t="e">
        <f>IF(IF(CB129=CB133,SUMIF(BI121:BI132,$BX129,BU121:BU132),SUMIF(BI121:BI132,$BX129,BP121:BP132))=0,NA(),IF(CB129=CB133,SUMIF(BI121:BI132,$BX129,BU121:BU132),SUMIF(BI121:BI132,$BX129,BP121:BP132)))</f>
        <v>#N/A</v>
      </c>
      <c r="CA129" s="729" t="e">
        <f>IF(IF(CB129=CB133,SUMIF(BI121:BI132,$BX129,BS121:BS132),SUMIF(BI121:BI132,$BX129,BN121:BN132))=0,NA(),IF(CB129=CB133,SUMIF(BI121:BI132,$BX129,BS121:BS132),SUMIF(BI121:BI132,$BX129,BN121:BN132)))</f>
        <v>#N/A</v>
      </c>
      <c r="CB129" s="730">
        <f t="shared" si="31"/>
        <v>23</v>
      </c>
      <c r="CC129" s="730">
        <f t="shared" si="32"/>
        <v>6</v>
      </c>
    </row>
    <row r="130" spans="2:81" ht="15" hidden="1">
      <c r="BI130" s="722" t="s">
        <v>337</v>
      </c>
      <c r="BJ130" s="722">
        <v>10</v>
      </c>
      <c r="BK130" s="722" t="s">
        <v>338</v>
      </c>
      <c r="BL130" s="808">
        <f t="shared" si="33"/>
        <v>0</v>
      </c>
      <c r="BM130" s="809"/>
      <c r="BN130" s="725"/>
      <c r="BO130" s="140">
        <f>IF(SUM(BM130:BM132=0),0,SUM(BL130:BL132)/SUM(BM130:BM132))</f>
        <v>0</v>
      </c>
      <c r="BP130" s="736"/>
      <c r="BQ130" s="737"/>
      <c r="BR130" s="810"/>
      <c r="BS130" s="780" t="str">
        <f t="shared" si="34"/>
        <v/>
      </c>
      <c r="BT130" s="140">
        <f>IF(SUM(BR130:BR132=0),0,SUM(BQ130:BQ132)/SUM(BR130:BR132))</f>
        <v>0</v>
      </c>
      <c r="BU130" s="725"/>
      <c r="BX130" s="666" t="str">
        <f t="shared" si="30"/>
        <v>Jul</v>
      </c>
      <c r="BY130" s="728">
        <f>IF(CB130=$CB133,SUMIF($BI121:$BI132,$BX130,$BR121:$BR132),SUMIF($BI121:$BI132,$BX130,$BM121:$BM132))</f>
        <v>0</v>
      </c>
      <c r="BZ130" s="728" t="e">
        <f>IF(IF(CB130=CB133,SUMIF(BI121:BI132,$BX130,BU121:BU132),SUMIF(BI121:BI132,$BX130,BP121:BP132))=0,NA(),IF(CB130=CB133,SUMIF(BI121:BI132,$BX130,BU121:BU132),SUMIF(BI121:BI132,$BX130,BP121:BP132)))</f>
        <v>#N/A</v>
      </c>
      <c r="CA130" s="729" t="e">
        <f>IF(IF(CB130=CB133,SUMIF(BI121:BI132,$BX130,BS121:BS132),SUMIF(BI121:BI132,$BX130,BN121:BN132))=0,NA(),IF(CB130=CB133,SUMIF(BI121:BI132,$BX130,BS121:BS132),SUMIF(BI121:BI132,$BX130,BN121:BN132)))</f>
        <v>#N/A</v>
      </c>
      <c r="CB130" s="730">
        <f t="shared" si="31"/>
        <v>23</v>
      </c>
      <c r="CC130" s="730">
        <f t="shared" si="32"/>
        <v>7</v>
      </c>
    </row>
    <row r="131" spans="2:81" ht="15" hidden="1">
      <c r="BI131" s="722" t="s">
        <v>343</v>
      </c>
      <c r="BJ131" s="722">
        <v>11</v>
      </c>
      <c r="BK131" s="722" t="s">
        <v>338</v>
      </c>
      <c r="BL131" s="808">
        <f t="shared" si="33"/>
        <v>0</v>
      </c>
      <c r="BM131" s="809"/>
      <c r="BN131" s="725"/>
      <c r="BO131" s="136"/>
      <c r="BP131" s="736"/>
      <c r="BQ131" s="737"/>
      <c r="BR131" s="810"/>
      <c r="BS131" s="780" t="str">
        <f t="shared" si="34"/>
        <v/>
      </c>
      <c r="BT131" s="136"/>
      <c r="BU131" s="725"/>
      <c r="BX131" s="666" t="str">
        <f t="shared" si="30"/>
        <v>Aug</v>
      </c>
      <c r="BY131" s="728">
        <f>IF(CB131=$CB133,SUMIF($BI121:$BI132,$BX131,$BR121:$BR132),SUMIF($BI121:$BI132,$BX131,$BM121:$BM132))</f>
        <v>0</v>
      </c>
      <c r="BZ131" s="728" t="e">
        <f>IF(IF(CB131=CB133,SUMIF(BI121:BI132,$BX131,BU121:BU132),SUMIF(BI121:BI132,$BX131,BP121:BP132))=0,NA(),IF(CB131=CB133,SUMIF(BI121:BI132,$BX131,BU121:BU132),SUMIF(BI121:BI132,$BX131,BP121:BP132)))</f>
        <v>#N/A</v>
      </c>
      <c r="CA131" s="729" t="e">
        <f>IF(IF(CB131=CB133,SUMIF(BI121:BI132,$BX131,BS121:BS132),SUMIF(BI121:BI132,$BX131,BN121:BN132))=0,NA(),IF(CB131=CB133,SUMIF(BI121:BI132,$BX131,BS121:BS132),SUMIF(BI121:BI132,$BX131,BN121:BN132)))</f>
        <v>#N/A</v>
      </c>
      <c r="CB131" s="730">
        <f t="shared" si="31"/>
        <v>23</v>
      </c>
      <c r="CC131" s="730">
        <f t="shared" si="32"/>
        <v>8</v>
      </c>
    </row>
    <row r="132" spans="2:81" ht="15" hidden="1">
      <c r="BI132" s="722" t="s">
        <v>344</v>
      </c>
      <c r="BJ132" s="722">
        <v>12</v>
      </c>
      <c r="BK132" s="722" t="s">
        <v>338</v>
      </c>
      <c r="BL132" s="808">
        <f t="shared" si="33"/>
        <v>0</v>
      </c>
      <c r="BM132" s="809"/>
      <c r="BN132" s="725"/>
      <c r="BO132" s="136"/>
      <c r="BP132" s="736"/>
      <c r="BQ132" s="737"/>
      <c r="BR132" s="810"/>
      <c r="BS132" s="780" t="str">
        <f t="shared" si="34"/>
        <v/>
      </c>
      <c r="BT132" s="136"/>
      <c r="BU132" s="725"/>
      <c r="BX132" s="666" t="str">
        <f t="shared" si="30"/>
        <v>Sep</v>
      </c>
      <c r="BY132" s="728">
        <f>IF(CB132=$CB133,SUMIF($BI121:$BI132,$BX132,$BR121:$BR132),SUMIF($BI121:$BI132,$BX132,$BM121:$BM132))</f>
        <v>0</v>
      </c>
      <c r="BZ132" s="728" t="e">
        <f>IF(IF(CB132=CB133,SUMIF(BI121:BI132,$BX132,BU121:BU132),SUMIF(BI121:BI132,$BX132,BP121:BP132))=0,NA(),IF(CB132=CB133,SUMIF(BI121:BI132,$BX132,BU121:BU132),SUMIF(BI121:BI132,$BX132,BP121:BP132)))</f>
        <v>#N/A</v>
      </c>
      <c r="CA132" s="729" t="e">
        <f>IF(IF(CB132=CB133,SUMIF(BI121:BI132,$BX132,BS121:BS132),SUMIF(BI121:BI132,$BX132,BN121:BN132))=0,NA(),IF(CB132=CB133,SUMIF(BI121:BI132,$BX132,BS121:BS132),SUMIF(BI121:BI132,$BX132,BN121:BN132)))</f>
        <v>#N/A</v>
      </c>
      <c r="CB132" s="730">
        <f>IF(CC132=9,CB133-1,CB133)</f>
        <v>23</v>
      </c>
      <c r="CC132" s="730">
        <f>IF(CC133-1&lt;1,CC133+11,CC133-1)</f>
        <v>9</v>
      </c>
    </row>
    <row r="133" spans="2:81" ht="15" hidden="1">
      <c r="BI133" s="6"/>
      <c r="BJ133" s="6"/>
      <c r="BK133" s="6"/>
      <c r="BL133" s="6"/>
      <c r="BM133" s="6"/>
      <c r="BN133" s="6"/>
      <c r="BO133" s="6"/>
      <c r="BP133" s="6"/>
      <c r="BQ133" s="6"/>
      <c r="BR133" s="6"/>
      <c r="BS133" s="6"/>
      <c r="BT133" s="6"/>
      <c r="BU133" s="6"/>
      <c r="BV133" s="6"/>
      <c r="BW133" s="667" t="str">
        <f>Cover!$M$34</f>
        <v>OCT FY-24</v>
      </c>
      <c r="BX133" s="666" t="str">
        <f>TEXT(CONCATENATE(CC133,"/01/20",CB133),"MMM")</f>
        <v>Oct</v>
      </c>
      <c r="BY133" s="728">
        <f>SUMIF($BI121:$BI132,$BX133,$BR121:$BR132)</f>
        <v>0</v>
      </c>
      <c r="BZ133" s="728" t="e">
        <f>IF(IF(CB133=CB133,SUMIF(BI121:BI132,$BX133,BU121:BU132),SUMIF(BI121:BI132,$BX133,BP121:BP132))=0,NA(),IF(CB133=CB133,SUMIF(BI121:BI132,$BX133,BU121:BU132),SUMIF(BI121:BI132,$BX133,BP121:BP132)))</f>
        <v>#N/A</v>
      </c>
      <c r="CA133" s="729" t="e">
        <f>IF(SUMIF($BI121:$BI132,$BX133,$BS121:$BS132)=0,NA(),SUMIF($BI121:$BI132,$BX133,$BS121:$BS132))</f>
        <v>#N/A</v>
      </c>
      <c r="CB133" s="730" t="str">
        <f>RIGHT(BW133,2)</f>
        <v>24</v>
      </c>
      <c r="CC133" s="730">
        <f>MONTH(DATEVALUE(LEFT(BW133,3)&amp;" 1"))</f>
        <v>10</v>
      </c>
    </row>
    <row r="134" spans="2:81" ht="12" hidden="1">
      <c r="BI134" s="6"/>
      <c r="BJ134" s="6"/>
      <c r="BK134" s="6"/>
      <c r="BL134" s="6"/>
      <c r="BM134" s="6"/>
      <c r="BN134" s="6"/>
      <c r="BO134" s="6"/>
      <c r="BP134" s="6"/>
      <c r="BQ134" s="6"/>
      <c r="BR134" s="6"/>
      <c r="BS134" s="6"/>
      <c r="BT134" s="6"/>
      <c r="BU134" s="6"/>
      <c r="BV134" s="6"/>
    </row>
    <row r="135" spans="2:81" ht="12" hidden="1">
      <c r="BI135" s="6"/>
      <c r="BJ135" s="6"/>
      <c r="BK135" s="6"/>
      <c r="BL135" s="6"/>
      <c r="BM135" s="6"/>
      <c r="BN135" s="6"/>
      <c r="BO135" s="6"/>
      <c r="BP135" s="6"/>
      <c r="BQ135" s="6"/>
      <c r="BR135" s="6"/>
      <c r="BS135" s="6"/>
      <c r="BT135" s="6"/>
      <c r="BU135" s="6"/>
      <c r="BV135" s="6"/>
    </row>
    <row r="136" spans="2:81" ht="15" hidden="1">
      <c r="B136" s="44"/>
      <c r="C136" s="44"/>
      <c r="D136" s="44"/>
      <c r="E136" s="87"/>
      <c r="F136" s="94"/>
      <c r="G136" s="94"/>
      <c r="H136" s="94"/>
      <c r="I136" s="94"/>
      <c r="J136" s="94"/>
      <c r="K136" s="94"/>
      <c r="L136" s="94"/>
      <c r="M136" s="94"/>
      <c r="N136" s="94"/>
      <c r="O136" s="94"/>
      <c r="P136" s="94"/>
      <c r="Q136" s="94"/>
      <c r="R136" s="94"/>
      <c r="S136" s="94"/>
      <c r="T136" s="94"/>
      <c r="U136" s="94"/>
      <c r="V136" s="94"/>
      <c r="W136" s="94"/>
      <c r="X136" s="94"/>
      <c r="Y136" s="94"/>
      <c r="Z136" s="94"/>
      <c r="AA136" s="94"/>
      <c r="AB136" s="94"/>
      <c r="AE136" s="44"/>
      <c r="AF136" s="44"/>
      <c r="AG136" s="44"/>
      <c r="AH136" s="87"/>
      <c r="AI136" s="94"/>
      <c r="AJ136" s="94"/>
      <c r="AK136" s="94"/>
      <c r="AL136" s="94"/>
      <c r="AM136" s="94"/>
      <c r="AN136" s="94"/>
      <c r="AO136" s="94"/>
      <c r="AP136" s="94"/>
      <c r="AQ136" s="94"/>
      <c r="AR136" s="94"/>
      <c r="AS136" s="94"/>
      <c r="AT136" s="94"/>
      <c r="AU136" s="94"/>
      <c r="AV136" s="94"/>
      <c r="AW136" s="94"/>
      <c r="AX136" s="94"/>
      <c r="AY136" s="94"/>
      <c r="AZ136" s="94"/>
      <c r="BA136" s="94"/>
      <c r="BB136" s="94"/>
      <c r="BC136" s="94"/>
      <c r="BD136" s="94"/>
      <c r="BE136" s="94"/>
      <c r="BI136" s="6"/>
      <c r="BJ136" s="6"/>
      <c r="BK136" s="6"/>
      <c r="BL136" s="6"/>
      <c r="BM136" s="6"/>
      <c r="BN136" s="6"/>
      <c r="BO136" s="6"/>
      <c r="BP136" s="6"/>
      <c r="BQ136" s="6"/>
      <c r="BR136" s="6"/>
      <c r="BS136" s="6"/>
      <c r="BT136" s="6"/>
      <c r="BU136" s="6"/>
      <c r="BV136" s="6"/>
    </row>
    <row r="137" spans="2:81" ht="12" hidden="1">
      <c r="B137" s="72"/>
      <c r="C137" s="72"/>
      <c r="D137" s="72"/>
      <c r="E137" s="72"/>
      <c r="F137" s="72"/>
      <c r="G137" s="72"/>
      <c r="H137" s="72"/>
      <c r="I137" s="72"/>
      <c r="J137" s="72"/>
      <c r="K137" s="72"/>
      <c r="L137" s="72"/>
      <c r="M137" s="72"/>
      <c r="N137" s="72"/>
      <c r="O137" s="72"/>
      <c r="P137" s="72"/>
      <c r="Q137" s="72"/>
      <c r="R137" s="72"/>
      <c r="S137" s="72"/>
      <c r="T137" s="72"/>
      <c r="U137" s="72"/>
      <c r="V137" s="72"/>
      <c r="W137" s="72"/>
      <c r="X137" s="72"/>
      <c r="Y137" s="72"/>
      <c r="Z137" s="72"/>
      <c r="AA137" s="72"/>
      <c r="AB137" s="72"/>
      <c r="AE137" s="72"/>
      <c r="AF137" s="72"/>
      <c r="AG137" s="72"/>
      <c r="AH137" s="72"/>
      <c r="AI137" s="72"/>
      <c r="AJ137" s="72"/>
      <c r="AK137" s="72"/>
      <c r="AL137" s="72"/>
      <c r="AM137" s="72"/>
      <c r="AN137" s="72"/>
      <c r="AO137" s="72"/>
      <c r="AP137" s="72"/>
      <c r="AQ137" s="72"/>
      <c r="AR137" s="72"/>
      <c r="AS137" s="72"/>
      <c r="AT137" s="72"/>
      <c r="AU137" s="72"/>
      <c r="AV137" s="72"/>
      <c r="AW137" s="72"/>
      <c r="AX137" s="72"/>
      <c r="AY137" s="72"/>
      <c r="AZ137" s="72"/>
      <c r="BA137" s="72"/>
      <c r="BB137" s="72"/>
      <c r="BC137" s="72"/>
      <c r="BD137" s="72"/>
      <c r="BE137" s="72"/>
      <c r="BI137" s="6"/>
      <c r="BJ137" s="6"/>
      <c r="BK137" s="6"/>
      <c r="BL137" s="6"/>
      <c r="BM137" s="6"/>
      <c r="BN137" s="6"/>
      <c r="BO137" s="6"/>
      <c r="BP137" s="6"/>
      <c r="BQ137" s="6"/>
      <c r="BR137" s="6"/>
      <c r="BS137" s="6"/>
      <c r="BT137" s="6"/>
      <c r="BU137" s="6"/>
      <c r="BV137" s="6"/>
    </row>
    <row r="138" spans="2:81" ht="12" hidden="1">
      <c r="B138" s="72"/>
      <c r="C138" s="72"/>
      <c r="D138" s="72"/>
      <c r="E138" s="72"/>
      <c r="F138" s="72"/>
      <c r="G138" s="72"/>
      <c r="H138" s="72"/>
      <c r="I138" s="72"/>
      <c r="J138" s="72"/>
      <c r="K138" s="72"/>
      <c r="L138" s="72"/>
      <c r="M138" s="72"/>
      <c r="N138" s="72"/>
      <c r="O138" s="72"/>
      <c r="P138" s="72"/>
      <c r="Q138" s="72"/>
      <c r="R138" s="72"/>
      <c r="S138" s="72"/>
      <c r="T138" s="72"/>
      <c r="U138" s="72"/>
      <c r="V138" s="72"/>
      <c r="W138" s="72"/>
      <c r="X138" s="72"/>
      <c r="Y138" s="72"/>
      <c r="Z138" s="72"/>
      <c r="AA138" s="72"/>
      <c r="AB138" s="72"/>
      <c r="AE138" s="72"/>
      <c r="AF138" s="72"/>
      <c r="AG138" s="72"/>
      <c r="AH138" s="72"/>
      <c r="AI138" s="72"/>
      <c r="AJ138" s="72"/>
      <c r="AK138" s="72"/>
      <c r="AL138" s="72"/>
      <c r="AM138" s="72"/>
      <c r="AN138" s="72"/>
      <c r="AO138" s="72"/>
      <c r="AP138" s="72"/>
      <c r="AQ138" s="72"/>
      <c r="AR138" s="72"/>
      <c r="AS138" s="72"/>
      <c r="AT138" s="72"/>
      <c r="AU138" s="72"/>
      <c r="AV138" s="72"/>
      <c r="AW138" s="72"/>
      <c r="AX138" s="72"/>
      <c r="AY138" s="72"/>
      <c r="AZ138" s="72"/>
      <c r="BA138" s="72"/>
      <c r="BB138" s="72"/>
      <c r="BC138" s="72"/>
      <c r="BD138" s="72"/>
      <c r="BE138" s="72"/>
      <c r="BI138" s="6"/>
      <c r="BJ138" s="6"/>
      <c r="BK138" s="6"/>
      <c r="BL138" s="6"/>
      <c r="BM138" s="6"/>
      <c r="BN138" s="6"/>
      <c r="BO138" s="6"/>
      <c r="BP138" s="6"/>
      <c r="BQ138" s="6"/>
      <c r="BR138" s="6"/>
      <c r="BS138" s="6"/>
      <c r="BT138" s="6"/>
      <c r="BU138" s="6"/>
      <c r="BV138" s="6"/>
    </row>
    <row r="139" spans="2:81" ht="12" hidden="1">
      <c r="B139" s="72"/>
      <c r="C139" s="72"/>
      <c r="D139" s="72"/>
      <c r="E139" s="72"/>
      <c r="F139" s="72"/>
      <c r="G139" s="72"/>
      <c r="H139" s="72"/>
      <c r="I139" s="72"/>
      <c r="J139" s="72"/>
      <c r="K139" s="72"/>
      <c r="L139" s="72"/>
      <c r="M139" s="72"/>
      <c r="N139" s="72"/>
      <c r="O139" s="72"/>
      <c r="P139" s="72"/>
      <c r="Q139" s="72"/>
      <c r="R139" s="72"/>
      <c r="S139" s="72"/>
      <c r="T139" s="72"/>
      <c r="U139" s="72"/>
      <c r="V139" s="72"/>
      <c r="W139" s="72"/>
      <c r="X139" s="72"/>
      <c r="Y139" s="72"/>
      <c r="Z139" s="72"/>
      <c r="AA139" s="72"/>
      <c r="AB139" s="72"/>
      <c r="AE139" s="72"/>
      <c r="AF139" s="72"/>
      <c r="AG139" s="72"/>
      <c r="AH139" s="72"/>
      <c r="AI139" s="72"/>
      <c r="AJ139" s="72"/>
      <c r="AK139" s="72"/>
      <c r="AL139" s="72"/>
      <c r="AM139" s="72"/>
      <c r="AN139" s="72"/>
      <c r="AO139" s="72"/>
      <c r="AP139" s="72"/>
      <c r="AQ139" s="72"/>
      <c r="AR139" s="72"/>
      <c r="AS139" s="72"/>
      <c r="AT139" s="72"/>
      <c r="AU139" s="72"/>
      <c r="AV139" s="72"/>
      <c r="AW139" s="72"/>
      <c r="AX139" s="72"/>
      <c r="AY139" s="72"/>
      <c r="AZ139" s="72"/>
      <c r="BA139" s="72"/>
      <c r="BB139" s="72"/>
      <c r="BC139" s="72"/>
      <c r="BD139" s="72"/>
      <c r="BE139" s="72"/>
      <c r="BI139" s="6"/>
      <c r="BJ139" s="6"/>
      <c r="BK139" s="6"/>
      <c r="BL139" s="6"/>
      <c r="BM139" s="6"/>
      <c r="BN139" s="6"/>
      <c r="BO139" s="6"/>
      <c r="BP139" s="6"/>
      <c r="BQ139" s="6"/>
      <c r="BR139" s="6"/>
      <c r="BS139" s="6"/>
      <c r="BT139" s="6"/>
      <c r="BU139" s="6"/>
      <c r="BV139" s="6"/>
    </row>
    <row r="140" spans="2:81" ht="12" hidden="1">
      <c r="B140" s="72"/>
      <c r="C140" s="72"/>
      <c r="D140" s="72"/>
      <c r="E140" s="72"/>
      <c r="F140" s="72"/>
      <c r="G140" s="72"/>
      <c r="H140" s="72"/>
      <c r="I140" s="72"/>
      <c r="J140" s="72"/>
      <c r="K140" s="72"/>
      <c r="L140" s="72"/>
      <c r="M140" s="72"/>
      <c r="N140" s="72"/>
      <c r="O140" s="72"/>
      <c r="P140" s="72"/>
      <c r="Q140" s="72"/>
      <c r="R140" s="72"/>
      <c r="S140" s="72"/>
      <c r="T140" s="72"/>
      <c r="U140" s="72"/>
      <c r="V140" s="72"/>
      <c r="W140" s="72"/>
      <c r="X140" s="72"/>
      <c r="Y140" s="72"/>
      <c r="Z140" s="72"/>
      <c r="AA140" s="72"/>
      <c r="AB140" s="72"/>
      <c r="AE140" s="72"/>
      <c r="AF140" s="72"/>
      <c r="AG140" s="72"/>
      <c r="AH140" s="72"/>
      <c r="AI140" s="72"/>
      <c r="AJ140" s="72"/>
      <c r="AK140" s="72"/>
      <c r="AL140" s="72"/>
      <c r="AM140" s="72"/>
      <c r="AN140" s="72"/>
      <c r="AO140" s="72"/>
      <c r="AP140" s="72"/>
      <c r="AQ140" s="72"/>
      <c r="AR140" s="72"/>
      <c r="AS140" s="72"/>
      <c r="AT140" s="72"/>
      <c r="AU140" s="72"/>
      <c r="AV140" s="72"/>
      <c r="AW140" s="72"/>
      <c r="AX140" s="72"/>
      <c r="AY140" s="72"/>
      <c r="AZ140" s="72"/>
      <c r="BA140" s="72"/>
      <c r="BB140" s="72"/>
      <c r="BC140" s="72"/>
      <c r="BD140" s="72"/>
      <c r="BE140" s="72"/>
      <c r="BI140" s="6"/>
      <c r="BJ140" s="6"/>
      <c r="BK140" s="6"/>
      <c r="BL140" s="6"/>
      <c r="BM140" s="6"/>
      <c r="BN140" s="6"/>
      <c r="BO140" s="6"/>
      <c r="BP140" s="6"/>
      <c r="BQ140" s="6"/>
      <c r="BR140" s="6"/>
      <c r="BS140" s="6"/>
      <c r="BT140" s="6"/>
      <c r="BU140" s="6"/>
      <c r="BV140" s="6"/>
    </row>
    <row r="141" spans="2:81" ht="12" hidden="1">
      <c r="BI141" s="6"/>
      <c r="BJ141" s="6"/>
      <c r="BK141" s="6"/>
      <c r="BL141" s="6"/>
      <c r="BM141" s="6"/>
      <c r="BN141" s="6"/>
      <c r="BO141" s="6"/>
      <c r="BP141" s="6"/>
      <c r="BQ141" s="6"/>
      <c r="BR141" s="6"/>
      <c r="BS141" s="6"/>
      <c r="BT141" s="6"/>
      <c r="BU141" s="6"/>
      <c r="BV141" s="6"/>
    </row>
    <row r="142" spans="2:81" ht="12" hidden="1">
      <c r="BI142" s="6"/>
      <c r="BJ142" s="6"/>
      <c r="BK142" s="6"/>
      <c r="BL142" s="6"/>
      <c r="BM142" s="6"/>
      <c r="BN142" s="6"/>
      <c r="BO142" s="6"/>
      <c r="BP142" s="6"/>
      <c r="BQ142" s="6"/>
      <c r="BR142" s="6"/>
      <c r="BS142" s="6"/>
      <c r="BT142" s="6"/>
      <c r="BU142" s="6"/>
      <c r="BV142" s="6"/>
    </row>
    <row r="143" spans="2:81" ht="12" hidden="1">
      <c r="B143" s="1534" t="s">
        <v>431</v>
      </c>
      <c r="C143" s="1535"/>
      <c r="D143" s="1535"/>
      <c r="E143" s="1535"/>
      <c r="F143" s="1535"/>
      <c r="G143" s="1535"/>
      <c r="H143" s="1535"/>
      <c r="I143" s="1535"/>
      <c r="J143" s="1535"/>
      <c r="K143" s="1535"/>
      <c r="L143" s="1536"/>
      <c r="M143" s="1537" t="s">
        <v>432</v>
      </c>
      <c r="N143" s="1538"/>
      <c r="O143" s="1538"/>
      <c r="P143" s="1538"/>
      <c r="Q143" s="1538"/>
      <c r="R143" s="1538"/>
      <c r="S143" s="1538"/>
      <c r="T143" s="1538"/>
      <c r="U143" s="1538"/>
      <c r="V143" s="1539"/>
      <c r="W143" s="1537" t="s">
        <v>433</v>
      </c>
      <c r="X143" s="1538"/>
      <c r="Y143" s="1538"/>
      <c r="Z143" s="1538"/>
      <c r="AA143" s="1538"/>
      <c r="AB143" s="1538"/>
      <c r="AC143" s="1538"/>
      <c r="AD143" s="1538"/>
      <c r="AE143" s="1538"/>
      <c r="AF143" s="1539"/>
      <c r="AG143" s="1553" t="s">
        <v>434</v>
      </c>
      <c r="AH143" s="1554"/>
      <c r="AI143" s="1554"/>
      <c r="AJ143" s="1554"/>
      <c r="AK143" s="1554"/>
      <c r="AL143" s="1554"/>
      <c r="AM143" s="1554"/>
      <c r="AN143" s="1554"/>
      <c r="AO143" s="1554"/>
      <c r="AP143" s="1555"/>
      <c r="AQ143" s="1534" t="s">
        <v>435</v>
      </c>
      <c r="AR143" s="1535"/>
      <c r="AS143" s="1535"/>
      <c r="AT143" s="1535"/>
      <c r="AU143" s="1536"/>
      <c r="AV143" s="1549" t="s">
        <v>670</v>
      </c>
      <c r="AW143" s="1550"/>
      <c r="AX143" s="1550"/>
      <c r="AY143" s="1550"/>
      <c r="AZ143" s="1551"/>
      <c r="BA143" s="1549" t="s">
        <v>437</v>
      </c>
      <c r="BB143" s="1550"/>
      <c r="BC143" s="1550"/>
      <c r="BD143" s="1550"/>
      <c r="BE143" s="1551"/>
      <c r="BI143" s="6"/>
      <c r="BJ143" s="6"/>
      <c r="BK143" s="6"/>
      <c r="BL143" s="6"/>
      <c r="BM143" s="6"/>
      <c r="BN143" s="6"/>
      <c r="BO143" s="6"/>
      <c r="BP143" s="6"/>
      <c r="BQ143" s="6"/>
      <c r="BR143" s="6"/>
      <c r="BS143" s="6"/>
      <c r="BT143" s="6"/>
      <c r="BU143" s="6"/>
      <c r="BV143" s="6"/>
    </row>
    <row r="144" spans="2:81" ht="12" hidden="1">
      <c r="B144" s="1557" t="s">
        <v>602</v>
      </c>
      <c r="C144" s="1558"/>
      <c r="D144" s="1558"/>
      <c r="E144" s="1558"/>
      <c r="F144" s="1558"/>
      <c r="G144" s="1558"/>
      <c r="H144" s="1558"/>
      <c r="I144" s="1558"/>
      <c r="J144" s="1558"/>
      <c r="K144" s="1558"/>
      <c r="L144" s="1559"/>
      <c r="M144" s="1543"/>
      <c r="N144" s="1544"/>
      <c r="O144" s="1544"/>
      <c r="P144" s="1544"/>
      <c r="Q144" s="1544"/>
      <c r="R144" s="1544"/>
      <c r="S144" s="1544"/>
      <c r="T144" s="1544"/>
      <c r="U144" s="1544"/>
      <c r="V144" s="1545"/>
      <c r="W144" s="1543"/>
      <c r="X144" s="1544"/>
      <c r="Y144" s="1544"/>
      <c r="Z144" s="1544"/>
      <c r="AA144" s="1544"/>
      <c r="AB144" s="1544"/>
      <c r="AC144" s="1544"/>
      <c r="AD144" s="1544"/>
      <c r="AE144" s="1544"/>
      <c r="AF144" s="1545"/>
      <c r="AG144" s="1563"/>
      <c r="AH144" s="1564"/>
      <c r="AI144" s="1564"/>
      <c r="AJ144" s="1564"/>
      <c r="AK144" s="1564"/>
      <c r="AL144" s="1564"/>
      <c r="AM144" s="1564"/>
      <c r="AN144" s="1564"/>
      <c r="AO144" s="1564"/>
      <c r="AP144" s="1565"/>
      <c r="AQ144" s="1575"/>
      <c r="AR144" s="1576"/>
      <c r="AS144" s="1576"/>
      <c r="AT144" s="1576"/>
      <c r="AU144" s="1577"/>
      <c r="AV144" s="1777"/>
      <c r="AW144" s="1778"/>
      <c r="AX144" s="1778"/>
      <c r="AY144" s="1778"/>
      <c r="AZ144" s="1779"/>
      <c r="BA144" s="1777"/>
      <c r="BB144" s="1778"/>
      <c r="BC144" s="1778"/>
      <c r="BD144" s="1778"/>
      <c r="BE144" s="1779"/>
      <c r="BI144" s="6"/>
      <c r="BJ144" s="6"/>
      <c r="BK144" s="6"/>
      <c r="BL144" s="6"/>
      <c r="BM144" s="6"/>
      <c r="BN144" s="6"/>
      <c r="BO144" s="6"/>
      <c r="BP144" s="6"/>
      <c r="BQ144" s="6"/>
      <c r="BR144" s="6"/>
      <c r="BS144" s="6"/>
      <c r="BT144" s="6"/>
      <c r="BU144" s="6"/>
      <c r="BV144" s="6"/>
    </row>
    <row r="145" spans="2:74" ht="12" hidden="1">
      <c r="B145" s="1763"/>
      <c r="C145" s="1764"/>
      <c r="D145" s="1764"/>
      <c r="E145" s="1764"/>
      <c r="F145" s="1764"/>
      <c r="G145" s="1764"/>
      <c r="H145" s="1764"/>
      <c r="I145" s="1764"/>
      <c r="J145" s="1764"/>
      <c r="K145" s="1764"/>
      <c r="L145" s="1765"/>
      <c r="M145" s="1584"/>
      <c r="N145" s="1585"/>
      <c r="O145" s="1585"/>
      <c r="P145" s="1585"/>
      <c r="Q145" s="1585"/>
      <c r="R145" s="1585"/>
      <c r="S145" s="1585"/>
      <c r="T145" s="1585"/>
      <c r="U145" s="1585"/>
      <c r="V145" s="1586"/>
      <c r="W145" s="1584"/>
      <c r="X145" s="1585"/>
      <c r="Y145" s="1585"/>
      <c r="Z145" s="1585"/>
      <c r="AA145" s="1585"/>
      <c r="AB145" s="1585"/>
      <c r="AC145" s="1585"/>
      <c r="AD145" s="1585"/>
      <c r="AE145" s="1585"/>
      <c r="AF145" s="1586"/>
      <c r="AG145" s="1766"/>
      <c r="AH145" s="1767"/>
      <c r="AI145" s="1767"/>
      <c r="AJ145" s="1767"/>
      <c r="AK145" s="1767"/>
      <c r="AL145" s="1767"/>
      <c r="AM145" s="1767"/>
      <c r="AN145" s="1767"/>
      <c r="AO145" s="1767"/>
      <c r="AP145" s="1768"/>
      <c r="AQ145" s="1815"/>
      <c r="AR145" s="1816"/>
      <c r="AS145" s="1816"/>
      <c r="AT145" s="1816"/>
      <c r="AU145" s="1817"/>
      <c r="AV145" s="1772"/>
      <c r="AW145" s="1773"/>
      <c r="AX145" s="1773"/>
      <c r="AY145" s="1773"/>
      <c r="AZ145" s="1774"/>
      <c r="BA145" s="1772"/>
      <c r="BB145" s="1773"/>
      <c r="BC145" s="1773"/>
      <c r="BD145" s="1773"/>
      <c r="BE145" s="1774"/>
      <c r="BI145" s="6"/>
      <c r="BJ145" s="6"/>
      <c r="BK145" s="6"/>
      <c r="BL145" s="6"/>
      <c r="BM145" s="6"/>
      <c r="BN145" s="6"/>
      <c r="BO145" s="6"/>
      <c r="BP145" s="6"/>
      <c r="BQ145" s="6"/>
      <c r="BR145" s="6"/>
      <c r="BS145" s="6"/>
      <c r="BT145" s="6"/>
      <c r="BU145" s="6"/>
      <c r="BV145" s="6"/>
    </row>
    <row r="146" spans="2:74" ht="12" hidden="1">
      <c r="B146" s="1557"/>
      <c r="C146" s="1558"/>
      <c r="D146" s="1558"/>
      <c r="E146" s="1558"/>
      <c r="F146" s="1558"/>
      <c r="G146" s="1558"/>
      <c r="H146" s="1558"/>
      <c r="I146" s="1558"/>
      <c r="J146" s="1558"/>
      <c r="K146" s="1558"/>
      <c r="L146" s="1559"/>
      <c r="M146" s="1543"/>
      <c r="N146" s="1544"/>
      <c r="O146" s="1544"/>
      <c r="P146" s="1544"/>
      <c r="Q146" s="1544"/>
      <c r="R146" s="1544"/>
      <c r="S146" s="1544"/>
      <c r="T146" s="1544"/>
      <c r="U146" s="1544"/>
      <c r="V146" s="1545"/>
      <c r="W146" s="1543"/>
      <c r="X146" s="1544"/>
      <c r="Y146" s="1544"/>
      <c r="Z146" s="1544"/>
      <c r="AA146" s="1544"/>
      <c r="AB146" s="1544"/>
      <c r="AC146" s="1544"/>
      <c r="AD146" s="1544"/>
      <c r="AE146" s="1544"/>
      <c r="AF146" s="1545"/>
      <c r="AG146" s="1563"/>
      <c r="AH146" s="1564"/>
      <c r="AI146" s="1564"/>
      <c r="AJ146" s="1564"/>
      <c r="AK146" s="1564"/>
      <c r="AL146" s="1564"/>
      <c r="AM146" s="1564"/>
      <c r="AN146" s="1564"/>
      <c r="AO146" s="1564"/>
      <c r="AP146" s="1565"/>
      <c r="AQ146" s="1641"/>
      <c r="AR146" s="1567"/>
      <c r="AS146" s="1567"/>
      <c r="AT146" s="1567"/>
      <c r="AU146" s="1568"/>
      <c r="AV146" s="1777"/>
      <c r="AW146" s="1778"/>
      <c r="AX146" s="1778"/>
      <c r="AY146" s="1778"/>
      <c r="AZ146" s="1779"/>
      <c r="BA146" s="1777"/>
      <c r="BB146" s="1778"/>
      <c r="BC146" s="1778"/>
      <c r="BD146" s="1778"/>
      <c r="BE146" s="1779"/>
      <c r="BI146" s="6"/>
      <c r="BJ146" s="6"/>
      <c r="BK146" s="6"/>
      <c r="BL146" s="6"/>
      <c r="BM146" s="6"/>
      <c r="BN146" s="6"/>
      <c r="BO146" s="6"/>
      <c r="BP146" s="6"/>
      <c r="BQ146" s="6"/>
      <c r="BR146" s="6"/>
      <c r="BS146" s="6"/>
      <c r="BT146" s="6"/>
      <c r="BU146" s="6"/>
      <c r="BV146" s="6"/>
    </row>
    <row r="147" spans="2:74" ht="12" hidden="1">
      <c r="B147" s="1552"/>
      <c r="C147" s="1552"/>
      <c r="D147" s="1552"/>
      <c r="E147" s="1552"/>
      <c r="F147" s="1552"/>
      <c r="G147" s="1552"/>
      <c r="H147" s="1552"/>
      <c r="I147" s="1552"/>
      <c r="J147" s="1546"/>
      <c r="K147" s="1546"/>
      <c r="L147" s="1546"/>
      <c r="M147" s="1546"/>
      <c r="N147" s="1546"/>
      <c r="O147" s="1546"/>
      <c r="P147" s="1546"/>
      <c r="Q147" s="1546"/>
      <c r="R147" s="1546"/>
      <c r="S147" s="1546"/>
      <c r="T147" s="1546"/>
      <c r="U147" s="1546"/>
      <c r="V147" s="1546"/>
      <c r="W147" s="1546"/>
      <c r="X147" s="1556"/>
      <c r="Y147" s="1556"/>
      <c r="Z147" s="1556"/>
      <c r="AA147" s="1556"/>
      <c r="AB147" s="1556"/>
      <c r="AC147" s="1556"/>
      <c r="AD147" s="1556"/>
      <c r="AE147" s="1556"/>
      <c r="AF147" s="1556"/>
      <c r="AG147" s="1556"/>
      <c r="AH147" s="1556"/>
      <c r="AI147" s="1556"/>
      <c r="AJ147" s="1546"/>
      <c r="AK147" s="1546"/>
      <c r="AL147" s="1546"/>
      <c r="AM147" s="1546"/>
      <c r="AN147" s="1546"/>
      <c r="AO147" s="1546"/>
      <c r="AP147" s="1546"/>
      <c r="AQ147" s="1546"/>
      <c r="AR147" s="1546"/>
      <c r="AS147" s="1546"/>
      <c r="AT147" s="1546"/>
      <c r="AU147" s="1546"/>
      <c r="AV147" s="1546"/>
      <c r="AW147" s="1546"/>
      <c r="AX147" s="1546"/>
      <c r="AY147" s="1546"/>
      <c r="AZ147" s="1546"/>
      <c r="BA147" s="1546"/>
      <c r="BB147" s="1546"/>
      <c r="BC147" s="1546"/>
      <c r="BD147" s="1546"/>
      <c r="BE147" s="1546"/>
      <c r="BI147" s="6"/>
      <c r="BJ147" s="6"/>
      <c r="BK147" s="6"/>
      <c r="BL147" s="6"/>
      <c r="BM147" s="6"/>
      <c r="BN147" s="6"/>
      <c r="BO147" s="6"/>
      <c r="BP147" s="6"/>
      <c r="BQ147" s="6"/>
      <c r="BR147" s="6"/>
      <c r="BS147" s="6"/>
      <c r="BT147" s="6"/>
      <c r="BU147" s="6"/>
      <c r="BV147" s="6"/>
    </row>
    <row r="148" spans="2:74" ht="12" hidden="1">
      <c r="B148" s="1534" t="s">
        <v>534</v>
      </c>
      <c r="C148" s="1535"/>
      <c r="D148" s="1535"/>
      <c r="E148" s="1535"/>
      <c r="F148" s="1535"/>
      <c r="G148" s="1535"/>
      <c r="H148" s="1535"/>
      <c r="I148" s="1535"/>
      <c r="J148" s="1535"/>
      <c r="K148" s="1535"/>
      <c r="L148" s="1536"/>
      <c r="M148" s="1537" t="s">
        <v>432</v>
      </c>
      <c r="N148" s="1538"/>
      <c r="O148" s="1538"/>
      <c r="P148" s="1538"/>
      <c r="Q148" s="1538"/>
      <c r="R148" s="1538"/>
      <c r="S148" s="1538"/>
      <c r="T148" s="1538"/>
      <c r="U148" s="1538"/>
      <c r="V148" s="1539"/>
      <c r="W148" s="1537" t="s">
        <v>433</v>
      </c>
      <c r="X148" s="1538"/>
      <c r="Y148" s="1538"/>
      <c r="Z148" s="1538"/>
      <c r="AA148" s="1538"/>
      <c r="AB148" s="1538"/>
      <c r="AC148" s="1538"/>
      <c r="AD148" s="1538"/>
      <c r="AE148" s="1538"/>
      <c r="AF148" s="1539"/>
      <c r="AG148" s="1553" t="s">
        <v>434</v>
      </c>
      <c r="AH148" s="1554"/>
      <c r="AI148" s="1554"/>
      <c r="AJ148" s="1554"/>
      <c r="AK148" s="1554"/>
      <c r="AL148" s="1554"/>
      <c r="AM148" s="1554"/>
      <c r="AN148" s="1554"/>
      <c r="AO148" s="1554"/>
      <c r="AP148" s="1555"/>
      <c r="AQ148" s="1534" t="s">
        <v>435</v>
      </c>
      <c r="AR148" s="1535"/>
      <c r="AS148" s="1535"/>
      <c r="AT148" s="1535"/>
      <c r="AU148" s="1536"/>
      <c r="AV148" s="1549" t="s">
        <v>670</v>
      </c>
      <c r="AW148" s="1550"/>
      <c r="AX148" s="1550"/>
      <c r="AY148" s="1550"/>
      <c r="AZ148" s="1551"/>
      <c r="BA148" s="1549" t="s">
        <v>437</v>
      </c>
      <c r="BB148" s="1550"/>
      <c r="BC148" s="1550"/>
      <c r="BD148" s="1550"/>
      <c r="BE148" s="1551"/>
      <c r="BI148" s="6"/>
      <c r="BJ148" s="6"/>
      <c r="BK148" s="6"/>
      <c r="BL148" s="6"/>
      <c r="BM148" s="6"/>
      <c r="BN148" s="6"/>
      <c r="BO148" s="6"/>
      <c r="BP148" s="6"/>
      <c r="BQ148" s="6"/>
      <c r="BR148" s="6"/>
      <c r="BS148" s="6"/>
      <c r="BT148" s="6"/>
      <c r="BU148" s="6"/>
      <c r="BV148" s="6"/>
    </row>
    <row r="149" spans="2:74" ht="15" hidden="1">
      <c r="B149" s="1557"/>
      <c r="C149" s="1558"/>
      <c r="D149" s="1558"/>
      <c r="E149" s="1558"/>
      <c r="F149" s="1558"/>
      <c r="G149" s="1558"/>
      <c r="H149" s="1558"/>
      <c r="I149" s="1558"/>
      <c r="J149" s="1558"/>
      <c r="K149" s="1558"/>
      <c r="L149" s="1559"/>
      <c r="M149" s="1543"/>
      <c r="N149" s="1544"/>
      <c r="O149" s="1544"/>
      <c r="P149" s="1544"/>
      <c r="Q149" s="1544"/>
      <c r="R149" s="1544"/>
      <c r="S149" s="1544"/>
      <c r="T149" s="1544"/>
      <c r="U149" s="1544"/>
      <c r="V149" s="1545"/>
      <c r="W149" s="1543"/>
      <c r="X149" s="1544"/>
      <c r="Y149" s="1544"/>
      <c r="Z149" s="1544"/>
      <c r="AA149" s="1544"/>
      <c r="AB149" s="1544"/>
      <c r="AC149" s="1544"/>
      <c r="AD149" s="1544"/>
      <c r="AE149" s="1544"/>
      <c r="AF149" s="1545"/>
      <c r="AG149" s="1563"/>
      <c r="AH149" s="1564"/>
      <c r="AI149" s="1564"/>
      <c r="AJ149" s="1564"/>
      <c r="AK149" s="1564"/>
      <c r="AL149" s="1564"/>
      <c r="AM149" s="1564"/>
      <c r="AN149" s="1564"/>
      <c r="AO149" s="1564"/>
      <c r="AP149" s="1565"/>
      <c r="AQ149" s="1575"/>
      <c r="AR149" s="1576"/>
      <c r="AS149" s="1576"/>
      <c r="AT149" s="1576"/>
      <c r="AU149" s="1577"/>
      <c r="AV149" s="1777"/>
      <c r="AW149" s="1778"/>
      <c r="AX149" s="1778"/>
      <c r="AY149" s="1778"/>
      <c r="AZ149" s="1779"/>
      <c r="BA149" s="1780"/>
      <c r="BB149" s="1781"/>
      <c r="BC149" s="1781"/>
      <c r="BD149" s="1781"/>
      <c r="BE149" s="1781"/>
      <c r="BI149" s="6"/>
      <c r="BJ149" s="6"/>
      <c r="BK149" s="6"/>
      <c r="BL149" s="6"/>
      <c r="BM149" s="6"/>
      <c r="BN149" s="6"/>
      <c r="BO149" s="6"/>
      <c r="BP149" s="6"/>
      <c r="BQ149" s="6"/>
      <c r="BR149" s="6"/>
      <c r="BS149" s="6"/>
      <c r="BT149" s="6"/>
      <c r="BU149" s="6"/>
      <c r="BV149" s="6"/>
    </row>
    <row r="150" spans="2:74" ht="15" hidden="1">
      <c r="B150" s="1763"/>
      <c r="C150" s="1764"/>
      <c r="D150" s="1764"/>
      <c r="E150" s="1764"/>
      <c r="F150" s="1764"/>
      <c r="G150" s="1764"/>
      <c r="H150" s="1764"/>
      <c r="I150" s="1764"/>
      <c r="J150" s="1764"/>
      <c r="K150" s="1764"/>
      <c r="L150" s="1765"/>
      <c r="M150" s="1584"/>
      <c r="N150" s="1585"/>
      <c r="O150" s="1585"/>
      <c r="P150" s="1585"/>
      <c r="Q150" s="1585"/>
      <c r="R150" s="1585"/>
      <c r="S150" s="1585"/>
      <c r="T150" s="1585"/>
      <c r="U150" s="1585"/>
      <c r="V150" s="1586"/>
      <c r="W150" s="1584"/>
      <c r="X150" s="1585"/>
      <c r="Y150" s="1585"/>
      <c r="Z150" s="1585"/>
      <c r="AA150" s="1585"/>
      <c r="AB150" s="1585"/>
      <c r="AC150" s="1585"/>
      <c r="AD150" s="1585"/>
      <c r="AE150" s="1585"/>
      <c r="AF150" s="1586"/>
      <c r="AG150" s="1766"/>
      <c r="AH150" s="1767"/>
      <c r="AI150" s="1767"/>
      <c r="AJ150" s="1767"/>
      <c r="AK150" s="1767"/>
      <c r="AL150" s="1767"/>
      <c r="AM150" s="1767"/>
      <c r="AN150" s="1767"/>
      <c r="AO150" s="1767"/>
      <c r="AP150" s="1768"/>
      <c r="AQ150" s="1769"/>
      <c r="AR150" s="1770"/>
      <c r="AS150" s="1770"/>
      <c r="AT150" s="1770"/>
      <c r="AU150" s="1771"/>
      <c r="AV150" s="1772"/>
      <c r="AW150" s="1773"/>
      <c r="AX150" s="1773"/>
      <c r="AY150" s="1773"/>
      <c r="AZ150" s="1774"/>
      <c r="BA150" s="1775"/>
      <c r="BB150" s="1776"/>
      <c r="BC150" s="1776"/>
      <c r="BD150" s="1776"/>
      <c r="BE150" s="1776"/>
      <c r="BI150" s="6"/>
      <c r="BJ150" s="6"/>
      <c r="BK150" s="6"/>
      <c r="BL150" s="6"/>
      <c r="BM150" s="6"/>
      <c r="BN150" s="6"/>
      <c r="BO150" s="6"/>
      <c r="BP150" s="6"/>
      <c r="BQ150" s="6"/>
      <c r="BR150" s="6"/>
      <c r="BS150" s="6"/>
      <c r="BT150" s="6"/>
      <c r="BU150" s="6"/>
      <c r="BV150" s="6"/>
    </row>
    <row r="151" spans="2:74" ht="15" hidden="1">
      <c r="B151" s="1557"/>
      <c r="C151" s="1558"/>
      <c r="D151" s="1558"/>
      <c r="E151" s="1558"/>
      <c r="F151" s="1558"/>
      <c r="G151" s="1558"/>
      <c r="H151" s="1558"/>
      <c r="I151" s="1558"/>
      <c r="J151" s="1558"/>
      <c r="K151" s="1558"/>
      <c r="L151" s="1559"/>
      <c r="M151" s="1543"/>
      <c r="N151" s="1544"/>
      <c r="O151" s="1544"/>
      <c r="P151" s="1544"/>
      <c r="Q151" s="1544"/>
      <c r="R151" s="1544"/>
      <c r="S151" s="1544"/>
      <c r="T151" s="1544"/>
      <c r="U151" s="1544"/>
      <c r="V151" s="1545"/>
      <c r="W151" s="1543"/>
      <c r="X151" s="1544"/>
      <c r="Y151" s="1544"/>
      <c r="Z151" s="1544"/>
      <c r="AA151" s="1544"/>
      <c r="AB151" s="1544"/>
      <c r="AC151" s="1544"/>
      <c r="AD151" s="1544"/>
      <c r="AE151" s="1544"/>
      <c r="AF151" s="1545"/>
      <c r="AG151" s="1563"/>
      <c r="AH151" s="1564"/>
      <c r="AI151" s="1564"/>
      <c r="AJ151" s="1564"/>
      <c r="AK151" s="1564"/>
      <c r="AL151" s="1564"/>
      <c r="AM151" s="1564"/>
      <c r="AN151" s="1564"/>
      <c r="AO151" s="1564"/>
      <c r="AP151" s="1565"/>
      <c r="AQ151" s="1641"/>
      <c r="AR151" s="1567"/>
      <c r="AS151" s="1567"/>
      <c r="AT151" s="1567"/>
      <c r="AU151" s="1568"/>
      <c r="AV151" s="1777"/>
      <c r="AW151" s="1778"/>
      <c r="AX151" s="1778"/>
      <c r="AY151" s="1778"/>
      <c r="AZ151" s="1779"/>
      <c r="BA151" s="1780"/>
      <c r="BB151" s="1781"/>
      <c r="BC151" s="1781"/>
      <c r="BD151" s="1781"/>
      <c r="BE151" s="1781"/>
    </row>
    <row r="152" spans="2:74" ht="15" hidden="1">
      <c r="B152" s="44"/>
      <c r="C152" s="21"/>
      <c r="D152" s="21"/>
      <c r="E152" s="21"/>
      <c r="F152" s="21"/>
      <c r="G152" s="21"/>
      <c r="N152" s="47"/>
      <c r="O152" s="21"/>
      <c r="P152" s="21"/>
      <c r="Q152" s="22"/>
    </row>
    <row r="153" spans="2:74" ht="15" hidden="1">
      <c r="B153" s="44"/>
      <c r="C153" s="21"/>
      <c r="V153" s="21"/>
      <c r="W153" s="21"/>
      <c r="X153" s="21"/>
      <c r="AD153" s="47"/>
      <c r="AE153" s="21"/>
      <c r="AF153" s="21"/>
    </row>
    <row r="154" spans="2:74" ht="15" hidden="1">
      <c r="B154" s="45" t="s">
        <v>438</v>
      </c>
      <c r="C154" s="46"/>
      <c r="D154" s="11"/>
      <c r="E154" s="11"/>
      <c r="F154" s="11"/>
      <c r="G154" s="11"/>
      <c r="H154" s="11"/>
      <c r="I154" s="11"/>
      <c r="J154" s="11"/>
      <c r="K154" s="11"/>
      <c r="L154" s="11"/>
      <c r="M154" s="11"/>
      <c r="N154" s="11"/>
      <c r="O154" s="11"/>
      <c r="P154" s="11"/>
      <c r="Q154" s="11"/>
      <c r="R154" s="11"/>
      <c r="S154" s="11"/>
      <c r="T154" s="11"/>
      <c r="U154" s="11"/>
      <c r="V154" s="46"/>
      <c r="W154" s="46"/>
      <c r="X154" s="46"/>
      <c r="Y154" s="11"/>
      <c r="Z154" s="11"/>
      <c r="AA154" s="11"/>
      <c r="AB154" s="11"/>
      <c r="AC154" s="11"/>
      <c r="AD154" s="66"/>
      <c r="AE154" s="46"/>
      <c r="AF154" s="46"/>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row>
    <row r="155" spans="2:74" ht="22.9" hidden="1" customHeight="1">
      <c r="B155" s="1569" t="s">
        <v>439</v>
      </c>
      <c r="C155" s="1570"/>
      <c r="D155" s="1570"/>
      <c r="E155" s="1570"/>
      <c r="F155" s="1570"/>
      <c r="G155" s="1570"/>
      <c r="H155" s="1570"/>
      <c r="I155" s="1570"/>
      <c r="J155" s="1570"/>
      <c r="K155" s="1570"/>
      <c r="L155" s="1571"/>
      <c r="M155" s="1569" t="s">
        <v>440</v>
      </c>
      <c r="N155" s="1570"/>
      <c r="O155" s="1570"/>
      <c r="P155" s="1570"/>
      <c r="Q155" s="1570"/>
      <c r="R155" s="1570"/>
      <c r="S155" s="1570"/>
      <c r="T155" s="1570"/>
      <c r="U155" s="1570"/>
      <c r="V155" s="1570"/>
      <c r="W155" s="1569" t="s">
        <v>441</v>
      </c>
      <c r="X155" s="1570"/>
      <c r="Y155" s="1570"/>
      <c r="Z155" s="1570"/>
      <c r="AA155" s="1571"/>
      <c r="AB155" s="1569" t="s">
        <v>442</v>
      </c>
      <c r="AC155" s="1570"/>
      <c r="AD155" s="1570"/>
      <c r="AE155" s="1570"/>
      <c r="AF155" s="1571"/>
      <c r="AG155" s="1569" t="s">
        <v>201</v>
      </c>
      <c r="AH155" s="1570"/>
      <c r="AI155" s="1570"/>
      <c r="AJ155" s="1570"/>
      <c r="AK155" s="1570"/>
      <c r="AL155" s="1570"/>
      <c r="AM155" s="1570"/>
      <c r="AN155" s="1570"/>
      <c r="AO155" s="1570"/>
      <c r="AP155" s="1570"/>
      <c r="AQ155" s="1570"/>
      <c r="AR155" s="1570"/>
      <c r="AS155" s="1570"/>
      <c r="AT155" s="1570"/>
      <c r="AU155" s="1570"/>
      <c r="AV155" s="1570"/>
      <c r="AW155" s="1570"/>
      <c r="AX155" s="1570"/>
      <c r="AY155" s="1570"/>
      <c r="AZ155" s="1570"/>
      <c r="BA155" s="1570"/>
      <c r="BB155" s="1570"/>
      <c r="BC155" s="1570"/>
      <c r="BD155" s="1570"/>
      <c r="BE155" s="1571"/>
    </row>
    <row r="156" spans="2:74" ht="37.9" hidden="1" customHeight="1">
      <c r="B156" s="1581"/>
      <c r="C156" s="1582"/>
      <c r="D156" s="1582"/>
      <c r="E156" s="1582"/>
      <c r="F156" s="1582"/>
      <c r="G156" s="1582"/>
      <c r="H156" s="1582"/>
      <c r="I156" s="1582"/>
      <c r="J156" s="1582"/>
      <c r="K156" s="1582"/>
      <c r="L156" s="1583"/>
      <c r="M156" s="1543"/>
      <c r="N156" s="1673"/>
      <c r="O156" s="1673"/>
      <c r="P156" s="1673"/>
      <c r="Q156" s="1673"/>
      <c r="R156" s="1673"/>
      <c r="S156" s="1673"/>
      <c r="T156" s="1673"/>
      <c r="U156" s="1673"/>
      <c r="V156" s="1674"/>
      <c r="W156" s="1797"/>
      <c r="X156" s="1798"/>
      <c r="Y156" s="1798"/>
      <c r="Z156" s="1798"/>
      <c r="AA156" s="1799"/>
      <c r="AB156" s="1800"/>
      <c r="AC156" s="1801"/>
      <c r="AD156" s="1801"/>
      <c r="AE156" s="1801"/>
      <c r="AF156" s="1802"/>
      <c r="AG156" s="1803"/>
      <c r="AH156" s="1804"/>
      <c r="AI156" s="1804"/>
      <c r="AJ156" s="1804"/>
      <c r="AK156" s="1804"/>
      <c r="AL156" s="1804"/>
      <c r="AM156" s="1804"/>
      <c r="AN156" s="1804"/>
      <c r="AO156" s="1804"/>
      <c r="AP156" s="1804"/>
      <c r="AQ156" s="1804"/>
      <c r="AR156" s="1804"/>
      <c r="AS156" s="1804"/>
      <c r="AT156" s="1804"/>
      <c r="AU156" s="1804"/>
      <c r="AV156" s="1804"/>
      <c r="AW156" s="1804"/>
      <c r="AX156" s="1804"/>
      <c r="AY156" s="1804"/>
      <c r="AZ156" s="1804"/>
      <c r="BA156" s="1804"/>
      <c r="BB156" s="1804"/>
      <c r="BC156" s="1804"/>
      <c r="BD156" s="1804"/>
      <c r="BE156" s="1805"/>
    </row>
    <row r="157" spans="2:74" ht="14.65" hidden="1" customHeight="1">
      <c r="B157" s="1578"/>
      <c r="C157" s="1579"/>
      <c r="D157" s="1579"/>
      <c r="E157" s="1579"/>
      <c r="F157" s="1579"/>
      <c r="G157" s="1579"/>
      <c r="H157" s="1579"/>
      <c r="I157" s="1579"/>
      <c r="J157" s="1579"/>
      <c r="K157" s="1579"/>
      <c r="L157" s="1580"/>
      <c r="M157" s="1584"/>
      <c r="N157" s="1677"/>
      <c r="O157" s="1677"/>
      <c r="P157" s="1677"/>
      <c r="Q157" s="1677"/>
      <c r="R157" s="1677"/>
      <c r="S157" s="1677"/>
      <c r="T157" s="1677"/>
      <c r="U157" s="1677"/>
      <c r="V157" s="1678"/>
      <c r="W157" s="1806"/>
      <c r="X157" s="1807"/>
      <c r="Y157" s="1807"/>
      <c r="Z157" s="1807"/>
      <c r="AA157" s="1808"/>
      <c r="AB157" s="1809"/>
      <c r="AC157" s="1810"/>
      <c r="AD157" s="1810"/>
      <c r="AE157" s="1810"/>
      <c r="AF157" s="1811"/>
      <c r="AG157" s="1812"/>
      <c r="AH157" s="1813"/>
      <c r="AI157" s="1813"/>
      <c r="AJ157" s="1813"/>
      <c r="AK157" s="1813"/>
      <c r="AL157" s="1813"/>
      <c r="AM157" s="1813"/>
      <c r="AN157" s="1813"/>
      <c r="AO157" s="1813"/>
      <c r="AP157" s="1813"/>
      <c r="AQ157" s="1813"/>
      <c r="AR157" s="1813"/>
      <c r="AS157" s="1813"/>
      <c r="AT157" s="1813"/>
      <c r="AU157" s="1813"/>
      <c r="AV157" s="1813"/>
      <c r="AW157" s="1813"/>
      <c r="AX157" s="1813"/>
      <c r="AY157" s="1813"/>
      <c r="AZ157" s="1813"/>
      <c r="BA157" s="1813"/>
      <c r="BB157" s="1813"/>
      <c r="BC157" s="1813"/>
      <c r="BD157" s="1813"/>
      <c r="BE157" s="1814"/>
    </row>
    <row r="158" spans="2:74" ht="14.65" hidden="1" customHeight="1">
      <c r="B158" s="1782" t="s">
        <v>671</v>
      </c>
      <c r="C158" s="1783"/>
      <c r="D158" s="1783"/>
      <c r="E158" s="1783"/>
      <c r="F158" s="1783"/>
      <c r="G158" s="1783"/>
      <c r="H158" s="1783"/>
      <c r="I158" s="1783"/>
      <c r="J158" s="1783"/>
      <c r="K158" s="1783"/>
      <c r="L158" s="1784"/>
      <c r="M158" s="1785"/>
      <c r="N158" s="1786"/>
      <c r="O158" s="1786"/>
      <c r="P158" s="1786"/>
      <c r="Q158" s="1786"/>
      <c r="R158" s="1786"/>
      <c r="S158" s="1786"/>
      <c r="T158" s="1786"/>
      <c r="U158" s="1786"/>
      <c r="V158" s="1787"/>
      <c r="W158" s="1788"/>
      <c r="X158" s="1789"/>
      <c r="Y158" s="1789"/>
      <c r="Z158" s="1789"/>
      <c r="AA158" s="1790"/>
      <c r="AB158" s="1791"/>
      <c r="AC158" s="1792"/>
      <c r="AD158" s="1792"/>
      <c r="AE158" s="1792"/>
      <c r="AF158" s="1793"/>
      <c r="AG158" s="1794"/>
      <c r="AH158" s="1795"/>
      <c r="AI158" s="1795"/>
      <c r="AJ158" s="1795"/>
      <c r="AK158" s="1795"/>
      <c r="AL158" s="1795"/>
      <c r="AM158" s="1795"/>
      <c r="AN158" s="1795"/>
      <c r="AO158" s="1795"/>
      <c r="AP158" s="1795"/>
      <c r="AQ158" s="1795"/>
      <c r="AR158" s="1795"/>
      <c r="AS158" s="1795"/>
      <c r="AT158" s="1795"/>
      <c r="AU158" s="1795"/>
      <c r="AV158" s="1795"/>
      <c r="AW158" s="1795"/>
      <c r="AX158" s="1795"/>
      <c r="AY158" s="1795"/>
      <c r="AZ158" s="1795"/>
      <c r="BA158" s="1795"/>
      <c r="BB158" s="1795"/>
      <c r="BC158" s="1795"/>
      <c r="BD158" s="1795"/>
      <c r="BE158" s="1796"/>
    </row>
    <row r="159" spans="2:74" ht="14.65" hidden="1" customHeight="1">
      <c r="B159" s="1826" t="s">
        <v>672</v>
      </c>
      <c r="C159" s="1827"/>
      <c r="D159" s="1827"/>
      <c r="E159" s="1827"/>
      <c r="F159" s="1827"/>
      <c r="G159" s="1827"/>
      <c r="H159" s="1827"/>
      <c r="I159" s="1827"/>
      <c r="J159" s="1827"/>
      <c r="K159" s="1827"/>
      <c r="L159" s="1827"/>
      <c r="M159" s="1827"/>
      <c r="N159" s="1827"/>
      <c r="O159" s="1827"/>
      <c r="P159" s="1827"/>
      <c r="Q159" s="1827"/>
      <c r="R159" s="1827"/>
      <c r="S159" s="1827"/>
      <c r="T159" s="1827"/>
      <c r="U159" s="1827"/>
      <c r="V159" s="1827"/>
      <c r="W159" s="1827"/>
      <c r="X159" s="1827"/>
      <c r="Y159" s="1827"/>
      <c r="Z159" s="1827"/>
      <c r="AA159" s="1827"/>
      <c r="AB159" s="1827"/>
      <c r="AC159" s="1827"/>
      <c r="AD159" s="1827"/>
      <c r="AE159" s="1827"/>
      <c r="AF159" s="1827"/>
      <c r="AG159" s="1827"/>
      <c r="AH159" s="1827"/>
      <c r="AI159" s="1827"/>
      <c r="AJ159" s="1827"/>
      <c r="AK159" s="1827"/>
      <c r="AL159" s="1827"/>
      <c r="AM159" s="1827"/>
      <c r="AN159" s="1827"/>
      <c r="AO159" s="1827"/>
      <c r="AP159" s="1827"/>
      <c r="AQ159" s="1827"/>
      <c r="AR159" s="1827"/>
      <c r="AS159" s="1827"/>
      <c r="AT159" s="1827"/>
      <c r="AU159" s="1827"/>
      <c r="AV159" s="1827"/>
      <c r="AW159" s="1827"/>
      <c r="AX159" s="1827"/>
      <c r="AY159" s="1827"/>
      <c r="AZ159" s="1827"/>
      <c r="BA159" s="1827"/>
      <c r="BB159" s="1827"/>
      <c r="BC159" s="1827"/>
      <c r="BD159" s="1827"/>
      <c r="BE159" s="1827"/>
      <c r="BF159" s="1828"/>
    </row>
    <row r="160" spans="2:74" ht="14.65" hidden="1" customHeight="1">
      <c r="B160" s="1829"/>
      <c r="C160" s="1830"/>
      <c r="D160" s="1830"/>
      <c r="E160" s="1830"/>
      <c r="F160" s="1830"/>
      <c r="G160" s="1830"/>
      <c r="H160" s="1830"/>
      <c r="I160" s="1830"/>
      <c r="J160" s="1830"/>
      <c r="K160" s="1830"/>
      <c r="L160" s="1830"/>
      <c r="M160" s="1830"/>
      <c r="N160" s="1830"/>
      <c r="O160" s="1830"/>
      <c r="P160" s="1830"/>
      <c r="Q160" s="1830"/>
      <c r="R160" s="1830"/>
      <c r="S160" s="1830"/>
      <c r="T160" s="1830"/>
      <c r="U160" s="1830"/>
      <c r="V160" s="1830"/>
      <c r="W160" s="1830"/>
      <c r="X160" s="1830"/>
      <c r="Y160" s="1830"/>
      <c r="Z160" s="1830"/>
      <c r="AA160" s="1830"/>
      <c r="AB160" s="1830"/>
      <c r="AC160" s="1830"/>
      <c r="AD160" s="1830"/>
      <c r="AE160" s="1830"/>
      <c r="AF160" s="1830"/>
      <c r="AG160" s="1830"/>
      <c r="AH160" s="1830"/>
      <c r="AI160" s="1830"/>
      <c r="AJ160" s="1830"/>
      <c r="AK160" s="1830"/>
      <c r="AL160" s="1830"/>
      <c r="AM160" s="1830"/>
      <c r="AN160" s="1830"/>
      <c r="AO160" s="1830"/>
      <c r="AP160" s="1830"/>
      <c r="AQ160" s="1830"/>
      <c r="AR160" s="1830"/>
      <c r="AS160" s="1830"/>
      <c r="AT160" s="1830"/>
      <c r="AU160" s="1830"/>
      <c r="AV160" s="1830"/>
      <c r="AW160" s="1830"/>
      <c r="AX160" s="1830"/>
      <c r="AY160" s="1830"/>
      <c r="AZ160" s="1830"/>
      <c r="BA160" s="1830"/>
      <c r="BB160" s="1830"/>
      <c r="BC160" s="1830"/>
      <c r="BD160" s="1830"/>
      <c r="BE160" s="1830"/>
      <c r="BF160" s="1831"/>
    </row>
    <row r="161" spans="2:58" ht="14.65" hidden="1" customHeight="1">
      <c r="B161" s="1829"/>
      <c r="C161" s="1830"/>
      <c r="D161" s="1830"/>
      <c r="E161" s="1830"/>
      <c r="F161" s="1830"/>
      <c r="G161" s="1830"/>
      <c r="H161" s="1830"/>
      <c r="I161" s="1830"/>
      <c r="J161" s="1830"/>
      <c r="K161" s="1830"/>
      <c r="L161" s="1830"/>
      <c r="M161" s="1830"/>
      <c r="N161" s="1830"/>
      <c r="O161" s="1830"/>
      <c r="P161" s="1830"/>
      <c r="Q161" s="1830"/>
      <c r="R161" s="1830"/>
      <c r="S161" s="1830"/>
      <c r="T161" s="1830"/>
      <c r="U161" s="1830"/>
      <c r="V161" s="1830"/>
      <c r="W161" s="1830"/>
      <c r="X161" s="1830"/>
      <c r="Y161" s="1830"/>
      <c r="Z161" s="1830"/>
      <c r="AA161" s="1830"/>
      <c r="AB161" s="1830"/>
      <c r="AC161" s="1830"/>
      <c r="AD161" s="1830"/>
      <c r="AE161" s="1830"/>
      <c r="AF161" s="1830"/>
      <c r="AG161" s="1830"/>
      <c r="AH161" s="1830"/>
      <c r="AI161" s="1830"/>
      <c r="AJ161" s="1830"/>
      <c r="AK161" s="1830"/>
      <c r="AL161" s="1830"/>
      <c r="AM161" s="1830"/>
      <c r="AN161" s="1830"/>
      <c r="AO161" s="1830"/>
      <c r="AP161" s="1830"/>
      <c r="AQ161" s="1830"/>
      <c r="AR161" s="1830"/>
      <c r="AS161" s="1830"/>
      <c r="AT161" s="1830"/>
      <c r="AU161" s="1830"/>
      <c r="AV161" s="1830"/>
      <c r="AW161" s="1830"/>
      <c r="AX161" s="1830"/>
      <c r="AY161" s="1830"/>
      <c r="AZ161" s="1830"/>
      <c r="BA161" s="1830"/>
      <c r="BB161" s="1830"/>
      <c r="BC161" s="1830"/>
      <c r="BD161" s="1830"/>
      <c r="BE161" s="1830"/>
      <c r="BF161" s="1831"/>
    </row>
    <row r="162" spans="2:58" ht="14.65" hidden="1" customHeight="1">
      <c r="B162" s="1829"/>
      <c r="C162" s="1830"/>
      <c r="D162" s="1830"/>
      <c r="E162" s="1830"/>
      <c r="F162" s="1830"/>
      <c r="G162" s="1830"/>
      <c r="H162" s="1830"/>
      <c r="I162" s="1830"/>
      <c r="J162" s="1830"/>
      <c r="K162" s="1830"/>
      <c r="L162" s="1830"/>
      <c r="M162" s="1830"/>
      <c r="N162" s="1830"/>
      <c r="O162" s="1830"/>
      <c r="P162" s="1830"/>
      <c r="Q162" s="1830"/>
      <c r="R162" s="1830"/>
      <c r="S162" s="1830"/>
      <c r="T162" s="1830"/>
      <c r="U162" s="1830"/>
      <c r="V162" s="1830"/>
      <c r="W162" s="1830"/>
      <c r="X162" s="1830"/>
      <c r="Y162" s="1830"/>
      <c r="Z162" s="1830"/>
      <c r="AA162" s="1830"/>
      <c r="AB162" s="1830"/>
      <c r="AC162" s="1830"/>
      <c r="AD162" s="1830"/>
      <c r="AE162" s="1830"/>
      <c r="AF162" s="1830"/>
      <c r="AG162" s="1830"/>
      <c r="AH162" s="1830"/>
      <c r="AI162" s="1830"/>
      <c r="AJ162" s="1830"/>
      <c r="AK162" s="1830"/>
      <c r="AL162" s="1830"/>
      <c r="AM162" s="1830"/>
      <c r="AN162" s="1830"/>
      <c r="AO162" s="1830"/>
      <c r="AP162" s="1830"/>
      <c r="AQ162" s="1830"/>
      <c r="AR162" s="1830"/>
      <c r="AS162" s="1830"/>
      <c r="AT162" s="1830"/>
      <c r="AU162" s="1830"/>
      <c r="AV162" s="1830"/>
      <c r="AW162" s="1830"/>
      <c r="AX162" s="1830"/>
      <c r="AY162" s="1830"/>
      <c r="AZ162" s="1830"/>
      <c r="BA162" s="1830"/>
      <c r="BB162" s="1830"/>
      <c r="BC162" s="1830"/>
      <c r="BD162" s="1830"/>
      <c r="BE162" s="1830"/>
      <c r="BF162" s="1831"/>
    </row>
    <row r="163" spans="2:58" ht="14.65" hidden="1" customHeight="1">
      <c r="B163" s="1829"/>
      <c r="C163" s="1830"/>
      <c r="D163" s="1830"/>
      <c r="E163" s="1830"/>
      <c r="F163" s="1830"/>
      <c r="G163" s="1830"/>
      <c r="H163" s="1830"/>
      <c r="I163" s="1830"/>
      <c r="J163" s="1830"/>
      <c r="K163" s="1830"/>
      <c r="L163" s="1830"/>
      <c r="M163" s="1830"/>
      <c r="N163" s="1830"/>
      <c r="O163" s="1830"/>
      <c r="P163" s="1830"/>
      <c r="Q163" s="1830"/>
      <c r="R163" s="1830"/>
      <c r="S163" s="1830"/>
      <c r="T163" s="1830"/>
      <c r="U163" s="1830"/>
      <c r="V163" s="1830"/>
      <c r="W163" s="1830"/>
      <c r="X163" s="1830"/>
      <c r="Y163" s="1830"/>
      <c r="Z163" s="1830"/>
      <c r="AA163" s="1830"/>
      <c r="AB163" s="1830"/>
      <c r="AC163" s="1830"/>
      <c r="AD163" s="1830"/>
      <c r="AE163" s="1830"/>
      <c r="AF163" s="1830"/>
      <c r="AG163" s="1830"/>
      <c r="AH163" s="1830"/>
      <c r="AI163" s="1830"/>
      <c r="AJ163" s="1830"/>
      <c r="AK163" s="1830"/>
      <c r="AL163" s="1830"/>
      <c r="AM163" s="1830"/>
      <c r="AN163" s="1830"/>
      <c r="AO163" s="1830"/>
      <c r="AP163" s="1830"/>
      <c r="AQ163" s="1830"/>
      <c r="AR163" s="1830"/>
      <c r="AS163" s="1830"/>
      <c r="AT163" s="1830"/>
      <c r="AU163" s="1830"/>
      <c r="AV163" s="1830"/>
      <c r="AW163" s="1830"/>
      <c r="AX163" s="1830"/>
      <c r="AY163" s="1830"/>
      <c r="AZ163" s="1830"/>
      <c r="BA163" s="1830"/>
      <c r="BB163" s="1830"/>
      <c r="BC163" s="1830"/>
      <c r="BD163" s="1830"/>
      <c r="BE163" s="1830"/>
      <c r="BF163" s="1831"/>
    </row>
    <row r="164" spans="2:58" ht="14.65" hidden="1" customHeight="1">
      <c r="B164" s="1829"/>
      <c r="C164" s="1830"/>
      <c r="D164" s="1830"/>
      <c r="E164" s="1830"/>
      <c r="F164" s="1830"/>
      <c r="G164" s="1830"/>
      <c r="H164" s="1830"/>
      <c r="I164" s="1830"/>
      <c r="J164" s="1830"/>
      <c r="K164" s="1830"/>
      <c r="L164" s="1830"/>
      <c r="M164" s="1830"/>
      <c r="N164" s="1830"/>
      <c r="O164" s="1830"/>
      <c r="P164" s="1830"/>
      <c r="Q164" s="1830"/>
      <c r="R164" s="1830"/>
      <c r="S164" s="1830"/>
      <c r="T164" s="1830"/>
      <c r="U164" s="1830"/>
      <c r="V164" s="1830"/>
      <c r="W164" s="1830"/>
      <c r="X164" s="1830"/>
      <c r="Y164" s="1830"/>
      <c r="Z164" s="1830"/>
      <c r="AA164" s="1830"/>
      <c r="AB164" s="1830"/>
      <c r="AC164" s="1830"/>
      <c r="AD164" s="1830"/>
      <c r="AE164" s="1830"/>
      <c r="AF164" s="1830"/>
      <c r="AG164" s="1830"/>
      <c r="AH164" s="1830"/>
      <c r="AI164" s="1830"/>
      <c r="AJ164" s="1830"/>
      <c r="AK164" s="1830"/>
      <c r="AL164" s="1830"/>
      <c r="AM164" s="1830"/>
      <c r="AN164" s="1830"/>
      <c r="AO164" s="1830"/>
      <c r="AP164" s="1830"/>
      <c r="AQ164" s="1830"/>
      <c r="AR164" s="1830"/>
      <c r="AS164" s="1830"/>
      <c r="AT164" s="1830"/>
      <c r="AU164" s="1830"/>
      <c r="AV164" s="1830"/>
      <c r="AW164" s="1830"/>
      <c r="AX164" s="1830"/>
      <c r="AY164" s="1830"/>
      <c r="AZ164" s="1830"/>
      <c r="BA164" s="1830"/>
      <c r="BB164" s="1830"/>
      <c r="BC164" s="1830"/>
      <c r="BD164" s="1830"/>
      <c r="BE164" s="1830"/>
      <c r="BF164" s="1831"/>
    </row>
    <row r="165" spans="2:58" ht="14.65" hidden="1" customHeight="1">
      <c r="B165" s="1829"/>
      <c r="C165" s="1830"/>
      <c r="D165" s="1830"/>
      <c r="E165" s="1830"/>
      <c r="F165" s="1830"/>
      <c r="G165" s="1830"/>
      <c r="H165" s="1830"/>
      <c r="I165" s="1830"/>
      <c r="J165" s="1830"/>
      <c r="K165" s="1830"/>
      <c r="L165" s="1830"/>
      <c r="M165" s="1830"/>
      <c r="N165" s="1830"/>
      <c r="O165" s="1830"/>
      <c r="P165" s="1830"/>
      <c r="Q165" s="1830"/>
      <c r="R165" s="1830"/>
      <c r="S165" s="1830"/>
      <c r="T165" s="1830"/>
      <c r="U165" s="1830"/>
      <c r="V165" s="1830"/>
      <c r="W165" s="1830"/>
      <c r="X165" s="1830"/>
      <c r="Y165" s="1830"/>
      <c r="Z165" s="1830"/>
      <c r="AA165" s="1830"/>
      <c r="AB165" s="1830"/>
      <c r="AC165" s="1830"/>
      <c r="AD165" s="1830"/>
      <c r="AE165" s="1830"/>
      <c r="AF165" s="1830"/>
      <c r="AG165" s="1830"/>
      <c r="AH165" s="1830"/>
      <c r="AI165" s="1830"/>
      <c r="AJ165" s="1830"/>
      <c r="AK165" s="1830"/>
      <c r="AL165" s="1830"/>
      <c r="AM165" s="1830"/>
      <c r="AN165" s="1830"/>
      <c r="AO165" s="1830"/>
      <c r="AP165" s="1830"/>
      <c r="AQ165" s="1830"/>
      <c r="AR165" s="1830"/>
      <c r="AS165" s="1830"/>
      <c r="AT165" s="1830"/>
      <c r="AU165" s="1830"/>
      <c r="AV165" s="1830"/>
      <c r="AW165" s="1830"/>
      <c r="AX165" s="1830"/>
      <c r="AY165" s="1830"/>
      <c r="AZ165" s="1830"/>
      <c r="BA165" s="1830"/>
      <c r="BB165" s="1830"/>
      <c r="BC165" s="1830"/>
      <c r="BD165" s="1830"/>
      <c r="BE165" s="1830"/>
      <c r="BF165" s="1831"/>
    </row>
    <row r="166" spans="2:58" ht="14.65" hidden="1" customHeight="1">
      <c r="B166" s="1829"/>
      <c r="C166" s="1830"/>
      <c r="D166" s="1830"/>
      <c r="E166" s="1830"/>
      <c r="F166" s="1830"/>
      <c r="G166" s="1830"/>
      <c r="H166" s="1830"/>
      <c r="I166" s="1830"/>
      <c r="J166" s="1830"/>
      <c r="K166" s="1830"/>
      <c r="L166" s="1830"/>
      <c r="M166" s="1830"/>
      <c r="N166" s="1830"/>
      <c r="O166" s="1830"/>
      <c r="P166" s="1830"/>
      <c r="Q166" s="1830"/>
      <c r="R166" s="1830"/>
      <c r="S166" s="1830"/>
      <c r="T166" s="1830"/>
      <c r="U166" s="1830"/>
      <c r="V166" s="1830"/>
      <c r="W166" s="1830"/>
      <c r="X166" s="1830"/>
      <c r="Y166" s="1830"/>
      <c r="Z166" s="1830"/>
      <c r="AA166" s="1830"/>
      <c r="AB166" s="1830"/>
      <c r="AC166" s="1830"/>
      <c r="AD166" s="1830"/>
      <c r="AE166" s="1830"/>
      <c r="AF166" s="1830"/>
      <c r="AG166" s="1830"/>
      <c r="AH166" s="1830"/>
      <c r="AI166" s="1830"/>
      <c r="AJ166" s="1830"/>
      <c r="AK166" s="1830"/>
      <c r="AL166" s="1830"/>
      <c r="AM166" s="1830"/>
      <c r="AN166" s="1830"/>
      <c r="AO166" s="1830"/>
      <c r="AP166" s="1830"/>
      <c r="AQ166" s="1830"/>
      <c r="AR166" s="1830"/>
      <c r="AS166" s="1830"/>
      <c r="AT166" s="1830"/>
      <c r="AU166" s="1830"/>
      <c r="AV166" s="1830"/>
      <c r="AW166" s="1830"/>
      <c r="AX166" s="1830"/>
      <c r="AY166" s="1830"/>
      <c r="AZ166" s="1830"/>
      <c r="BA166" s="1830"/>
      <c r="BB166" s="1830"/>
      <c r="BC166" s="1830"/>
      <c r="BD166" s="1830"/>
      <c r="BE166" s="1830"/>
      <c r="BF166" s="1831"/>
    </row>
    <row r="167" spans="2:58" ht="14.65" hidden="1" customHeight="1">
      <c r="B167" s="1829"/>
      <c r="C167" s="1830"/>
      <c r="D167" s="1830"/>
      <c r="E167" s="1830"/>
      <c r="F167" s="1830"/>
      <c r="G167" s="1830"/>
      <c r="H167" s="1830"/>
      <c r="I167" s="1830"/>
      <c r="J167" s="1830"/>
      <c r="K167" s="1830"/>
      <c r="L167" s="1830"/>
      <c r="M167" s="1830"/>
      <c r="N167" s="1830"/>
      <c r="O167" s="1830"/>
      <c r="P167" s="1830"/>
      <c r="Q167" s="1830"/>
      <c r="R167" s="1830"/>
      <c r="S167" s="1830"/>
      <c r="T167" s="1830"/>
      <c r="U167" s="1830"/>
      <c r="V167" s="1830"/>
      <c r="W167" s="1830"/>
      <c r="X167" s="1830"/>
      <c r="Y167" s="1830"/>
      <c r="Z167" s="1830"/>
      <c r="AA167" s="1830"/>
      <c r="AB167" s="1830"/>
      <c r="AC167" s="1830"/>
      <c r="AD167" s="1830"/>
      <c r="AE167" s="1830"/>
      <c r="AF167" s="1830"/>
      <c r="AG167" s="1830"/>
      <c r="AH167" s="1830"/>
      <c r="AI167" s="1830"/>
      <c r="AJ167" s="1830"/>
      <c r="AK167" s="1830"/>
      <c r="AL167" s="1830"/>
      <c r="AM167" s="1830"/>
      <c r="AN167" s="1830"/>
      <c r="AO167" s="1830"/>
      <c r="AP167" s="1830"/>
      <c r="AQ167" s="1830"/>
      <c r="AR167" s="1830"/>
      <c r="AS167" s="1830"/>
      <c r="AT167" s="1830"/>
      <c r="AU167" s="1830"/>
      <c r="AV167" s="1830"/>
      <c r="AW167" s="1830"/>
      <c r="AX167" s="1830"/>
      <c r="AY167" s="1830"/>
      <c r="AZ167" s="1830"/>
      <c r="BA167" s="1830"/>
      <c r="BB167" s="1830"/>
      <c r="BC167" s="1830"/>
      <c r="BD167" s="1830"/>
      <c r="BE167" s="1830"/>
      <c r="BF167" s="1831"/>
    </row>
    <row r="168" spans="2:58" ht="14.65" hidden="1" customHeight="1">
      <c r="B168" s="1829"/>
      <c r="C168" s="1830"/>
      <c r="D168" s="1830"/>
      <c r="E168" s="1830"/>
      <c r="F168" s="1830"/>
      <c r="G168" s="1830"/>
      <c r="H168" s="1830"/>
      <c r="I168" s="1830"/>
      <c r="J168" s="1830"/>
      <c r="K168" s="1830"/>
      <c r="L168" s="1830"/>
      <c r="M168" s="1830"/>
      <c r="N168" s="1830"/>
      <c r="O168" s="1830"/>
      <c r="P168" s="1830"/>
      <c r="Q168" s="1830"/>
      <c r="R168" s="1830"/>
      <c r="S168" s="1830"/>
      <c r="T168" s="1830"/>
      <c r="U168" s="1830"/>
      <c r="V168" s="1830"/>
      <c r="W168" s="1830"/>
      <c r="X168" s="1830"/>
      <c r="Y168" s="1830"/>
      <c r="Z168" s="1830"/>
      <c r="AA168" s="1830"/>
      <c r="AB168" s="1830"/>
      <c r="AC168" s="1830"/>
      <c r="AD168" s="1830"/>
      <c r="AE168" s="1830"/>
      <c r="AF168" s="1830"/>
      <c r="AG168" s="1830"/>
      <c r="AH168" s="1830"/>
      <c r="AI168" s="1830"/>
      <c r="AJ168" s="1830"/>
      <c r="AK168" s="1830"/>
      <c r="AL168" s="1830"/>
      <c r="AM168" s="1830"/>
      <c r="AN168" s="1830"/>
      <c r="AO168" s="1830"/>
      <c r="AP168" s="1830"/>
      <c r="AQ168" s="1830"/>
      <c r="AR168" s="1830"/>
      <c r="AS168" s="1830"/>
      <c r="AT168" s="1830"/>
      <c r="AU168" s="1830"/>
      <c r="AV168" s="1830"/>
      <c r="AW168" s="1830"/>
      <c r="AX168" s="1830"/>
      <c r="AY168" s="1830"/>
      <c r="AZ168" s="1830"/>
      <c r="BA168" s="1830"/>
      <c r="BB168" s="1830"/>
      <c r="BC168" s="1830"/>
      <c r="BD168" s="1830"/>
      <c r="BE168" s="1830"/>
      <c r="BF168" s="1831"/>
    </row>
    <row r="169" spans="2:58" ht="14.65" hidden="1" customHeight="1">
      <c r="B169" s="1832"/>
      <c r="C169" s="1833"/>
      <c r="D169" s="1833"/>
      <c r="E169" s="1833"/>
      <c r="F169" s="1833"/>
      <c r="G169" s="1833"/>
      <c r="H169" s="1833"/>
      <c r="I169" s="1833"/>
      <c r="J169" s="1833"/>
      <c r="K169" s="1833"/>
      <c r="L169" s="1833"/>
      <c r="M169" s="1833"/>
      <c r="N169" s="1833"/>
      <c r="O169" s="1833"/>
      <c r="P169" s="1833"/>
      <c r="Q169" s="1833"/>
      <c r="R169" s="1833"/>
      <c r="S169" s="1833"/>
      <c r="T169" s="1833"/>
      <c r="U169" s="1833"/>
      <c r="V169" s="1833"/>
      <c r="W169" s="1833"/>
      <c r="X169" s="1833"/>
      <c r="Y169" s="1833"/>
      <c r="Z169" s="1833"/>
      <c r="AA169" s="1833"/>
      <c r="AB169" s="1833"/>
      <c r="AC169" s="1833"/>
      <c r="AD169" s="1833"/>
      <c r="AE169" s="1833"/>
      <c r="AF169" s="1833"/>
      <c r="AG169" s="1833"/>
      <c r="AH169" s="1833"/>
      <c r="AI169" s="1833"/>
      <c r="AJ169" s="1833"/>
      <c r="AK169" s="1833"/>
      <c r="AL169" s="1833"/>
      <c r="AM169" s="1833"/>
      <c r="AN169" s="1833"/>
      <c r="AO169" s="1833"/>
      <c r="AP169" s="1833"/>
      <c r="AQ169" s="1833"/>
      <c r="AR169" s="1833"/>
      <c r="AS169" s="1833"/>
      <c r="AT169" s="1833"/>
      <c r="AU169" s="1833"/>
      <c r="AV169" s="1833"/>
      <c r="AW169" s="1833"/>
      <c r="AX169" s="1833"/>
      <c r="AY169" s="1833"/>
      <c r="AZ169" s="1833"/>
      <c r="BA169" s="1833"/>
      <c r="BB169" s="1833"/>
      <c r="BC169" s="1833"/>
      <c r="BD169" s="1833"/>
      <c r="BE169" s="1833"/>
      <c r="BF169" s="1834"/>
    </row>
  </sheetData>
  <mergeCells count="212">
    <mergeCell ref="B159:BF169"/>
    <mergeCell ref="BI1:BU1"/>
    <mergeCell ref="B2:BE2"/>
    <mergeCell ref="B3:BE3"/>
    <mergeCell ref="H4:J4"/>
    <mergeCell ref="B5:AR5"/>
    <mergeCell ref="AX5:AY5"/>
    <mergeCell ref="V14:W14"/>
    <mergeCell ref="B15:G15"/>
    <mergeCell ref="I15:V15"/>
    <mergeCell ref="X15:AB15"/>
    <mergeCell ref="AE15:AJ15"/>
    <mergeCell ref="AL15:AO15"/>
    <mergeCell ref="AP15:AQ15"/>
    <mergeCell ref="AS15:AX15"/>
    <mergeCell ref="AN18:AQ18"/>
    <mergeCell ref="AU18:AX18"/>
    <mergeCell ref="BB18:BE18"/>
    <mergeCell ref="AN19:AQ19"/>
    <mergeCell ref="AU19:AX19"/>
    <mergeCell ref="BB19:BE19"/>
    <mergeCell ref="AZ15:BE15"/>
    <mergeCell ref="I16:L16"/>
    <mergeCell ref="N16:Q16"/>
    <mergeCell ref="S16:V16"/>
    <mergeCell ref="AN17:AQ17"/>
    <mergeCell ref="AU17:AX17"/>
    <mergeCell ref="BB17:BE17"/>
    <mergeCell ref="AN24:AQ24"/>
    <mergeCell ref="AU24:AX24"/>
    <mergeCell ref="BB24:BE24"/>
    <mergeCell ref="BL24:BP24"/>
    <mergeCell ref="BQ24:BU24"/>
    <mergeCell ref="BW24:CC24"/>
    <mergeCell ref="BJ21:BU21"/>
    <mergeCell ref="AN22:AQ22"/>
    <mergeCell ref="AU22:AX22"/>
    <mergeCell ref="BB22:BE22"/>
    <mergeCell ref="BJ22:BU22"/>
    <mergeCell ref="AN23:AQ23"/>
    <mergeCell ref="AU23:AX23"/>
    <mergeCell ref="BB23:BE23"/>
    <mergeCell ref="BJ23:BU23"/>
    <mergeCell ref="B38:J38"/>
    <mergeCell ref="K38:M38"/>
    <mergeCell ref="N38:P38"/>
    <mergeCell ref="Q38:S38"/>
    <mergeCell ref="T38:V38"/>
    <mergeCell ref="W38:Y38"/>
    <mergeCell ref="Z38:AB38"/>
    <mergeCell ref="AC38:BE38"/>
    <mergeCell ref="B35:J37"/>
    <mergeCell ref="K35:P35"/>
    <mergeCell ref="Q35:S37"/>
    <mergeCell ref="T35:AB35"/>
    <mergeCell ref="AC35:BE37"/>
    <mergeCell ref="K36:M37"/>
    <mergeCell ref="N36:P37"/>
    <mergeCell ref="T36:V37"/>
    <mergeCell ref="W36:Y37"/>
    <mergeCell ref="Z36:AB37"/>
    <mergeCell ref="B39:J39"/>
    <mergeCell ref="K39:M39"/>
    <mergeCell ref="N39:P39"/>
    <mergeCell ref="Q39:S39"/>
    <mergeCell ref="T39:V39"/>
    <mergeCell ref="W39:Y39"/>
    <mergeCell ref="Z39:AB39"/>
    <mergeCell ref="AC39:BE39"/>
    <mergeCell ref="Z40:AB40"/>
    <mergeCell ref="AC40:BE40"/>
    <mergeCell ref="B41:J41"/>
    <mergeCell ref="K41:M41"/>
    <mergeCell ref="N41:P41"/>
    <mergeCell ref="Q41:S41"/>
    <mergeCell ref="T41:V41"/>
    <mergeCell ref="W41:Y41"/>
    <mergeCell ref="Z41:AB41"/>
    <mergeCell ref="AC41:BE41"/>
    <mergeCell ref="B40:J40"/>
    <mergeCell ref="K40:M40"/>
    <mergeCell ref="N40:P40"/>
    <mergeCell ref="Q40:S40"/>
    <mergeCell ref="T40:V40"/>
    <mergeCell ref="W40:Y40"/>
    <mergeCell ref="BJ40:BU40"/>
    <mergeCell ref="BL43:BP43"/>
    <mergeCell ref="BQ43:BU43"/>
    <mergeCell ref="BW43:CC43"/>
    <mergeCell ref="B51:E51"/>
    <mergeCell ref="BL62:BP62"/>
    <mergeCell ref="BQ62:BU62"/>
    <mergeCell ref="BW62:CC62"/>
    <mergeCell ref="Z42:AB42"/>
    <mergeCell ref="AC42:BE42"/>
    <mergeCell ref="B43:J43"/>
    <mergeCell ref="K43:M43"/>
    <mergeCell ref="N43:P43"/>
    <mergeCell ref="Q43:S43"/>
    <mergeCell ref="T43:V43"/>
    <mergeCell ref="W43:Y43"/>
    <mergeCell ref="Z43:AB43"/>
    <mergeCell ref="AC43:BE43"/>
    <mergeCell ref="B42:J42"/>
    <mergeCell ref="K42:M42"/>
    <mergeCell ref="N42:P42"/>
    <mergeCell ref="Q42:S42"/>
    <mergeCell ref="T42:V42"/>
    <mergeCell ref="W42:Y42"/>
    <mergeCell ref="B100:E100"/>
    <mergeCell ref="BL100:BP100"/>
    <mergeCell ref="BQ100:BU100"/>
    <mergeCell ref="BW100:CC100"/>
    <mergeCell ref="B114:AB117"/>
    <mergeCell ref="AE114:BE117"/>
    <mergeCell ref="B66:AB69"/>
    <mergeCell ref="AE66:BE69"/>
    <mergeCell ref="BL81:BP81"/>
    <mergeCell ref="BQ81:BU81"/>
    <mergeCell ref="BW81:CC81"/>
    <mergeCell ref="B89:AB92"/>
    <mergeCell ref="AE89:BE92"/>
    <mergeCell ref="BL119:BP119"/>
    <mergeCell ref="BQ119:BU119"/>
    <mergeCell ref="BW119:CC119"/>
    <mergeCell ref="B143:L143"/>
    <mergeCell ref="M143:V143"/>
    <mergeCell ref="W143:AF143"/>
    <mergeCell ref="AG143:AP143"/>
    <mergeCell ref="AQ143:AU143"/>
    <mergeCell ref="AV143:AZ143"/>
    <mergeCell ref="BA143:BE143"/>
    <mergeCell ref="BA144:BE144"/>
    <mergeCell ref="B145:L145"/>
    <mergeCell ref="M145:V145"/>
    <mergeCell ref="W145:AF145"/>
    <mergeCell ref="AG145:AP145"/>
    <mergeCell ref="AQ145:AU145"/>
    <mergeCell ref="AV145:AZ145"/>
    <mergeCell ref="BA145:BE145"/>
    <mergeCell ref="B144:L144"/>
    <mergeCell ref="M144:V144"/>
    <mergeCell ref="W144:AF144"/>
    <mergeCell ref="AG144:AP144"/>
    <mergeCell ref="AQ144:AU144"/>
    <mergeCell ref="AV144:AZ144"/>
    <mergeCell ref="B148:L148"/>
    <mergeCell ref="M148:V148"/>
    <mergeCell ref="W148:AF148"/>
    <mergeCell ref="AG148:AP148"/>
    <mergeCell ref="AQ148:AU148"/>
    <mergeCell ref="AV148:AZ148"/>
    <mergeCell ref="BA146:BE146"/>
    <mergeCell ref="B147:I147"/>
    <mergeCell ref="J147:W147"/>
    <mergeCell ref="X147:AI147"/>
    <mergeCell ref="AJ147:AS147"/>
    <mergeCell ref="AT147:AW147"/>
    <mergeCell ref="AX147:BA147"/>
    <mergeCell ref="BB147:BE147"/>
    <mergeCell ref="B146:L146"/>
    <mergeCell ref="M146:V146"/>
    <mergeCell ref="W146:AF146"/>
    <mergeCell ref="AG146:AP146"/>
    <mergeCell ref="AQ146:AU146"/>
    <mergeCell ref="AV146:AZ146"/>
    <mergeCell ref="B158:L158"/>
    <mergeCell ref="M158:V158"/>
    <mergeCell ref="W158:AA158"/>
    <mergeCell ref="AB158:AF158"/>
    <mergeCell ref="AG158:BE158"/>
    <mergeCell ref="W151:AF151"/>
    <mergeCell ref="AG151:AP151"/>
    <mergeCell ref="AQ151:AU151"/>
    <mergeCell ref="AV151:AZ151"/>
    <mergeCell ref="BA151:BE151"/>
    <mergeCell ref="B151:L151"/>
    <mergeCell ref="M151:V151"/>
    <mergeCell ref="B156:L156"/>
    <mergeCell ref="M156:V156"/>
    <mergeCell ref="W156:AA156"/>
    <mergeCell ref="AB156:AF156"/>
    <mergeCell ref="AG156:BE156"/>
    <mergeCell ref="B157:L157"/>
    <mergeCell ref="M157:V157"/>
    <mergeCell ref="W157:AA157"/>
    <mergeCell ref="AB157:AF157"/>
    <mergeCell ref="AG157:BE157"/>
    <mergeCell ref="B8:AB11"/>
    <mergeCell ref="AE8:BE11"/>
    <mergeCell ref="B29:AB32"/>
    <mergeCell ref="AE29:BE32"/>
    <mergeCell ref="B155:L155"/>
    <mergeCell ref="M155:V155"/>
    <mergeCell ref="W155:AA155"/>
    <mergeCell ref="AB155:AF155"/>
    <mergeCell ref="AG155:BE155"/>
    <mergeCell ref="B150:L150"/>
    <mergeCell ref="M150:V150"/>
    <mergeCell ref="W150:AF150"/>
    <mergeCell ref="AG150:AP150"/>
    <mergeCell ref="AQ150:AU150"/>
    <mergeCell ref="AV150:AZ150"/>
    <mergeCell ref="BA150:BE150"/>
    <mergeCell ref="BA148:BE148"/>
    <mergeCell ref="B149:L149"/>
    <mergeCell ref="M149:V149"/>
    <mergeCell ref="W149:AF149"/>
    <mergeCell ref="AG149:AP149"/>
    <mergeCell ref="AQ149:AU149"/>
    <mergeCell ref="AV149:AZ149"/>
    <mergeCell ref="BA149:BE149"/>
  </mergeCells>
  <conditionalFormatting sqref="K38">
    <cfRule type="cellIs" dxfId="455" priority="305" operator="greaterThanOrEqual">
      <formula>$Q38</formula>
    </cfRule>
    <cfRule type="cellIs" dxfId="454" priority="306" operator="lessThan">
      <formula>$Q38*0.9</formula>
    </cfRule>
    <cfRule type="cellIs" dxfId="453" priority="307" operator="lessThan">
      <formula>$Q38</formula>
    </cfRule>
  </conditionalFormatting>
  <conditionalFormatting sqref="K39">
    <cfRule type="cellIs" dxfId="452" priority="302" operator="greaterThan">
      <formula>$Q39*1.1</formula>
    </cfRule>
    <cfRule type="cellIs" dxfId="451" priority="303" operator="greaterThan">
      <formula>$Q39</formula>
    </cfRule>
    <cfRule type="cellIs" dxfId="450" priority="304" operator="lessThan">
      <formula>$Q39</formula>
    </cfRule>
  </conditionalFormatting>
  <conditionalFormatting sqref="T39 W39 Z39">
    <cfRule type="cellIs" dxfId="449" priority="299" operator="greaterThan">
      <formula>$Q39*1.1</formula>
    </cfRule>
    <cfRule type="cellIs" dxfId="448" priority="300" operator="greaterThan">
      <formula>$Q39</formula>
    </cfRule>
    <cfRule type="cellIs" dxfId="447" priority="301" operator="lessThan">
      <formula>$Q39</formula>
    </cfRule>
  </conditionalFormatting>
  <conditionalFormatting sqref="T38 W38 Z38">
    <cfRule type="cellIs" dxfId="446" priority="296" operator="greaterThanOrEqual">
      <formula>$Q38</formula>
    </cfRule>
    <cfRule type="cellIs" dxfId="445" priority="297" operator="lessThan">
      <formula>$Q38*0.9</formula>
    </cfRule>
    <cfRule type="cellIs" dxfId="444" priority="298" operator="lessThan">
      <formula>$Q38</formula>
    </cfRule>
  </conditionalFormatting>
  <conditionalFormatting sqref="K40:K41">
    <cfRule type="cellIs" dxfId="443" priority="293" operator="greaterThanOrEqual">
      <formula>$Q40</formula>
    </cfRule>
    <cfRule type="cellIs" dxfId="442" priority="294" operator="lessThan">
      <formula>$Q40*0.9</formula>
    </cfRule>
    <cfRule type="cellIs" dxfId="441" priority="295" operator="lessThan">
      <formula>$Q40</formula>
    </cfRule>
  </conditionalFormatting>
  <conditionalFormatting sqref="T40:T41 W40:W41 Z40:Z41">
    <cfRule type="cellIs" dxfId="440" priority="290" operator="greaterThanOrEqual">
      <formula>$Q40</formula>
    </cfRule>
    <cfRule type="cellIs" dxfId="439" priority="291" operator="lessThan">
      <formula>$Q40*0.9</formula>
    </cfRule>
    <cfRule type="cellIs" dxfId="438" priority="292" operator="lessThan">
      <formula>$Q40</formula>
    </cfRule>
  </conditionalFormatting>
  <conditionalFormatting sqref="A1:BH7 A15:A19 AC15:AD15 F28:AD28 AC17:AD19 BF15:BH15 A8:A11 BF8:BH11 A12:BH12 AC16:AG16 AI16:BH16 AJ17 AC65 AI22 BF36:BH36 BF35:BG35 B142:BE142 AC88 BW151:CA1048576 BI135:CA150 AC93 BF37:BG40 BW40:BX42 BW59:BW61 BY39:XFD42 BY1:XFD23 BW1:BX2 BX3 BV3 BW17:BX23 BX15:BX16 BV15 CD43:XFD57 BX58:XFD61 CD62:XFD76 BW77:XFD80 BW96:XFD99 CD81:XFD95 CD100:XFD114 BW115:XFD118 CB134:XFD1048576 CD119:XFD133 BI133:BV133 BI134:BY134 CA134 AC20:AH20 A14:BH14 A13:AD13 BF13:BH13 A20:D24 B33:BE35 B36:J37 BF17:BH34 Q36:BE37 B38:AB41 B70:BE87 B44:BE64 A25:A1048576 BF41:BH158 B94:BE94 U26:AB27 B25:D28 AY25:BA27 AR25:AT27 AK25:AM27 F24:F27 H20:H23 H24:L24 H25:H26 J25:L27 B170:BH1048576 BG159:BH169 U24:W25">
    <cfRule type="cellIs" dxfId="437" priority="289" operator="equal">
      <formula>"XXX"</formula>
    </cfRule>
  </conditionalFormatting>
  <conditionalFormatting sqref="AE28:AG28 AI28:BE28 AY22:BA24 AR22:AT24 AK22:AM24">
    <cfRule type="cellIs" dxfId="436" priority="288" operator="equal">
      <formula>"XXX"</formula>
    </cfRule>
  </conditionalFormatting>
  <conditionalFormatting sqref="I24:J24 J25:J27">
    <cfRule type="cellIs" dxfId="435" priority="285" operator="equal">
      <formula>$A$1</formula>
    </cfRule>
  </conditionalFormatting>
  <conditionalFormatting sqref="AJ22">
    <cfRule type="cellIs" dxfId="434" priority="284" operator="equal">
      <formula>"XXX"</formula>
    </cfRule>
  </conditionalFormatting>
  <conditionalFormatting sqref="BB17:BE18 BB22:BE22 BB23">
    <cfRule type="cellIs" dxfId="433" priority="283" operator="lessThan">
      <formula>0</formula>
    </cfRule>
  </conditionalFormatting>
  <conditionalFormatting sqref="F65:AB65 B65:D65">
    <cfRule type="cellIs" dxfId="432" priority="282" operator="equal">
      <formula>"XXX"</formula>
    </cfRule>
  </conditionalFormatting>
  <conditionalFormatting sqref="AI65:BE65 AE65:AG65">
    <cfRule type="cellIs" dxfId="431" priority="281" operator="equal">
      <formula>"XXX"</formula>
    </cfRule>
  </conditionalFormatting>
  <conditionalFormatting sqref="F88:AB88 B88:D88">
    <cfRule type="cellIs" dxfId="430" priority="280" operator="equal">
      <formula>"XXX"</formula>
    </cfRule>
  </conditionalFormatting>
  <conditionalFormatting sqref="AI88:BE88 AE88:AG88">
    <cfRule type="cellIs" dxfId="429" priority="279" operator="equal">
      <formula>"XXX"</formula>
    </cfRule>
  </conditionalFormatting>
  <conditionalFormatting sqref="N38">
    <cfRule type="cellIs" dxfId="428" priority="276" operator="greaterThanOrEqual">
      <formula>$Q38</formula>
    </cfRule>
    <cfRule type="cellIs" dxfId="427" priority="277" operator="lessThan">
      <formula>$Q38*0.9</formula>
    </cfRule>
    <cfRule type="cellIs" dxfId="426" priority="278" operator="lessThan">
      <formula>$Q38</formula>
    </cfRule>
  </conditionalFormatting>
  <conditionalFormatting sqref="N39">
    <cfRule type="cellIs" dxfId="425" priority="273" operator="greaterThan">
      <formula>$Q39*1.1</formula>
    </cfRule>
    <cfRule type="cellIs" dxfId="424" priority="274" operator="greaterThan">
      <formula>$Q39</formula>
    </cfRule>
    <cfRule type="cellIs" dxfId="423" priority="275" operator="lessThan">
      <formula>$Q39</formula>
    </cfRule>
  </conditionalFormatting>
  <conditionalFormatting sqref="N40:N41">
    <cfRule type="cellIs" dxfId="422" priority="270" operator="greaterThanOrEqual">
      <formula>$Q40</formula>
    </cfRule>
    <cfRule type="cellIs" dxfId="421" priority="271" operator="lessThan">
      <formula>$Q40*0.9</formula>
    </cfRule>
    <cfRule type="cellIs" dxfId="420" priority="272" operator="lessThan">
      <formula>$Q40</formula>
    </cfRule>
  </conditionalFormatting>
  <conditionalFormatting sqref="K36:P37">
    <cfRule type="cellIs" dxfId="419" priority="262" operator="equal">
      <formula>"XXX"</formula>
    </cfRule>
  </conditionalFormatting>
  <conditionalFormatting sqref="N39">
    <cfRule type="cellIs" dxfId="418" priority="259" operator="greaterThan">
      <formula>$Q39*1.1</formula>
    </cfRule>
    <cfRule type="cellIs" dxfId="417" priority="260" operator="greaterThan">
      <formula>$Q39</formula>
    </cfRule>
    <cfRule type="cellIs" dxfId="416" priority="261" operator="lessThan">
      <formula>$Q39</formula>
    </cfRule>
  </conditionalFormatting>
  <conditionalFormatting sqref="N38">
    <cfRule type="cellIs" dxfId="415" priority="256" operator="greaterThanOrEqual">
      <formula>$Q38</formula>
    </cfRule>
    <cfRule type="cellIs" dxfId="414" priority="257" operator="lessThan">
      <formula>$Q38*0.9</formula>
    </cfRule>
    <cfRule type="cellIs" dxfId="413" priority="258" operator="lessThan">
      <formula>$Q38</formula>
    </cfRule>
  </conditionalFormatting>
  <conditionalFormatting sqref="N40:N41">
    <cfRule type="cellIs" dxfId="412" priority="253" operator="greaterThanOrEqual">
      <formula>$Q40</formula>
    </cfRule>
    <cfRule type="cellIs" dxfId="411" priority="254" operator="lessThan">
      <formula>$Q40*0.9</formula>
    </cfRule>
    <cfRule type="cellIs" dxfId="410" priority="255" operator="lessThan">
      <formula>$Q40</formula>
    </cfRule>
  </conditionalFormatting>
  <conditionalFormatting sqref="F136:AB136 B136:D136">
    <cfRule type="cellIs" dxfId="409" priority="246" operator="equal">
      <formula>"XXX"</formula>
    </cfRule>
  </conditionalFormatting>
  <conditionalFormatting sqref="AI136:BE136 AE136:AG136">
    <cfRule type="cellIs" dxfId="408" priority="245" operator="equal">
      <formula>"XXX"</formula>
    </cfRule>
  </conditionalFormatting>
  <conditionalFormatting sqref="F113:AB113 B113:D113">
    <cfRule type="cellIs" dxfId="407" priority="248" operator="equal">
      <formula>"XXX"</formula>
    </cfRule>
  </conditionalFormatting>
  <conditionalFormatting sqref="BH37:BH38">
    <cfRule type="cellIs" dxfId="406" priority="250" operator="equal">
      <formula>"XXX"</formula>
    </cfRule>
  </conditionalFormatting>
  <conditionalFormatting sqref="AC113 AC136:AC140 B118:BE135 B95:BE112 B141:BE141">
    <cfRule type="cellIs" dxfId="405" priority="249" operator="equal">
      <formula>"XXX"</formula>
    </cfRule>
  </conditionalFormatting>
  <conditionalFormatting sqref="BH35">
    <cfRule type="cellIs" dxfId="404" priority="252" operator="equal">
      <formula>"XXX"</formula>
    </cfRule>
  </conditionalFormatting>
  <conditionalFormatting sqref="AU17:AX18 AU22:AX23">
    <cfRule type="cellIs" dxfId="403" priority="251" operator="lessThan">
      <formula>0</formula>
    </cfRule>
  </conditionalFormatting>
  <conditionalFormatting sqref="AI113:BE113 AE113:AG113">
    <cfRule type="cellIs" dxfId="402" priority="247" operator="equal">
      <formula>"XXX"</formula>
    </cfRule>
  </conditionalFormatting>
  <conditionalFormatting sqref="B137">
    <cfRule type="cellIs" dxfId="401" priority="244" operator="equal">
      <formula>"XXX"</formula>
    </cfRule>
  </conditionalFormatting>
  <conditionalFormatting sqref="AE137">
    <cfRule type="cellIs" dxfId="400" priority="243" operator="equal">
      <formula>"XXX"</formula>
    </cfRule>
  </conditionalFormatting>
  <conditionalFormatting sqref="K42">
    <cfRule type="cellIs" dxfId="399" priority="238" stopIfTrue="1" operator="greaterThan">
      <formula>$Q42*1.1</formula>
    </cfRule>
    <cfRule type="cellIs" dxfId="398" priority="239" operator="greaterThan">
      <formula>$Q42</formula>
    </cfRule>
    <cfRule type="cellIs" dxfId="397" priority="240" operator="lessThan">
      <formula>$Q42</formula>
    </cfRule>
  </conditionalFormatting>
  <conditionalFormatting sqref="T42">
    <cfRule type="cellIs" dxfId="396" priority="235" stopIfTrue="1" operator="greaterThan">
      <formula>$Q42*1.1</formula>
    </cfRule>
    <cfRule type="cellIs" dxfId="395" priority="236" operator="greaterThan">
      <formula>$Q42</formula>
    </cfRule>
    <cfRule type="cellIs" dxfId="394" priority="237" operator="lessThan">
      <formula>$Q42</formula>
    </cfRule>
  </conditionalFormatting>
  <conditionalFormatting sqref="W42">
    <cfRule type="cellIs" dxfId="393" priority="232" stopIfTrue="1" operator="greaterThan">
      <formula>$Q42*1.1</formula>
    </cfRule>
    <cfRule type="cellIs" dxfId="392" priority="233" operator="greaterThan">
      <formula>$Q42</formula>
    </cfRule>
    <cfRule type="cellIs" dxfId="391" priority="234" operator="lessThan">
      <formula>$Q42</formula>
    </cfRule>
  </conditionalFormatting>
  <conditionalFormatting sqref="Z42">
    <cfRule type="cellIs" dxfId="390" priority="229" stopIfTrue="1" operator="greaterThan">
      <formula>$Q42*1.1</formula>
    </cfRule>
    <cfRule type="cellIs" dxfId="389" priority="230" operator="greaterThan">
      <formula>$Q42</formula>
    </cfRule>
    <cfRule type="cellIs" dxfId="388" priority="231" operator="lessThan">
      <formula>$Q42</formula>
    </cfRule>
  </conditionalFormatting>
  <conditionalFormatting sqref="B42:P42 T42:AB42">
    <cfRule type="cellIs" dxfId="387" priority="228" operator="equal">
      <formula>"XXX"</formula>
    </cfRule>
  </conditionalFormatting>
  <conditionalFormatting sqref="N42">
    <cfRule type="cellIs" dxfId="386" priority="225" stopIfTrue="1" operator="greaterThan">
      <formula>$Q42*1.1</formula>
    </cfRule>
    <cfRule type="cellIs" dxfId="385" priority="226" operator="greaterThan">
      <formula>$Q42</formula>
    </cfRule>
    <cfRule type="cellIs" dxfId="384" priority="227" operator="lessThan">
      <formula>$Q42</formula>
    </cfRule>
  </conditionalFormatting>
  <conditionalFormatting sqref="B43:J43">
    <cfRule type="cellIs" dxfId="383" priority="224" operator="equal">
      <formula>"XXX"</formula>
    </cfRule>
  </conditionalFormatting>
  <conditionalFormatting sqref="W42 T42 K42 Z42">
    <cfRule type="cellIs" dxfId="382" priority="221" operator="greaterThanOrEqual">
      <formula>$Q42</formula>
    </cfRule>
    <cfRule type="cellIs" dxfId="381" priority="222" operator="lessThan">
      <formula>$Q42*0.9</formula>
    </cfRule>
    <cfRule type="cellIs" dxfId="380" priority="223" operator="lessThan">
      <formula>$Q42</formula>
    </cfRule>
  </conditionalFormatting>
  <conditionalFormatting sqref="K42">
    <cfRule type="cellIs" dxfId="379" priority="218" stopIfTrue="1" operator="greaterThan">
      <formula>$Q42*1.1</formula>
    </cfRule>
    <cfRule type="cellIs" dxfId="378" priority="219" operator="greaterThan">
      <formula>$Q42</formula>
    </cfRule>
    <cfRule type="cellIs" dxfId="377" priority="220" operator="lessThan">
      <formula>$Q42</formula>
    </cfRule>
  </conditionalFormatting>
  <conditionalFormatting sqref="T42">
    <cfRule type="cellIs" dxfId="376" priority="215" stopIfTrue="1" operator="greaterThan">
      <formula>$Q42*1.1</formula>
    </cfRule>
    <cfRule type="cellIs" dxfId="375" priority="216" operator="greaterThan">
      <formula>$Q42</formula>
    </cfRule>
    <cfRule type="cellIs" dxfId="374" priority="217" operator="lessThan">
      <formula>$Q42</formula>
    </cfRule>
  </conditionalFormatting>
  <conditionalFormatting sqref="W42">
    <cfRule type="cellIs" dxfId="373" priority="212" stopIfTrue="1" operator="greaterThan">
      <formula>$Q42*1.1</formula>
    </cfRule>
    <cfRule type="cellIs" dxfId="372" priority="213" operator="greaterThan">
      <formula>$Q42</formula>
    </cfRule>
    <cfRule type="cellIs" dxfId="371" priority="214" operator="lessThan">
      <formula>$Q42</formula>
    </cfRule>
  </conditionalFormatting>
  <conditionalFormatting sqref="Z42">
    <cfRule type="cellIs" dxfId="370" priority="209" stopIfTrue="1" operator="greaterThan">
      <formula>$Q42*1.1</formula>
    </cfRule>
    <cfRule type="cellIs" dxfId="369" priority="210" operator="greaterThan">
      <formula>$Q42</formula>
    </cfRule>
    <cfRule type="cellIs" dxfId="368" priority="211" operator="lessThan">
      <formula>$Q42</formula>
    </cfRule>
  </conditionalFormatting>
  <conditionalFormatting sqref="N42">
    <cfRule type="cellIs" dxfId="367" priority="206" operator="greaterThanOrEqual">
      <formula>$Q42</formula>
    </cfRule>
    <cfRule type="cellIs" dxfId="366" priority="207" operator="lessThan">
      <formula>$Q42*0.9</formula>
    </cfRule>
    <cfRule type="cellIs" dxfId="365" priority="208" operator="lessThan">
      <formula>$Q42</formula>
    </cfRule>
  </conditionalFormatting>
  <conditionalFormatting sqref="N42">
    <cfRule type="cellIs" dxfId="364" priority="203" stopIfTrue="1" operator="greaterThan">
      <formula>$Q42*1.1</formula>
    </cfRule>
    <cfRule type="cellIs" dxfId="363" priority="204" operator="greaterThan">
      <formula>$Q42</formula>
    </cfRule>
    <cfRule type="cellIs" dxfId="362" priority="205" operator="lessThan">
      <formula>$Q42</formula>
    </cfRule>
  </conditionalFormatting>
  <conditionalFormatting sqref="N42">
    <cfRule type="cellIs" dxfId="361" priority="200" operator="greaterThanOrEqual">
      <formula>$Q42</formula>
    </cfRule>
    <cfRule type="cellIs" dxfId="360" priority="201" operator="lessThan">
      <formula>$Q42*0.9</formula>
    </cfRule>
    <cfRule type="cellIs" dxfId="359" priority="202" operator="lessThan">
      <formula>$Q42</formula>
    </cfRule>
  </conditionalFormatting>
  <conditionalFormatting sqref="N42">
    <cfRule type="cellIs" dxfId="358" priority="197" stopIfTrue="1" operator="greaterThan">
      <formula>$Q42*1.1</formula>
    </cfRule>
    <cfRule type="cellIs" dxfId="357" priority="198" operator="greaterThan">
      <formula>$Q42</formula>
    </cfRule>
    <cfRule type="cellIs" dxfId="356" priority="199" operator="lessThan">
      <formula>$Q42</formula>
    </cfRule>
  </conditionalFormatting>
  <conditionalFormatting sqref="W43 T43 K43 Z43">
    <cfRule type="cellIs" dxfId="355" priority="194" operator="greaterThanOrEqual">
      <formula>$Q43</formula>
    </cfRule>
    <cfRule type="cellIs" dxfId="354" priority="195" operator="lessThan">
      <formula>$Q43*0.9</formula>
    </cfRule>
    <cfRule type="cellIs" dxfId="353" priority="196" operator="lessThan">
      <formula>$Q43</formula>
    </cfRule>
  </conditionalFormatting>
  <conditionalFormatting sqref="K43:AB43">
    <cfRule type="cellIs" dxfId="352" priority="193" operator="equal">
      <formula>"XXX"</formula>
    </cfRule>
  </conditionalFormatting>
  <conditionalFormatting sqref="K43">
    <cfRule type="cellIs" dxfId="351" priority="190" stopIfTrue="1" operator="greaterThan">
      <formula>$Q43*1.1</formula>
    </cfRule>
    <cfRule type="cellIs" dxfId="350" priority="191" operator="greaterThan">
      <formula>$Q43</formula>
    </cfRule>
    <cfRule type="cellIs" dxfId="349" priority="192" operator="lessThan">
      <formula>$Q43</formula>
    </cfRule>
  </conditionalFormatting>
  <conditionalFormatting sqref="T43">
    <cfRule type="cellIs" dxfId="348" priority="187" stopIfTrue="1" operator="greaterThan">
      <formula>$Q43*1.1</formula>
    </cfRule>
    <cfRule type="cellIs" dxfId="347" priority="188" operator="greaterThan">
      <formula>$Q43</formula>
    </cfRule>
    <cfRule type="cellIs" dxfId="346" priority="189" operator="lessThan">
      <formula>$Q43</formula>
    </cfRule>
  </conditionalFormatting>
  <conditionalFormatting sqref="W43">
    <cfRule type="cellIs" dxfId="345" priority="184" operator="greaterThan">
      <formula>$Q43*1.1</formula>
    </cfRule>
    <cfRule type="cellIs" dxfId="344" priority="185" operator="greaterThan">
      <formula>$Q43</formula>
    </cfRule>
    <cfRule type="cellIs" dxfId="343" priority="186" operator="lessThan">
      <formula>$Q43</formula>
    </cfRule>
  </conditionalFormatting>
  <conditionalFormatting sqref="Z43">
    <cfRule type="cellIs" dxfId="342" priority="181" stopIfTrue="1" operator="greaterThan">
      <formula>$Q43*1.1</formula>
    </cfRule>
    <cfRule type="cellIs" dxfId="341" priority="182" operator="greaterThan">
      <formula>$Q43</formula>
    </cfRule>
    <cfRule type="cellIs" dxfId="340" priority="183" operator="lessThan">
      <formula>$Q43</formula>
    </cfRule>
  </conditionalFormatting>
  <conditionalFormatting sqref="N43">
    <cfRule type="cellIs" dxfId="339" priority="178" operator="greaterThanOrEqual">
      <formula>$Q43</formula>
    </cfRule>
    <cfRule type="cellIs" dxfId="338" priority="179" operator="lessThan">
      <formula>$Q43*0.9</formula>
    </cfRule>
    <cfRule type="cellIs" dxfId="337" priority="180" operator="lessThan">
      <formula>$Q43</formula>
    </cfRule>
  </conditionalFormatting>
  <conditionalFormatting sqref="N43">
    <cfRule type="cellIs" dxfId="336" priority="175" stopIfTrue="1" operator="greaterThan">
      <formula>$Q43*1.1</formula>
    </cfRule>
    <cfRule type="cellIs" dxfId="335" priority="176" operator="greaterThan">
      <formula>$Q43</formula>
    </cfRule>
    <cfRule type="cellIs" dxfId="334" priority="177" operator="lessThan">
      <formula>$Q43</formula>
    </cfRule>
  </conditionalFormatting>
  <conditionalFormatting sqref="N43">
    <cfRule type="cellIs" dxfId="333" priority="172" operator="greaterThanOrEqual">
      <formula>$Q43</formula>
    </cfRule>
    <cfRule type="cellIs" dxfId="332" priority="173" operator="lessThan">
      <formula>$Q43*0.9</formula>
    </cfRule>
    <cfRule type="cellIs" dxfId="331" priority="174" operator="lessThan">
      <formula>$Q43</formula>
    </cfRule>
  </conditionalFormatting>
  <conditionalFormatting sqref="N43">
    <cfRule type="cellIs" dxfId="330" priority="169" stopIfTrue="1" operator="greaterThan">
      <formula>$Q43*1.1</formula>
    </cfRule>
    <cfRule type="cellIs" dxfId="329" priority="170" operator="greaterThan">
      <formula>$Q43</formula>
    </cfRule>
    <cfRule type="cellIs" dxfId="328" priority="171" operator="lessThan">
      <formula>$Q43</formula>
    </cfRule>
  </conditionalFormatting>
  <conditionalFormatting sqref="BA151">
    <cfRule type="cellIs" dxfId="327" priority="156" operator="equal">
      <formula>"Paused"</formula>
    </cfRule>
    <cfRule type="cellIs" dxfId="326" priority="157" operator="equal">
      <formula>"Open Issue"</formula>
    </cfRule>
    <cfRule type="cellIs" dxfId="325" priority="158" operator="equal">
      <formula>"On Track"</formula>
    </cfRule>
  </conditionalFormatting>
  <conditionalFormatting sqref="B151:BE155 B143:BE143 B145:BE148 M144:BE144">
    <cfRule type="cellIs" dxfId="324" priority="155" operator="equal">
      <formula>"XXX"</formula>
    </cfRule>
  </conditionalFormatting>
  <conditionalFormatting sqref="BH39">
    <cfRule type="cellIs" dxfId="323" priority="153" operator="equal">
      <formula>"XXX"</formula>
    </cfRule>
  </conditionalFormatting>
  <conditionalFormatting sqref="BH40">
    <cfRule type="cellIs" dxfId="322" priority="152" operator="equal">
      <formula>"XXX"</formula>
    </cfRule>
  </conditionalFormatting>
  <conditionalFormatting sqref="Q42:S42">
    <cfRule type="cellIs" dxfId="321" priority="148" operator="equal">
      <formula>"XXX"</formula>
    </cfRule>
  </conditionalFormatting>
  <conditionalFormatting sqref="BW26:BX38">
    <cfRule type="cellIs" dxfId="320" priority="144" operator="equal">
      <formula>"XXX"</formula>
    </cfRule>
  </conditionalFormatting>
  <conditionalFormatting sqref="BW45:BX57">
    <cfRule type="cellIs" dxfId="319" priority="136" operator="equal">
      <formula>"XXX"</formula>
    </cfRule>
  </conditionalFormatting>
  <conditionalFormatting sqref="BW64:BX76">
    <cfRule type="cellIs" dxfId="318" priority="133" operator="equal">
      <formula>"XXX"</formula>
    </cfRule>
  </conditionalFormatting>
  <conditionalFormatting sqref="BW83:BX95">
    <cfRule type="cellIs" dxfId="317" priority="130" operator="equal">
      <formula>"XXX"</formula>
    </cfRule>
  </conditionalFormatting>
  <conditionalFormatting sqref="BW102:BX114">
    <cfRule type="cellIs" dxfId="316" priority="127" operator="equal">
      <formula>"XXX"</formula>
    </cfRule>
  </conditionalFormatting>
  <conditionalFormatting sqref="BW121:BX133">
    <cfRule type="cellIs" dxfId="315" priority="124" operator="equal">
      <formula>"XXX"</formula>
    </cfRule>
  </conditionalFormatting>
  <conditionalFormatting sqref="BZ134">
    <cfRule type="cellIs" dxfId="314" priority="114" operator="equal">
      <formula>"XXX"</formula>
    </cfRule>
  </conditionalFormatting>
  <conditionalFormatting sqref="BA150">
    <cfRule type="cellIs" dxfId="313" priority="105" operator="equal">
      <formula>"Paused"</formula>
    </cfRule>
    <cfRule type="cellIs" dxfId="312" priority="106" operator="equal">
      <formula>"Open Issue"</formula>
    </cfRule>
    <cfRule type="cellIs" dxfId="311" priority="107" operator="equal">
      <formula>"On Track"</formula>
    </cfRule>
  </conditionalFormatting>
  <conditionalFormatting sqref="B150:AP150 BA150:BE150">
    <cfRule type="cellIs" dxfId="310" priority="104" operator="equal">
      <formula>"XXX"</formula>
    </cfRule>
  </conditionalFormatting>
  <conditionalFormatting sqref="AC40:BE41">
    <cfRule type="cellIs" dxfId="309" priority="85" operator="equal">
      <formula>"XXX"</formula>
    </cfRule>
  </conditionalFormatting>
  <conditionalFormatting sqref="AC43:BE43">
    <cfRule type="cellIs" dxfId="308" priority="84" operator="equal">
      <formula>"XXX"</formula>
    </cfRule>
  </conditionalFormatting>
  <conditionalFormatting sqref="AC38:BE38">
    <cfRule type="cellIs" dxfId="307" priority="83" operator="equal">
      <formula>"XXX"</formula>
    </cfRule>
  </conditionalFormatting>
  <conditionalFormatting sqref="AC39:BE39">
    <cfRule type="cellIs" dxfId="306" priority="82" operator="equal">
      <formula>"XXX"</formula>
    </cfRule>
  </conditionalFormatting>
  <conditionalFormatting sqref="AC42:BE42">
    <cfRule type="cellIs" dxfId="305" priority="81" operator="equal">
      <formula>"XXX"</formula>
    </cfRule>
  </conditionalFormatting>
  <conditionalFormatting sqref="AC66:AC69">
    <cfRule type="cellIs" dxfId="304" priority="80" operator="equal">
      <formula>"XXX"</formula>
    </cfRule>
  </conditionalFormatting>
  <conditionalFormatting sqref="B66">
    <cfRule type="cellIs" dxfId="303" priority="79" operator="equal">
      <formula>"XXX"</formula>
    </cfRule>
  </conditionalFormatting>
  <conditionalFormatting sqref="AE66">
    <cfRule type="cellIs" dxfId="302" priority="78" operator="equal">
      <formula>"XXX"</formula>
    </cfRule>
  </conditionalFormatting>
  <conditionalFormatting sqref="AC89:AC92">
    <cfRule type="cellIs" dxfId="301" priority="77" operator="equal">
      <formula>"XXX"</formula>
    </cfRule>
  </conditionalFormatting>
  <conditionalFormatting sqref="B89">
    <cfRule type="cellIs" dxfId="300" priority="76" operator="equal">
      <formula>"XXX"</formula>
    </cfRule>
  </conditionalFormatting>
  <conditionalFormatting sqref="AE89">
    <cfRule type="cellIs" dxfId="299" priority="75" operator="equal">
      <formula>"XXX"</formula>
    </cfRule>
  </conditionalFormatting>
  <conditionalFormatting sqref="AC114:AC117">
    <cfRule type="cellIs" dxfId="298" priority="74" operator="equal">
      <formula>"XXX"</formula>
    </cfRule>
  </conditionalFormatting>
  <conditionalFormatting sqref="AE114">
    <cfRule type="cellIs" dxfId="297" priority="73" operator="equal">
      <formula>"XXX"</formula>
    </cfRule>
  </conditionalFormatting>
  <conditionalFormatting sqref="B114">
    <cfRule type="cellIs" dxfId="296" priority="72" operator="equal">
      <formula>"XXX"</formula>
    </cfRule>
  </conditionalFormatting>
  <conditionalFormatting sqref="BA149">
    <cfRule type="cellIs" dxfId="295" priority="69" operator="equal">
      <formula>"Paused"</formula>
    </cfRule>
    <cfRule type="cellIs" dxfId="294" priority="70" operator="equal">
      <formula>"Open Issue"</formula>
    </cfRule>
    <cfRule type="cellIs" dxfId="293" priority="71" operator="equal">
      <formula>"On Track"</formula>
    </cfRule>
  </conditionalFormatting>
  <conditionalFormatting sqref="B149:AP149 BA149:BE149">
    <cfRule type="cellIs" dxfId="292" priority="68" operator="equal">
      <formula>"XXX"</formula>
    </cfRule>
  </conditionalFormatting>
  <conditionalFormatting sqref="B156:AF158">
    <cfRule type="cellIs" dxfId="291" priority="67" operator="equal">
      <formula>"XXX"</formula>
    </cfRule>
  </conditionalFormatting>
  <conditionalFormatting sqref="AE13:BE13">
    <cfRule type="cellIs" dxfId="290" priority="66" operator="equal">
      <formula>"XXX"</formula>
    </cfRule>
  </conditionalFormatting>
  <conditionalFormatting sqref="B144:L144">
    <cfRule type="cellIs" dxfId="289" priority="58" operator="equal">
      <formula>"XXX"</formula>
    </cfRule>
  </conditionalFormatting>
  <conditionalFormatting sqref="BJ16">
    <cfRule type="expression" dxfId="288" priority="51">
      <formula>(AND(BJ$5=$BX$5,LEN(BJ$16)=0))</formula>
    </cfRule>
  </conditionalFormatting>
  <conditionalFormatting sqref="BJ16:BR16 BT16:BV16">
    <cfRule type="expression" dxfId="287" priority="50">
      <formula>(AND(BJ$5=$BX$5,LEN(BJ$16)=0))</formula>
    </cfRule>
  </conditionalFormatting>
  <conditionalFormatting sqref="F22">
    <cfRule type="cellIs" dxfId="286" priority="45" operator="equal">
      <formula>"XXX"</formula>
    </cfRule>
  </conditionalFormatting>
  <conditionalFormatting sqref="G22:G23">
    <cfRule type="cellIs" dxfId="285" priority="44" operator="equal">
      <formula>"XXX"</formula>
    </cfRule>
  </conditionalFormatting>
  <conditionalFormatting sqref="G22:G23">
    <cfRule type="cellIs" dxfId="284" priority="43" operator="notEqual">
      <formula>0</formula>
    </cfRule>
  </conditionalFormatting>
  <conditionalFormatting sqref="G25">
    <cfRule type="cellIs" dxfId="283" priority="42" operator="equal">
      <formula>"XXX"</formula>
    </cfRule>
  </conditionalFormatting>
  <conditionalFormatting sqref="G25">
    <cfRule type="cellIs" dxfId="282" priority="41" operator="notEqual">
      <formula>0</formula>
    </cfRule>
  </conditionalFormatting>
  <conditionalFormatting sqref="G26">
    <cfRule type="cellIs" dxfId="281" priority="40" operator="equal">
      <formula>"XXX"</formula>
    </cfRule>
  </conditionalFormatting>
  <conditionalFormatting sqref="G26">
    <cfRule type="expression" dxfId="280" priority="38">
      <formula>$G$25=0</formula>
    </cfRule>
    <cfRule type="cellIs" dxfId="279" priority="39" operator="notEqual">
      <formula>0</formula>
    </cfRule>
  </conditionalFormatting>
  <conditionalFormatting sqref="I26">
    <cfRule type="cellIs" dxfId="278" priority="37" operator="equal">
      <formula>"XXX"</formula>
    </cfRule>
  </conditionalFormatting>
  <conditionalFormatting sqref="I26">
    <cfRule type="cellIs" dxfId="277" priority="36" operator="equal">
      <formula>$A$1</formula>
    </cfRule>
  </conditionalFormatting>
  <conditionalFormatting sqref="I25">
    <cfRule type="cellIs" dxfId="276" priority="35" operator="equal">
      <formula>$A$1</formula>
    </cfRule>
  </conditionalFormatting>
  <conditionalFormatting sqref="I27">
    <cfRule type="cellIs" dxfId="275" priority="30" operator="equal">
      <formula>"XXX"</formula>
    </cfRule>
  </conditionalFormatting>
  <conditionalFormatting sqref="I27">
    <cfRule type="cellIs" dxfId="274" priority="29" operator="equal">
      <formula>$A$1</formula>
    </cfRule>
  </conditionalFormatting>
  <conditionalFormatting sqref="B159">
    <cfRule type="cellIs" dxfId="273" priority="21" operator="equal">
      <formula>"XXX"</formula>
    </cfRule>
  </conditionalFormatting>
  <conditionalFormatting sqref="BS16">
    <cfRule type="expression" dxfId="272" priority="20">
      <formula>(AND(BS$5=$BX$5,LEN(BS$16)=0))</formula>
    </cfRule>
  </conditionalFormatting>
  <conditionalFormatting sqref="X24:AB24">
    <cfRule type="cellIs" dxfId="271" priority="11" operator="equal">
      <formula>"XXX"</formula>
    </cfRule>
  </conditionalFormatting>
  <conditionalFormatting sqref="Z16:Z21">
    <cfRule type="cellIs" dxfId="270" priority="10" operator="equal">
      <formula>"XXX"</formula>
    </cfRule>
  </conditionalFormatting>
  <conditionalFormatting sqref="Y16:Y18 Y21">
    <cfRule type="cellIs" dxfId="269" priority="9" operator="equal">
      <formula>"XXX"</formula>
    </cfRule>
  </conditionalFormatting>
  <conditionalFormatting sqref="Y19:Y20">
    <cfRule type="cellIs" dxfId="268" priority="8" operator="equal">
      <formula>"XXX"</formula>
    </cfRule>
  </conditionalFormatting>
  <conditionalFormatting sqref="Y22:Y23">
    <cfRule type="cellIs" dxfId="267" priority="7" operator="equal">
      <formula>"XXX"</formula>
    </cfRule>
  </conditionalFormatting>
  <conditionalFormatting sqref="AC8:AD11">
    <cfRule type="cellIs" dxfId="266" priority="6" operator="equal">
      <formula>"XXX"</formula>
    </cfRule>
  </conditionalFormatting>
  <conditionalFormatting sqref="B8">
    <cfRule type="cellIs" dxfId="265" priority="5" operator="equal">
      <formula>"XXX"</formula>
    </cfRule>
  </conditionalFormatting>
  <conditionalFormatting sqref="AE8">
    <cfRule type="cellIs" dxfId="264" priority="4" operator="equal">
      <formula>"XXX"</formula>
    </cfRule>
  </conditionalFormatting>
  <conditionalFormatting sqref="AC29:AD32">
    <cfRule type="cellIs" dxfId="263" priority="3" operator="equal">
      <formula>"XXX"</formula>
    </cfRule>
  </conditionalFormatting>
  <conditionalFormatting sqref="B29">
    <cfRule type="cellIs" dxfId="262" priority="2" operator="equal">
      <formula>"XXX"</formula>
    </cfRule>
  </conditionalFormatting>
  <conditionalFormatting sqref="AE29">
    <cfRule type="cellIs" dxfId="261" priority="1" operator="equal">
      <formula>"XXX"</formula>
    </cfRule>
  </conditionalFormatting>
  <dataValidations count="5">
    <dataValidation type="whole" operator="lessThan" allowBlank="1" showInputMessage="1" showErrorMessage="1" errorTitle="Negative Value" error="This value must be entered as a negative number." sqref="BJ11:BV11 BJ7:BV7 BJ9:BV9" xr:uid="{00000000-0002-0000-1F00-000000000000}">
      <formula1>0</formula1>
    </dataValidation>
    <dataValidation type="whole" operator="greaterThanOrEqual" allowBlank="1" showInputMessage="1" showErrorMessage="1" errorTitle="Positive Value" error="This value must be entered as a positive number." sqref="BJ8:BV8 BJ10:BV10 BJ12:BV14 BJ6:BV6" xr:uid="{00000000-0002-0000-1F00-000001000000}">
      <formula1>0</formula1>
    </dataValidation>
    <dataValidation type="list" allowBlank="1" showInputMessage="1" showErrorMessage="1" sqref="AV144:AZ146 AV149:AZ151" xr:uid="{00000000-0002-0000-1F00-000002000000}">
      <formula1>"Grow the Top Line, Capture Cost &amp; Productivity, Lead Our People, Deliver Financial Commitments"</formula1>
    </dataValidation>
    <dataValidation type="list" allowBlank="1" showInputMessage="1" showErrorMessage="1" sqref="BA149:BE151" xr:uid="{00000000-0002-0000-1F00-000003000000}">
      <formula1>"Not Started, On Track, Open Issue, Paused, Complete"</formula1>
    </dataValidation>
    <dataValidation type="list" allowBlank="1" showInputMessage="1" showErrorMessage="1" sqref="BA144:BE146" xr:uid="{00000000-0002-0000-1F00-000004000000}">
      <formula1>"PMBOK Initiate, PMBOK Plan, PMBOK Execute, PMBOK Monitor/ Control, PMBOK Close, DMAIC Define, DMAIC Measure, DMAIC Analyze, DMAIC Improve, DMAIC Control, Placeholder, Paused"</formula1>
    </dataValidation>
  </dataValidations>
  <printOptions horizontalCentered="1"/>
  <pageMargins left="0.25" right="0.25" top="0.25" bottom="0.5" header="0.3" footer="0.3"/>
  <pageSetup scale="66" orientation="landscape" r:id="rId1"/>
  <headerFooter>
    <oddFooter>&amp;R&amp;F | &amp;A
Printed &amp;D @ &amp;T
&amp;P</oddFooter>
  </headerFooter>
  <rowBreaks count="3" manualBreakCount="3">
    <brk id="41" max="16383" man="1"/>
    <brk id="90" max="16383" man="1"/>
    <brk id="139" max="16383" man="1"/>
  </rowBreaks>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tabColor rgb="FF00B050"/>
  </sheetPr>
  <dimension ref="A1:CC127"/>
  <sheetViews>
    <sheetView showGridLines="0" zoomScaleNormal="100" workbookViewId="0">
      <selection activeCell="I22" sqref="I22:V23"/>
    </sheetView>
  </sheetViews>
  <sheetFormatPr defaultColWidth="3.28515625" defaultRowHeight="14.65" customHeight="1"/>
  <cols>
    <col min="1" max="6" width="3.28515625" style="37"/>
    <col min="7" max="7" width="3.5703125" style="37" bestFit="1" customWidth="1"/>
    <col min="8" max="10" width="3.28515625" style="37"/>
    <col min="11" max="11" width="3.42578125" style="37" bestFit="1" customWidth="1"/>
    <col min="12" max="12" width="3.28515625" style="37"/>
    <col min="13" max="13" width="3.42578125" style="37" bestFit="1" customWidth="1"/>
    <col min="14" max="15" width="3.28515625" style="37"/>
    <col min="16" max="16" width="3.42578125" style="37" bestFit="1" customWidth="1"/>
    <col min="17" max="20" width="3.28515625" style="37"/>
    <col min="21" max="22" width="3.42578125" style="37" bestFit="1" customWidth="1"/>
    <col min="23" max="26" width="3.28515625" style="37"/>
    <col min="27" max="27" width="3.42578125" style="37" bestFit="1" customWidth="1"/>
    <col min="28" max="58" width="3.28515625" style="37"/>
    <col min="59" max="59" width="3.28515625" style="37" customWidth="1"/>
    <col min="60" max="60" width="4.7109375" style="37" bestFit="1" customWidth="1"/>
    <col min="61" max="61" width="14.85546875" customWidth="1"/>
    <col min="62" max="73" width="12.7109375" customWidth="1"/>
    <col min="74" max="74" width="10.140625" customWidth="1"/>
    <col min="75" max="75" width="15.7109375" style="6" customWidth="1"/>
    <col min="76" max="76" width="8.5703125" style="6" customWidth="1"/>
    <col min="77" max="77" width="11.28515625" style="6" customWidth="1"/>
    <col min="78" max="78" width="8.28515625" style="6" customWidth="1"/>
    <col min="79" max="79" width="9.7109375" style="6" customWidth="1"/>
    <col min="80" max="80" width="4.7109375" style="6" customWidth="1"/>
    <col min="81" max="81" width="5.28515625" style="6" customWidth="1"/>
    <col min="82" max="16384" width="3.28515625" style="37"/>
  </cols>
  <sheetData>
    <row r="1" spans="2:76" ht="14.65" customHeight="1">
      <c r="BI1" s="1525" t="s">
        <v>219</v>
      </c>
      <c r="BJ1" s="1525"/>
      <c r="BK1" s="1525"/>
      <c r="BL1" s="1525"/>
      <c r="BM1" s="1525"/>
      <c r="BN1" s="1525"/>
      <c r="BO1" s="1525"/>
      <c r="BP1" s="1525"/>
      <c r="BQ1" s="1525"/>
      <c r="BR1" s="1525"/>
      <c r="BS1" s="1525"/>
      <c r="BT1" s="1525"/>
      <c r="BU1" s="1525"/>
    </row>
    <row r="2" spans="2:76" s="6" customFormat="1" ht="14.65" customHeight="1">
      <c r="B2" s="1494" t="s">
        <v>109</v>
      </c>
      <c r="C2" s="1494"/>
      <c r="D2" s="1494"/>
      <c r="E2" s="1494"/>
      <c r="F2" s="1494"/>
      <c r="G2" s="1494"/>
      <c r="H2" s="1494"/>
      <c r="I2" s="1494"/>
      <c r="J2" s="1494"/>
      <c r="K2" s="1494"/>
      <c r="L2" s="1494"/>
      <c r="M2" s="1494"/>
      <c r="N2" s="1494"/>
      <c r="O2" s="1494"/>
      <c r="P2" s="1494"/>
      <c r="Q2" s="1494"/>
      <c r="R2" s="1494"/>
      <c r="S2" s="1494"/>
      <c r="T2" s="1494"/>
      <c r="U2" s="1494"/>
      <c r="V2" s="1494"/>
      <c r="W2" s="1494"/>
      <c r="X2" s="1494"/>
      <c r="Y2" s="1494"/>
      <c r="Z2" s="1494"/>
      <c r="AA2" s="1494"/>
      <c r="AB2" s="1494"/>
      <c r="AC2" s="1494"/>
      <c r="AD2" s="1494"/>
      <c r="AE2" s="1494"/>
      <c r="AF2" s="1494"/>
      <c r="AG2" s="1494"/>
      <c r="AH2" s="1494"/>
      <c r="AI2" s="1494"/>
      <c r="AJ2" s="1494"/>
      <c r="AK2" s="1494"/>
      <c r="AL2" s="1494"/>
      <c r="AM2" s="1494"/>
      <c r="AN2" s="1494"/>
      <c r="AO2" s="1494"/>
      <c r="AP2" s="1494"/>
      <c r="AQ2" s="1494"/>
      <c r="AR2" s="1494"/>
      <c r="AS2" s="1494"/>
      <c r="AT2" s="1494"/>
      <c r="AU2" s="1494"/>
      <c r="AV2" s="1494"/>
      <c r="AW2" s="1494"/>
      <c r="AX2" s="1494"/>
      <c r="AY2" s="1494"/>
      <c r="AZ2" s="1494"/>
      <c r="BA2" s="1494"/>
      <c r="BB2" s="1494"/>
      <c r="BC2" s="1494"/>
      <c r="BD2" s="1494"/>
      <c r="BE2" s="1494"/>
      <c r="BI2" s="68" t="s">
        <v>219</v>
      </c>
      <c r="BJ2"/>
      <c r="BK2"/>
      <c r="BL2"/>
      <c r="BM2"/>
      <c r="BN2"/>
      <c r="BO2"/>
      <c r="BP2"/>
      <c r="BQ2"/>
      <c r="BR2"/>
      <c r="BS2"/>
      <c r="BT2"/>
      <c r="BU2"/>
      <c r="BV2"/>
    </row>
    <row r="3" spans="2:76" s="6" customFormat="1" ht="14.65" customHeight="1">
      <c r="B3" s="1495" t="s">
        <v>110</v>
      </c>
      <c r="C3" s="1495"/>
      <c r="D3" s="1495"/>
      <c r="E3" s="1495"/>
      <c r="F3" s="1495"/>
      <c r="G3" s="1495"/>
      <c r="H3" s="1495"/>
      <c r="I3" s="1495"/>
      <c r="J3" s="1495"/>
      <c r="K3" s="1495"/>
      <c r="L3" s="1495"/>
      <c r="M3" s="1495"/>
      <c r="N3" s="1495"/>
      <c r="O3" s="1495"/>
      <c r="P3" s="1495"/>
      <c r="Q3" s="1495"/>
      <c r="R3" s="1495"/>
      <c r="S3" s="1495"/>
      <c r="T3" s="1495"/>
      <c r="U3" s="1495"/>
      <c r="V3" s="1495"/>
      <c r="W3" s="1495"/>
      <c r="X3" s="1495"/>
      <c r="Y3" s="1495"/>
      <c r="Z3" s="1495"/>
      <c r="AA3" s="1495"/>
      <c r="AB3" s="1495"/>
      <c r="AC3" s="1495"/>
      <c r="AD3" s="1495"/>
      <c r="AE3" s="1495"/>
      <c r="AF3" s="1495"/>
      <c r="AG3" s="1495"/>
      <c r="AH3" s="1495"/>
      <c r="AI3" s="1495"/>
      <c r="AJ3" s="1495"/>
      <c r="AK3" s="1495"/>
      <c r="AL3" s="1495"/>
      <c r="AM3" s="1495"/>
      <c r="AN3" s="1495"/>
      <c r="AO3" s="1495"/>
      <c r="AP3" s="1495"/>
      <c r="AQ3" s="1495"/>
      <c r="AR3" s="1495"/>
      <c r="AS3" s="1495"/>
      <c r="AT3" s="1495"/>
      <c r="AU3" s="1495"/>
      <c r="AV3" s="1495"/>
      <c r="AW3" s="1495"/>
      <c r="AX3" s="1495"/>
      <c r="AY3" s="1495"/>
      <c r="AZ3" s="1495"/>
      <c r="BA3" s="1495"/>
      <c r="BB3" s="1495"/>
      <c r="BC3" s="1495"/>
      <c r="BD3" s="1495"/>
      <c r="BE3" s="1495"/>
      <c r="BI3" s="4" t="s">
        <v>261</v>
      </c>
      <c r="BJ3"/>
      <c r="BK3"/>
      <c r="BL3"/>
      <c r="BM3"/>
      <c r="BN3"/>
      <c r="BO3"/>
      <c r="BP3"/>
      <c r="BQ3"/>
      <c r="BR3"/>
      <c r="BS3"/>
      <c r="BT3"/>
      <c r="BU3"/>
      <c r="BV3"/>
    </row>
    <row r="4" spans="2:76" ht="14.65" customHeight="1">
      <c r="B4" s="36"/>
      <c r="C4" s="35"/>
      <c r="D4" s="34"/>
      <c r="E4" s="33"/>
      <c r="F4" s="33"/>
      <c r="G4" s="33"/>
      <c r="H4" s="1611"/>
      <c r="I4" s="1611"/>
      <c r="J4" s="1611"/>
      <c r="K4" s="32"/>
      <c r="L4" s="32"/>
      <c r="M4" s="32"/>
      <c r="N4" s="32"/>
      <c r="O4" s="32"/>
      <c r="P4" s="58"/>
      <c r="Q4" s="31"/>
      <c r="BI4" s="74" t="s">
        <v>23</v>
      </c>
      <c r="BJ4" s="74" t="s">
        <v>504</v>
      </c>
      <c r="BK4" s="74" t="s">
        <v>505</v>
      </c>
      <c r="BL4" s="74" t="s">
        <v>506</v>
      </c>
      <c r="BM4" s="74" t="s">
        <v>507</v>
      </c>
      <c r="BN4" s="74" t="s">
        <v>508</v>
      </c>
      <c r="BO4" s="74" t="s">
        <v>509</v>
      </c>
      <c r="BP4" s="74" t="s">
        <v>510</v>
      </c>
      <c r="BQ4" s="74" t="s">
        <v>511</v>
      </c>
      <c r="BR4" s="74" t="s">
        <v>512</v>
      </c>
      <c r="BS4" s="74" t="s">
        <v>513</v>
      </c>
      <c r="BT4" s="74" t="s">
        <v>514</v>
      </c>
      <c r="BU4" s="74" t="s">
        <v>515</v>
      </c>
      <c r="BV4" s="74" t="s">
        <v>516</v>
      </c>
      <c r="BX4" s="151" t="s">
        <v>262</v>
      </c>
    </row>
    <row r="5" spans="2:76" ht="14.65" customHeight="1">
      <c r="B5" s="1612" t="str">
        <f>MyTC!BI1</f>
        <v>MyStaffing Transaction Center</v>
      </c>
      <c r="C5" s="1613"/>
      <c r="D5" s="1613"/>
      <c r="E5" s="1613"/>
      <c r="F5" s="1613"/>
      <c r="G5" s="1613"/>
      <c r="H5" s="1613"/>
      <c r="I5" s="1613"/>
      <c r="J5" s="1613"/>
      <c r="K5" s="1613"/>
      <c r="L5" s="1613"/>
      <c r="M5" s="1613"/>
      <c r="N5" s="1613"/>
      <c r="O5" s="1613"/>
      <c r="P5" s="1613"/>
      <c r="Q5" s="1613"/>
      <c r="R5" s="1613"/>
      <c r="S5" s="1613"/>
      <c r="T5" s="1613"/>
      <c r="U5" s="1613"/>
      <c r="V5" s="1613"/>
      <c r="W5" s="1613"/>
      <c r="X5" s="1613"/>
      <c r="Y5" s="1613"/>
      <c r="Z5" s="1613"/>
      <c r="AA5" s="1613"/>
      <c r="AB5" s="1613"/>
      <c r="AC5" s="1613"/>
      <c r="AD5" s="1613"/>
      <c r="AE5" s="1613"/>
      <c r="AF5" s="1613"/>
      <c r="AG5" s="1613"/>
      <c r="AH5" s="1613"/>
      <c r="AI5" s="1613"/>
      <c r="AJ5" s="1613"/>
      <c r="AK5" s="1613"/>
      <c r="AL5" s="1613"/>
      <c r="AM5" s="1613"/>
      <c r="AN5" s="1613"/>
      <c r="AO5" s="1613"/>
      <c r="AP5" s="1613"/>
      <c r="AQ5" s="1613"/>
      <c r="AR5" s="1613"/>
      <c r="AS5" s="731"/>
      <c r="AT5" s="731"/>
      <c r="AU5" s="731"/>
      <c r="AV5" s="731"/>
      <c r="AW5" s="731"/>
      <c r="AX5" s="731"/>
      <c r="AY5" s="731"/>
      <c r="AZ5" s="731"/>
      <c r="BA5" s="731"/>
      <c r="BB5" s="731"/>
      <c r="BC5" s="731"/>
      <c r="BD5" s="731"/>
      <c r="BE5" s="732" t="str">
        <f>Cover!M34</f>
        <v>OCT FY-24</v>
      </c>
      <c r="BI5" s="74" t="s">
        <v>37</v>
      </c>
      <c r="BJ5" s="74">
        <v>-1</v>
      </c>
      <c r="BK5" s="74">
        <v>1</v>
      </c>
      <c r="BL5" s="74">
        <v>2</v>
      </c>
      <c r="BM5" s="74">
        <v>3</v>
      </c>
      <c r="BN5" s="74">
        <v>4</v>
      </c>
      <c r="BO5" s="74">
        <v>5</v>
      </c>
      <c r="BP5" s="74">
        <v>6</v>
      </c>
      <c r="BQ5" s="74">
        <v>7</v>
      </c>
      <c r="BR5" s="74">
        <v>8</v>
      </c>
      <c r="BS5" s="74">
        <v>9</v>
      </c>
      <c r="BT5" s="74">
        <v>10</v>
      </c>
      <c r="BU5" s="74">
        <v>11</v>
      </c>
      <c r="BV5" s="74">
        <v>12</v>
      </c>
      <c r="BX5" s="68">
        <f>Cover!M36</f>
        <v>1</v>
      </c>
    </row>
    <row r="6" spans="2:76" ht="14.65" customHeight="1">
      <c r="BI6" s="68" t="s">
        <v>263</v>
      </c>
      <c r="BJ6" s="717">
        <v>14</v>
      </c>
      <c r="BK6" s="718">
        <f>BJ14-BJ13</f>
        <v>14</v>
      </c>
      <c r="BL6" s="718">
        <f>BK14-BK13</f>
        <v>14</v>
      </c>
      <c r="BM6" s="718">
        <f>BL14-BL13</f>
        <v>14</v>
      </c>
      <c r="BN6" s="718">
        <f>BM14-BM13</f>
        <v>14</v>
      </c>
      <c r="BO6" s="718">
        <f>BN14-BN13</f>
        <v>14</v>
      </c>
      <c r="BP6" s="718">
        <f t="shared" ref="BP6:BV6" si="0">BO14-BO13</f>
        <v>14</v>
      </c>
      <c r="BQ6" s="718">
        <f t="shared" si="0"/>
        <v>14</v>
      </c>
      <c r="BR6" s="718">
        <f t="shared" si="0"/>
        <v>14</v>
      </c>
      <c r="BS6" s="718">
        <f t="shared" si="0"/>
        <v>14</v>
      </c>
      <c r="BT6" s="718">
        <f t="shared" si="0"/>
        <v>14</v>
      </c>
      <c r="BU6" s="718">
        <f t="shared" si="0"/>
        <v>14</v>
      </c>
      <c r="BV6" s="718">
        <f t="shared" si="0"/>
        <v>14</v>
      </c>
      <c r="BX6" s="68"/>
    </row>
    <row r="7" spans="2:76" s="6" customFormat="1" ht="14.65" customHeight="1">
      <c r="B7" s="45" t="s">
        <v>673</v>
      </c>
      <c r="C7" s="11"/>
      <c r="D7" s="11"/>
      <c r="E7" s="11"/>
      <c r="F7" s="11"/>
      <c r="G7" s="11"/>
      <c r="H7" s="11"/>
      <c r="I7" s="11"/>
      <c r="J7" s="11"/>
      <c r="K7" s="11"/>
      <c r="L7" s="11"/>
      <c r="M7" s="11"/>
      <c r="N7" s="11"/>
      <c r="O7" s="11"/>
      <c r="P7" s="11"/>
      <c r="Q7" s="11"/>
      <c r="R7" s="11"/>
      <c r="S7" s="11"/>
      <c r="T7" s="11"/>
      <c r="U7" s="11"/>
      <c r="V7" s="11"/>
      <c r="W7" s="11"/>
      <c r="X7" s="11"/>
      <c r="Y7" s="11"/>
      <c r="Z7" s="11"/>
      <c r="AA7" s="11"/>
      <c r="AB7" s="11"/>
      <c r="AE7" s="45" t="s">
        <v>265</v>
      </c>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I7" s="68" t="s">
        <v>266</v>
      </c>
      <c r="BJ7" s="717"/>
      <c r="BK7" s="717"/>
      <c r="BL7" s="717"/>
      <c r="BM7" s="717"/>
      <c r="BN7" s="717"/>
      <c r="BO7" s="717"/>
      <c r="BP7" s="717"/>
      <c r="BQ7" s="717"/>
      <c r="BR7" s="717"/>
      <c r="BS7" s="717"/>
      <c r="BT7" s="717"/>
      <c r="BU7" s="717"/>
      <c r="BV7" s="717"/>
      <c r="BX7" s="68"/>
    </row>
    <row r="8" spans="2:76" s="6" customFormat="1" ht="14.65" customHeight="1">
      <c r="B8" s="1510" t="s">
        <v>674</v>
      </c>
      <c r="C8" s="1511"/>
      <c r="D8" s="1511"/>
      <c r="E8" s="1511"/>
      <c r="F8" s="1511"/>
      <c r="G8" s="1511"/>
      <c r="H8" s="1511"/>
      <c r="I8" s="1511"/>
      <c r="J8" s="1511"/>
      <c r="K8" s="1511"/>
      <c r="L8" s="1511"/>
      <c r="M8" s="1511"/>
      <c r="N8" s="1511"/>
      <c r="O8" s="1511"/>
      <c r="P8" s="1511"/>
      <c r="Q8" s="1511"/>
      <c r="R8" s="1511"/>
      <c r="S8" s="1511"/>
      <c r="T8" s="1511"/>
      <c r="U8" s="1511"/>
      <c r="V8" s="1511"/>
      <c r="W8" s="1511"/>
      <c r="X8" s="1511"/>
      <c r="Y8" s="1511"/>
      <c r="Z8" s="1511"/>
      <c r="AA8" s="1511"/>
      <c r="AB8" s="1512"/>
      <c r="AE8" s="1510" t="s">
        <v>675</v>
      </c>
      <c r="AF8" s="1511"/>
      <c r="AG8" s="1511"/>
      <c r="AH8" s="1511"/>
      <c r="AI8" s="1511"/>
      <c r="AJ8" s="1511"/>
      <c r="AK8" s="1511"/>
      <c r="AL8" s="1511"/>
      <c r="AM8" s="1511"/>
      <c r="AN8" s="1511"/>
      <c r="AO8" s="1511"/>
      <c r="AP8" s="1511"/>
      <c r="AQ8" s="1511"/>
      <c r="AR8" s="1511"/>
      <c r="AS8" s="1511"/>
      <c r="AT8" s="1511"/>
      <c r="AU8" s="1511"/>
      <c r="AV8" s="1511"/>
      <c r="AW8" s="1511"/>
      <c r="AX8" s="1511"/>
      <c r="AY8" s="1511"/>
      <c r="AZ8" s="1511"/>
      <c r="BA8" s="1511"/>
      <c r="BB8" s="1511"/>
      <c r="BC8" s="1511"/>
      <c r="BD8" s="1511"/>
      <c r="BE8" s="1512"/>
      <c r="BI8" s="68" t="s">
        <v>269</v>
      </c>
      <c r="BJ8" s="717"/>
      <c r="BK8" s="717"/>
      <c r="BL8" s="717"/>
      <c r="BM8" s="717"/>
      <c r="BN8" s="717"/>
      <c r="BO8" s="717"/>
      <c r="BP8" s="717"/>
      <c r="BQ8" s="717"/>
      <c r="BR8" s="717"/>
      <c r="BS8" s="717"/>
      <c r="BT8" s="717"/>
      <c r="BU8" s="717"/>
      <c r="BV8" s="717"/>
      <c r="BX8" s="68"/>
    </row>
    <row r="9" spans="2:76" s="6" customFormat="1" ht="14.65" customHeight="1">
      <c r="B9" s="1513"/>
      <c r="C9" s="1514"/>
      <c r="D9" s="1514"/>
      <c r="E9" s="1514"/>
      <c r="F9" s="1514"/>
      <c r="G9" s="1514"/>
      <c r="H9" s="1514"/>
      <c r="I9" s="1514"/>
      <c r="J9" s="1514"/>
      <c r="K9" s="1514"/>
      <c r="L9" s="1514"/>
      <c r="M9" s="1514"/>
      <c r="N9" s="1514"/>
      <c r="O9" s="1514"/>
      <c r="P9" s="1514"/>
      <c r="Q9" s="1514"/>
      <c r="R9" s="1514"/>
      <c r="S9" s="1514"/>
      <c r="T9" s="1514"/>
      <c r="U9" s="1514"/>
      <c r="V9" s="1514"/>
      <c r="W9" s="1514"/>
      <c r="X9" s="1514"/>
      <c r="Y9" s="1514"/>
      <c r="Z9" s="1514"/>
      <c r="AA9" s="1514"/>
      <c r="AB9" s="1515"/>
      <c r="AE9" s="1513"/>
      <c r="AF9" s="1514"/>
      <c r="AG9" s="1514"/>
      <c r="AH9" s="1514"/>
      <c r="AI9" s="1514"/>
      <c r="AJ9" s="1514"/>
      <c r="AK9" s="1514"/>
      <c r="AL9" s="1514"/>
      <c r="AM9" s="1514"/>
      <c r="AN9" s="1514"/>
      <c r="AO9" s="1514"/>
      <c r="AP9" s="1514"/>
      <c r="AQ9" s="1514"/>
      <c r="AR9" s="1514"/>
      <c r="AS9" s="1514"/>
      <c r="AT9" s="1514"/>
      <c r="AU9" s="1514"/>
      <c r="AV9" s="1514"/>
      <c r="AW9" s="1514"/>
      <c r="AX9" s="1514"/>
      <c r="AY9" s="1514"/>
      <c r="AZ9" s="1514"/>
      <c r="BA9" s="1514"/>
      <c r="BB9" s="1514"/>
      <c r="BC9" s="1514"/>
      <c r="BD9" s="1514"/>
      <c r="BE9" s="1515"/>
      <c r="BI9" s="68" t="s">
        <v>270</v>
      </c>
      <c r="BJ9" s="717"/>
      <c r="BK9" s="717"/>
      <c r="BL9" s="717"/>
      <c r="BM9" s="717"/>
      <c r="BN9" s="717"/>
      <c r="BO9" s="717"/>
      <c r="BP9" s="717"/>
      <c r="BQ9" s="717"/>
      <c r="BR9" s="717"/>
      <c r="BS9" s="717"/>
      <c r="BT9" s="717"/>
      <c r="BU9" s="717"/>
      <c r="BV9" s="717"/>
      <c r="BX9" s="68"/>
    </row>
    <row r="10" spans="2:76" s="6" customFormat="1" ht="14.65" customHeight="1">
      <c r="B10" s="1513"/>
      <c r="C10" s="1514"/>
      <c r="D10" s="1514"/>
      <c r="E10" s="1514"/>
      <c r="F10" s="1514"/>
      <c r="G10" s="1514"/>
      <c r="H10" s="1514"/>
      <c r="I10" s="1514"/>
      <c r="J10" s="1514"/>
      <c r="K10" s="1514"/>
      <c r="L10" s="1514"/>
      <c r="M10" s="1514"/>
      <c r="N10" s="1514"/>
      <c r="O10" s="1514"/>
      <c r="P10" s="1514"/>
      <c r="Q10" s="1514"/>
      <c r="R10" s="1514"/>
      <c r="S10" s="1514"/>
      <c r="T10" s="1514"/>
      <c r="U10" s="1514"/>
      <c r="V10" s="1514"/>
      <c r="W10" s="1514"/>
      <c r="X10" s="1514"/>
      <c r="Y10" s="1514"/>
      <c r="Z10" s="1514"/>
      <c r="AA10" s="1514"/>
      <c r="AB10" s="1515"/>
      <c r="AE10" s="1513"/>
      <c r="AF10" s="1514"/>
      <c r="AG10" s="1514"/>
      <c r="AH10" s="1514"/>
      <c r="AI10" s="1514"/>
      <c r="AJ10" s="1514"/>
      <c r="AK10" s="1514"/>
      <c r="AL10" s="1514"/>
      <c r="AM10" s="1514"/>
      <c r="AN10" s="1514"/>
      <c r="AO10" s="1514"/>
      <c r="AP10" s="1514"/>
      <c r="AQ10" s="1514"/>
      <c r="AR10" s="1514"/>
      <c r="AS10" s="1514"/>
      <c r="AT10" s="1514"/>
      <c r="AU10" s="1514"/>
      <c r="AV10" s="1514"/>
      <c r="AW10" s="1514"/>
      <c r="AX10" s="1514"/>
      <c r="AY10" s="1514"/>
      <c r="AZ10" s="1514"/>
      <c r="BA10" s="1514"/>
      <c r="BB10" s="1514"/>
      <c r="BC10" s="1514"/>
      <c r="BD10" s="1514"/>
      <c r="BE10" s="1515"/>
      <c r="BI10" s="68" t="s">
        <v>271</v>
      </c>
      <c r="BJ10" s="717"/>
      <c r="BK10" s="717"/>
      <c r="BL10" s="717"/>
      <c r="BM10" s="717"/>
      <c r="BN10" s="717"/>
      <c r="BO10" s="717"/>
      <c r="BP10" s="717"/>
      <c r="BQ10" s="717"/>
      <c r="BR10" s="717"/>
      <c r="BS10" s="717"/>
      <c r="BT10" s="717"/>
      <c r="BU10" s="717"/>
      <c r="BV10" s="717"/>
      <c r="BX10" s="68"/>
    </row>
    <row r="11" spans="2:76" s="6" customFormat="1" ht="14.65" customHeight="1">
      <c r="B11" s="1516"/>
      <c r="C11" s="1517"/>
      <c r="D11" s="1517"/>
      <c r="E11" s="1517"/>
      <c r="F11" s="1517"/>
      <c r="G11" s="1517"/>
      <c r="H11" s="1517"/>
      <c r="I11" s="1517"/>
      <c r="J11" s="1517"/>
      <c r="K11" s="1517"/>
      <c r="L11" s="1517"/>
      <c r="M11" s="1517"/>
      <c r="N11" s="1517"/>
      <c r="O11" s="1517"/>
      <c r="P11" s="1517"/>
      <c r="Q11" s="1517"/>
      <c r="R11" s="1517"/>
      <c r="S11" s="1517"/>
      <c r="T11" s="1517"/>
      <c r="U11" s="1517"/>
      <c r="V11" s="1517"/>
      <c r="W11" s="1517"/>
      <c r="X11" s="1517"/>
      <c r="Y11" s="1517"/>
      <c r="Z11" s="1517"/>
      <c r="AA11" s="1517"/>
      <c r="AB11" s="1518"/>
      <c r="AE11" s="1516"/>
      <c r="AF11" s="1517"/>
      <c r="AG11" s="1517"/>
      <c r="AH11" s="1517"/>
      <c r="AI11" s="1517"/>
      <c r="AJ11" s="1517"/>
      <c r="AK11" s="1517"/>
      <c r="AL11" s="1517"/>
      <c r="AM11" s="1517"/>
      <c r="AN11" s="1517"/>
      <c r="AO11" s="1517"/>
      <c r="AP11" s="1517"/>
      <c r="AQ11" s="1517"/>
      <c r="AR11" s="1517"/>
      <c r="AS11" s="1517"/>
      <c r="AT11" s="1517"/>
      <c r="AU11" s="1517"/>
      <c r="AV11" s="1517"/>
      <c r="AW11" s="1517"/>
      <c r="AX11" s="1517"/>
      <c r="AY11" s="1517"/>
      <c r="AZ11" s="1517"/>
      <c r="BA11" s="1517"/>
      <c r="BB11" s="1517"/>
      <c r="BC11" s="1517"/>
      <c r="BD11" s="1517"/>
      <c r="BE11" s="1518"/>
      <c r="BI11" s="68" t="s">
        <v>272</v>
      </c>
      <c r="BJ11" s="717"/>
      <c r="BK11" s="717"/>
      <c r="BL11" s="717"/>
      <c r="BM11" s="717"/>
      <c r="BN11" s="717"/>
      <c r="BO11" s="717"/>
      <c r="BP11" s="717"/>
      <c r="BQ11" s="717"/>
      <c r="BR11" s="717"/>
      <c r="BS11" s="717"/>
      <c r="BT11" s="717"/>
      <c r="BU11" s="717"/>
      <c r="BV11" s="717"/>
      <c r="BX11" s="68"/>
    </row>
    <row r="12" spans="2:76" s="6" customFormat="1" ht="14.65" customHeight="1">
      <c r="BI12" s="68" t="s">
        <v>273</v>
      </c>
      <c r="BJ12" s="717"/>
      <c r="BK12" s="717"/>
      <c r="BL12" s="717"/>
      <c r="BM12" s="717"/>
      <c r="BN12" s="717"/>
      <c r="BO12" s="717"/>
      <c r="BP12" s="717"/>
      <c r="BQ12" s="717"/>
      <c r="BR12" s="717"/>
      <c r="BS12" s="717"/>
      <c r="BT12" s="717"/>
      <c r="BU12" s="717"/>
      <c r="BV12" s="717"/>
      <c r="BX12" s="68"/>
    </row>
    <row r="13" spans="2:76" s="6" customFormat="1" ht="14.65" customHeight="1">
      <c r="B13" s="45" t="s">
        <v>14</v>
      </c>
      <c r="C13" s="46"/>
      <c r="D13" s="46"/>
      <c r="E13" s="46"/>
      <c r="F13" s="11"/>
      <c r="G13" s="11"/>
      <c r="H13" s="11"/>
      <c r="I13" s="11"/>
      <c r="J13" s="11"/>
      <c r="K13" s="11"/>
      <c r="L13" s="11"/>
      <c r="M13" s="11"/>
      <c r="N13" s="11"/>
      <c r="O13" s="11"/>
      <c r="P13" s="11"/>
      <c r="Q13" s="11"/>
      <c r="R13" s="11"/>
      <c r="S13" s="11"/>
      <c r="T13" s="11"/>
      <c r="U13" s="11"/>
      <c r="V13" s="11"/>
      <c r="W13" s="11"/>
      <c r="X13" s="11"/>
      <c r="Y13" s="11"/>
      <c r="Z13" s="11"/>
      <c r="AA13" s="11"/>
      <c r="AB13" s="11"/>
      <c r="AE13" s="60" t="s">
        <v>59</v>
      </c>
      <c r="AF13" s="61"/>
      <c r="AG13" s="62"/>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I13" s="68" t="s">
        <v>274</v>
      </c>
      <c r="BJ13" s="717"/>
      <c r="BK13" s="717"/>
      <c r="BL13" s="717"/>
      <c r="BM13" s="717"/>
      <c r="BN13" s="717"/>
      <c r="BO13" s="717"/>
      <c r="BP13" s="717"/>
      <c r="BQ13" s="717"/>
      <c r="BR13" s="717"/>
      <c r="BS13" s="717"/>
      <c r="BT13" s="717"/>
      <c r="BU13" s="717"/>
      <c r="BV13" s="717"/>
      <c r="BX13" s="68"/>
    </row>
    <row r="14" spans="2:76" s="6" customFormat="1" ht="14.65" customHeight="1">
      <c r="B14" s="64"/>
      <c r="C14" s="64"/>
      <c r="D14" s="64"/>
      <c r="E14" s="64"/>
      <c r="F14" s="64"/>
      <c r="G14" s="64"/>
      <c r="H14" s="64"/>
      <c r="I14" s="67"/>
      <c r="J14" s="67"/>
      <c r="K14" s="88"/>
      <c r="L14" s="64"/>
      <c r="M14" s="64"/>
      <c r="N14" s="65"/>
      <c r="O14" s="64"/>
      <c r="P14" s="64"/>
      <c r="Q14" s="64"/>
      <c r="R14" s="64"/>
      <c r="S14" s="64"/>
      <c r="T14" s="64"/>
      <c r="U14" s="64"/>
      <c r="V14" s="1529"/>
      <c r="W14" s="1529"/>
      <c r="X14" s="64"/>
      <c r="Y14" s="64"/>
      <c r="Z14" s="64"/>
      <c r="AA14" s="64"/>
      <c r="AB14" s="64"/>
      <c r="AE14" s="89"/>
      <c r="AF14" s="64"/>
      <c r="AG14" s="64"/>
      <c r="AH14" s="64"/>
      <c r="AI14" s="64"/>
      <c r="AJ14" s="64"/>
      <c r="AK14" s="90"/>
      <c r="AL14" s="90"/>
      <c r="AM14" s="90"/>
      <c r="AN14" s="90"/>
      <c r="AO14" s="91"/>
      <c r="AP14" s="92"/>
      <c r="AQ14" s="92"/>
      <c r="AR14" s="92"/>
      <c r="AS14" s="90"/>
      <c r="AT14" s="91"/>
      <c r="AU14" s="90"/>
      <c r="AV14" s="90"/>
      <c r="AW14" s="90"/>
      <c r="AX14" s="64"/>
      <c r="AY14" s="64"/>
      <c r="AZ14" s="64"/>
      <c r="BA14" s="64"/>
      <c r="BB14" s="64"/>
      <c r="BC14" s="64"/>
      <c r="BD14" s="64"/>
      <c r="BE14" s="64"/>
      <c r="BI14" s="68" t="s">
        <v>41</v>
      </c>
      <c r="BJ14" s="143">
        <f t="shared" ref="BJ14:BV14" si="1">SUM(BJ6:BJ13)</f>
        <v>14</v>
      </c>
      <c r="BK14" s="143">
        <f t="shared" si="1"/>
        <v>14</v>
      </c>
      <c r="BL14" s="143">
        <f t="shared" si="1"/>
        <v>14</v>
      </c>
      <c r="BM14" s="143">
        <f t="shared" si="1"/>
        <v>14</v>
      </c>
      <c r="BN14" s="143">
        <f t="shared" si="1"/>
        <v>14</v>
      </c>
      <c r="BO14" s="143">
        <f t="shared" si="1"/>
        <v>14</v>
      </c>
      <c r="BP14" s="143">
        <f t="shared" si="1"/>
        <v>14</v>
      </c>
      <c r="BQ14" s="143">
        <f t="shared" si="1"/>
        <v>14</v>
      </c>
      <c r="BR14" s="143">
        <f t="shared" si="1"/>
        <v>14</v>
      </c>
      <c r="BS14" s="143">
        <f t="shared" si="1"/>
        <v>14</v>
      </c>
      <c r="BT14" s="143">
        <f t="shared" si="1"/>
        <v>14</v>
      </c>
      <c r="BU14" s="143">
        <f t="shared" si="1"/>
        <v>14</v>
      </c>
      <c r="BV14" s="143">
        <f t="shared" si="1"/>
        <v>14</v>
      </c>
      <c r="BX14" s="68"/>
    </row>
    <row r="15" spans="2:76" s="6" customFormat="1" ht="14.65" customHeight="1">
      <c r="B15" s="1519" t="s">
        <v>185</v>
      </c>
      <c r="C15" s="1519"/>
      <c r="D15" s="1519"/>
      <c r="E15" s="1519"/>
      <c r="F15" s="1519"/>
      <c r="G15" s="1519"/>
      <c r="I15" s="1519" t="s">
        <v>275</v>
      </c>
      <c r="J15" s="1531"/>
      <c r="K15" s="1531"/>
      <c r="L15" s="1531"/>
      <c r="M15" s="1531"/>
      <c r="N15" s="1531"/>
      <c r="O15" s="1531"/>
      <c r="P15" s="1531"/>
      <c r="Q15" s="1531"/>
      <c r="R15" s="1531"/>
      <c r="S15" s="1531"/>
      <c r="T15" s="1531"/>
      <c r="U15" s="1531"/>
      <c r="V15" s="1531"/>
      <c r="W15" s="172"/>
      <c r="X15" s="1532" t="s">
        <v>360</v>
      </c>
      <c r="Y15" s="1136"/>
      <c r="Z15" s="1136"/>
      <c r="AA15" s="1136"/>
      <c r="AB15" s="1136"/>
      <c r="AE15" s="1519" t="s">
        <v>277</v>
      </c>
      <c r="AF15" s="1519"/>
      <c r="AG15" s="1519"/>
      <c r="AH15" s="1519"/>
      <c r="AI15" s="1519"/>
      <c r="AJ15" s="1519"/>
      <c r="AK15" s="68"/>
      <c r="AL15" s="1129" t="s">
        <v>62</v>
      </c>
      <c r="AM15" s="1129"/>
      <c r="AN15" s="1129"/>
      <c r="AO15" s="1129"/>
      <c r="AP15" s="1519" t="str">
        <f>CONCATENATE(Cover!M36,"+",12-Cover!M36)</f>
        <v>1+11</v>
      </c>
      <c r="AQ15" s="1519"/>
      <c r="AR15" s="68"/>
      <c r="AS15" s="1519" t="s">
        <v>278</v>
      </c>
      <c r="AT15" s="1519"/>
      <c r="AU15" s="1519"/>
      <c r="AV15" s="1519"/>
      <c r="AW15" s="1519"/>
      <c r="AX15" s="1519"/>
      <c r="AY15" s="68"/>
      <c r="AZ15" s="1519" t="s">
        <v>279</v>
      </c>
      <c r="BA15" s="1519"/>
      <c r="BB15" s="1519"/>
      <c r="BC15" s="1519"/>
      <c r="BD15" s="1519"/>
      <c r="BE15" s="1519"/>
      <c r="BI15"/>
      <c r="BJ15"/>
      <c r="BK15"/>
      <c r="BL15"/>
      <c r="BM15"/>
      <c r="BN15"/>
      <c r="BO15"/>
      <c r="BP15"/>
      <c r="BQ15"/>
      <c r="BR15"/>
      <c r="BS15"/>
      <c r="BT15"/>
      <c r="BU15"/>
    </row>
    <row r="16" spans="2:76" s="6" customFormat="1" ht="14.65" customHeight="1">
      <c r="E16" s="78" t="s">
        <v>263</v>
      </c>
      <c r="G16" s="77">
        <f>SUMIF(BJ4:BV4,BE5,BJ6:BV6)</f>
        <v>0</v>
      </c>
      <c r="I16" s="1522" t="s">
        <v>280</v>
      </c>
      <c r="J16" s="1523"/>
      <c r="K16" s="1523"/>
      <c r="L16" s="1524"/>
      <c r="N16" s="1522" t="s">
        <v>281</v>
      </c>
      <c r="O16" s="1523"/>
      <c r="P16" s="1523"/>
      <c r="Q16" s="1524"/>
      <c r="S16" s="1522" t="s">
        <v>282</v>
      </c>
      <c r="T16" s="1523"/>
      <c r="U16" s="1523"/>
      <c r="V16" s="1524"/>
      <c r="X16" s="183" t="s">
        <v>361</v>
      </c>
      <c r="Y16" s="235"/>
      <c r="Z16" s="236"/>
      <c r="AA16" s="183"/>
      <c r="AB16" s="183"/>
      <c r="AE16" s="68"/>
      <c r="AF16" s="68"/>
      <c r="AG16" s="68"/>
      <c r="AI16" s="68"/>
      <c r="AJ16" s="103" t="s">
        <v>61</v>
      </c>
      <c r="AK16" s="68"/>
      <c r="AL16" s="68"/>
      <c r="AM16" s="68"/>
      <c r="AN16" s="68"/>
      <c r="AO16" s="68"/>
      <c r="AP16" s="68"/>
      <c r="AQ16" s="68"/>
      <c r="AR16" s="68"/>
      <c r="AS16" s="68"/>
      <c r="AT16" s="68"/>
      <c r="AU16" s="68"/>
      <c r="AV16" s="68"/>
      <c r="AW16" s="68"/>
      <c r="AX16" s="68"/>
      <c r="AY16" s="68"/>
      <c r="AZ16" s="68"/>
      <c r="BA16" s="68"/>
      <c r="BB16" s="68"/>
      <c r="BC16" s="68"/>
      <c r="BD16" s="68"/>
      <c r="BE16" s="68"/>
      <c r="BI16" s="68" t="s">
        <v>284</v>
      </c>
      <c r="BJ16" s="719"/>
      <c r="BK16" s="719">
        <v>6</v>
      </c>
      <c r="BL16" s="719"/>
      <c r="BM16" s="719"/>
      <c r="BN16" s="719"/>
      <c r="BO16" s="719"/>
      <c r="BP16" s="719"/>
      <c r="BQ16" s="719"/>
      <c r="BR16" s="719"/>
      <c r="BS16" s="719"/>
      <c r="BT16" s="719"/>
      <c r="BU16" s="719"/>
      <c r="BV16" s="719"/>
    </row>
    <row r="17" spans="2:81" s="6" customFormat="1" ht="14.65" customHeight="1">
      <c r="E17" s="78" t="s">
        <v>285</v>
      </c>
      <c r="G17" s="77">
        <f>V20</f>
        <v>0</v>
      </c>
      <c r="I17" s="79"/>
      <c r="J17" s="78" t="s">
        <v>266</v>
      </c>
      <c r="K17" s="77">
        <f>SUMIF(BJ4:BV4,BE5,BJ7:BV7)</f>
        <v>0</v>
      </c>
      <c r="L17" s="80"/>
      <c r="N17" s="79"/>
      <c r="O17" s="78" t="s">
        <v>286</v>
      </c>
      <c r="P17" s="77">
        <f>SUMIF(BJ4:BV4,BE5,BJ9:BV9)</f>
        <v>0</v>
      </c>
      <c r="Q17" s="80"/>
      <c r="S17" s="79"/>
      <c r="T17" s="78" t="s">
        <v>286</v>
      </c>
      <c r="U17" s="77">
        <f>SUMIF(BJ4:BV4,BE5,BJ11:BV11)</f>
        <v>0</v>
      </c>
      <c r="V17" s="85"/>
      <c r="X17" s="183" t="s">
        <v>287</v>
      </c>
      <c r="Y17" s="235"/>
      <c r="Z17" s="236"/>
      <c r="AA17" s="183">
        <f>SUMIF(Admin4!$B$5:$B$298,"18803",Admin4!$C$5:$C$298)</f>
        <v>0</v>
      </c>
      <c r="AB17" s="183"/>
      <c r="AE17" s="68"/>
      <c r="AF17" s="68"/>
      <c r="AG17" s="68"/>
      <c r="AI17" s="68"/>
      <c r="AJ17" s="97" t="s">
        <v>63</v>
      </c>
      <c r="AK17" s="68"/>
      <c r="AL17" s="68"/>
      <c r="AM17" s="68"/>
      <c r="AN17" s="1530" t="e">
        <f>SUMIF(Admin3!C8:O8,BE5,Admin3!#REF!)</f>
        <v>#REF!</v>
      </c>
      <c r="AO17" s="1530"/>
      <c r="AP17" s="1530"/>
      <c r="AQ17" s="1530"/>
      <c r="AR17" s="68"/>
      <c r="AS17" s="68"/>
      <c r="AT17" s="68"/>
      <c r="AU17" s="1530" t="e">
        <f>SUMIF(Admin3!C8:O8,BE5,Admin3!#REF!)-SUMIF(Admin3!C8:O8,BE5,Admin3!#REF!)</f>
        <v>#REF!</v>
      </c>
      <c r="AV17" s="1530"/>
      <c r="AW17" s="1530"/>
      <c r="AX17" s="1530"/>
      <c r="AY17" s="68"/>
      <c r="AZ17" s="68"/>
      <c r="BA17" s="68"/>
      <c r="BB17" s="1530" t="e">
        <f>SUMIF(Admin3!C8:O8,BE5,Admin3!#REF!)-SUMIF(Admin3!C8:O8,BE5,Admin3!#REF!)</f>
        <v>#REF!</v>
      </c>
      <c r="BC17" s="1530"/>
      <c r="BD17" s="1530"/>
      <c r="BE17" s="1530"/>
      <c r="BI17"/>
      <c r="BJ17"/>
      <c r="BK17"/>
      <c r="BL17"/>
      <c r="BM17"/>
      <c r="BN17"/>
      <c r="BO17"/>
      <c r="BP17"/>
      <c r="BQ17"/>
      <c r="BR17"/>
      <c r="BS17"/>
      <c r="BT17"/>
      <c r="BU17"/>
      <c r="BV17"/>
    </row>
    <row r="18" spans="2:81" s="6" customFormat="1" ht="14.65" customHeight="1">
      <c r="E18" s="78" t="s">
        <v>240</v>
      </c>
      <c r="G18" s="77">
        <f>SUMIF(BJ4:BV4,BE5,BJ13:BV13)</f>
        <v>0</v>
      </c>
      <c r="I18" s="81"/>
      <c r="J18" s="82" t="s">
        <v>288</v>
      </c>
      <c r="K18" s="83">
        <f>SUMIF(BJ4:BV4,BE5,BJ8:BV8)</f>
        <v>0</v>
      </c>
      <c r="L18" s="84"/>
      <c r="N18" s="81"/>
      <c r="O18" s="82" t="s">
        <v>289</v>
      </c>
      <c r="P18" s="83">
        <f>SUMIF(BJ4:BV4,BE5,BJ10:BV10)</f>
        <v>0</v>
      </c>
      <c r="Q18" s="84"/>
      <c r="S18" s="81"/>
      <c r="T18" s="82" t="s">
        <v>289</v>
      </c>
      <c r="U18" s="83">
        <f>SUMIF(BJ4:BV4,BE5,BJ12:BV12)</f>
        <v>0</v>
      </c>
      <c r="V18" s="86"/>
      <c r="X18" s="183"/>
      <c r="Y18" s="235"/>
      <c r="Z18" s="236"/>
      <c r="AA18" s="183"/>
      <c r="AB18" s="183"/>
      <c r="AE18" s="68"/>
      <c r="AF18" s="68"/>
      <c r="AG18" s="68"/>
      <c r="AH18" s="68"/>
      <c r="AI18" s="94"/>
      <c r="AJ18" s="97" t="s">
        <v>64</v>
      </c>
      <c r="AK18" s="68"/>
      <c r="AL18" s="68"/>
      <c r="AM18" s="68"/>
      <c r="AN18" s="1530" t="e">
        <f>SUMIF(Admin3!C8:O8,BE5,Admin3!#REF!)</f>
        <v>#REF!</v>
      </c>
      <c r="AO18" s="1530"/>
      <c r="AP18" s="1530"/>
      <c r="AQ18" s="1530"/>
      <c r="AR18" s="68"/>
      <c r="AS18" s="68"/>
      <c r="AT18" s="68"/>
      <c r="AU18" s="1530" t="e">
        <f>SUMIF(Admin3!C8:O8,BE5,Admin3!#REF!)-SUMIF(Admin3!C8:O8,BE5,Admin3!#REF!)</f>
        <v>#REF!</v>
      </c>
      <c r="AV18" s="1530"/>
      <c r="AW18" s="1530"/>
      <c r="AX18" s="1530"/>
      <c r="AY18" s="68"/>
      <c r="AZ18" s="68"/>
      <c r="BA18" s="68"/>
      <c r="BB18" s="1530" t="e">
        <f>SUMIF(Admin3!C8:O8,BE5,Admin3!#REF!)-SUMIF(Admin3!C8:O8,BE5,Admin3!#REF!)</f>
        <v>#REF!</v>
      </c>
      <c r="BC18" s="1530"/>
      <c r="BD18" s="1530"/>
      <c r="BE18" s="1530"/>
      <c r="BI18"/>
      <c r="BJ18"/>
      <c r="BK18"/>
      <c r="BL18"/>
      <c r="BM18"/>
      <c r="BN18"/>
      <c r="BO18"/>
      <c r="BP18"/>
      <c r="BQ18"/>
      <c r="BR18"/>
      <c r="BS18"/>
      <c r="BT18"/>
      <c r="BU18"/>
      <c r="BV18"/>
    </row>
    <row r="19" spans="2:81" s="6" customFormat="1" ht="14.65" customHeight="1" thickBot="1">
      <c r="E19" s="78" t="s">
        <v>41</v>
      </c>
      <c r="G19" s="93">
        <f>SUM(G16:G18)</f>
        <v>0</v>
      </c>
      <c r="I19" s="94"/>
      <c r="J19" s="94"/>
      <c r="K19" s="94"/>
      <c r="L19" s="94"/>
      <c r="M19" s="94"/>
      <c r="N19" s="94"/>
      <c r="O19" s="94"/>
      <c r="P19" s="94"/>
      <c r="Q19" s="94"/>
      <c r="R19" s="94"/>
      <c r="S19" s="94"/>
      <c r="T19" s="94"/>
      <c r="U19" s="94"/>
      <c r="V19" s="94"/>
      <c r="W19" s="94"/>
      <c r="X19" s="183" t="s">
        <v>290</v>
      </c>
      <c r="Y19" s="235"/>
      <c r="Z19" s="236"/>
      <c r="AA19" s="237"/>
      <c r="AB19" s="237"/>
      <c r="AE19" s="68"/>
      <c r="AF19" s="68"/>
      <c r="AG19" s="68"/>
      <c r="AH19" s="68"/>
      <c r="AJ19" s="97" t="s">
        <v>65</v>
      </c>
      <c r="AN19" s="1533" t="e">
        <f>SUM(AN17:AQ18)</f>
        <v>#REF!</v>
      </c>
      <c r="AO19" s="1533"/>
      <c r="AP19" s="1533"/>
      <c r="AQ19" s="1533"/>
      <c r="AU19" s="1533" t="e">
        <f>SUM(AU17:AX18)</f>
        <v>#REF!</v>
      </c>
      <c r="AV19" s="1533"/>
      <c r="AW19" s="1533"/>
      <c r="AX19" s="1533"/>
      <c r="BB19" s="1533" t="e">
        <f>SUM(BB17:BE18)</f>
        <v>#REF!</v>
      </c>
      <c r="BC19" s="1533"/>
      <c r="BD19" s="1533"/>
      <c r="BE19" s="1533"/>
      <c r="BI19"/>
      <c r="BJ19"/>
      <c r="BK19"/>
      <c r="BL19"/>
      <c r="BM19"/>
      <c r="BN19"/>
      <c r="BO19"/>
      <c r="BP19"/>
      <c r="BQ19"/>
      <c r="BR19"/>
      <c r="BS19"/>
      <c r="BT19"/>
      <c r="BU19"/>
      <c r="BV19"/>
    </row>
    <row r="20" spans="2:81" s="6" customFormat="1" ht="14.65" customHeight="1" thickTop="1" thickBot="1">
      <c r="B20" s="44"/>
      <c r="C20" s="44"/>
      <c r="D20" s="44"/>
      <c r="E20" s="78" t="s">
        <v>39</v>
      </c>
      <c r="G20" s="77">
        <f t="array" ref="G20">SUM(IF((Admin2!$C$6:$O$6=BE5)*(Admin2!$Q$9:$Q$83=BI2)*(Admin2!$B$9:$B$83="Annual Plan"),Admin2!$C$9:$O$83,0))</f>
        <v>0</v>
      </c>
      <c r="H20" s="94"/>
      <c r="I20" s="6" t="s">
        <v>284</v>
      </c>
      <c r="K20" s="94"/>
      <c r="L20" s="94"/>
      <c r="M20" s="144">
        <f>SUMIF(BJ4:BV4,BE5,BJ16:BV16)</f>
        <v>0</v>
      </c>
      <c r="T20" s="145" t="s">
        <v>291</v>
      </c>
      <c r="U20" s="94"/>
      <c r="V20" s="144">
        <f>SUM(K17:K18,P17:P18,U17:U18)</f>
        <v>0</v>
      </c>
      <c r="X20" s="183" t="s">
        <v>287</v>
      </c>
      <c r="Y20" s="235"/>
      <c r="Z20" s="236"/>
      <c r="AA20" s="183">
        <f>SUMIF(Admin4!$B$5:$B$298,"18803",Admin4!$D$5:$D$298)</f>
        <v>0</v>
      </c>
      <c r="AB20" s="183"/>
      <c r="AC20" s="94"/>
      <c r="AD20" s="94"/>
      <c r="AE20" s="65"/>
      <c r="AF20" s="65"/>
      <c r="AG20" s="65"/>
      <c r="AH20" s="65"/>
      <c r="BI20" s="4" t="s">
        <v>245</v>
      </c>
      <c r="BJ20" s="3"/>
      <c r="BK20" s="3"/>
      <c r="BL20" s="3"/>
      <c r="BM20" s="3"/>
      <c r="BN20" s="3"/>
      <c r="BO20" s="3"/>
      <c r="BP20" s="3"/>
      <c r="BQ20" s="3"/>
      <c r="BR20" s="3"/>
      <c r="BS20" s="3"/>
      <c r="BT20" s="3"/>
      <c r="BU20" s="3"/>
      <c r="BV20"/>
    </row>
    <row r="21" spans="2:81" s="6" customFormat="1" ht="14.65" customHeight="1" thickTop="1" thickBot="1">
      <c r="B21" s="44"/>
      <c r="C21" s="44"/>
      <c r="D21" s="44"/>
      <c r="E21" s="78" t="s">
        <v>40</v>
      </c>
      <c r="F21" s="94"/>
      <c r="G21" s="93">
        <f t="array" ref="G21">SUM(IF((Admin2!$C$6:$O$6=BE5)*(Admin2!$Q$9:$Q$83=BI2)*(Admin2!$B$9:$B$83="Forecast"),Admin2!$C$9:$O$83,0))</f>
        <v>0</v>
      </c>
      <c r="H21" s="94"/>
      <c r="X21" s="183"/>
      <c r="Y21" s="235"/>
      <c r="Z21" s="236"/>
      <c r="AA21" s="183"/>
      <c r="AB21" s="183"/>
      <c r="AE21" s="64"/>
      <c r="AF21" s="64"/>
      <c r="AG21" s="64"/>
      <c r="AH21" s="64"/>
      <c r="AI21" s="68"/>
      <c r="AJ21" s="103" t="s">
        <v>23</v>
      </c>
      <c r="AK21" s="68"/>
      <c r="AL21" s="68"/>
      <c r="AM21" s="68"/>
      <c r="AN21" s="68"/>
      <c r="AO21" s="68"/>
      <c r="AP21" s="68"/>
      <c r="AQ21" s="68"/>
      <c r="AR21" s="68"/>
      <c r="AS21" s="68"/>
      <c r="AT21" s="68"/>
      <c r="AU21" s="68"/>
      <c r="AV21" s="68"/>
      <c r="AW21" s="68"/>
      <c r="AX21" s="68"/>
      <c r="AY21" s="68"/>
      <c r="AZ21" s="68"/>
      <c r="BA21" s="68"/>
      <c r="BB21" s="68"/>
      <c r="BC21" s="68"/>
      <c r="BD21" s="68"/>
      <c r="BE21" s="68"/>
      <c r="BI21" s="1" t="s">
        <v>292</v>
      </c>
      <c r="BJ21" s="1526"/>
      <c r="BK21" s="1526"/>
      <c r="BL21" s="1526"/>
      <c r="BM21" s="1526"/>
      <c r="BN21" s="1526"/>
      <c r="BO21" s="1526"/>
      <c r="BP21" s="1526"/>
      <c r="BQ21" s="1526"/>
      <c r="BR21" s="1526"/>
      <c r="BS21" s="1526"/>
      <c r="BT21" s="1526"/>
      <c r="BU21" s="1526"/>
      <c r="BV21"/>
    </row>
    <row r="22" spans="2:81" s="6" customFormat="1" ht="14.65" customHeight="1" thickTop="1" thickBot="1">
      <c r="B22" s="44"/>
      <c r="C22" s="44"/>
      <c r="D22" s="44"/>
      <c r="E22" s="78" t="s">
        <v>294</v>
      </c>
      <c r="F22" s="94"/>
      <c r="G22" s="93">
        <f>$G$20-$G$19</f>
        <v>0</v>
      </c>
      <c r="H22" s="94"/>
      <c r="I22" s="236"/>
      <c r="J22" s="236"/>
      <c r="K22" s="236"/>
      <c r="L22" s="236"/>
      <c r="M22" s="236"/>
      <c r="N22" s="236"/>
      <c r="O22" s="236"/>
      <c r="P22" s="236"/>
      <c r="Q22" s="236"/>
      <c r="R22" s="236"/>
      <c r="S22" s="236"/>
      <c r="T22" s="236"/>
      <c r="U22" s="236"/>
      <c r="V22" s="236"/>
      <c r="W22" s="94"/>
      <c r="X22" s="183" t="s">
        <v>295</v>
      </c>
      <c r="Y22" s="235"/>
      <c r="Z22" s="236"/>
      <c r="AA22" s="237"/>
      <c r="AB22" s="238"/>
      <c r="AE22" s="64"/>
      <c r="AF22" s="64"/>
      <c r="AG22" s="64"/>
      <c r="AH22" s="64"/>
      <c r="AI22" s="68"/>
      <c r="AJ22" s="97" t="s">
        <v>63</v>
      </c>
      <c r="AK22" s="68"/>
      <c r="AL22" s="68"/>
      <c r="AM22" s="68"/>
      <c r="AN22" s="1530" t="e">
        <f>SUMIF(Admin3!C8:O8,BE5,Admin3!#REF!)</f>
        <v>#REF!</v>
      </c>
      <c r="AO22" s="1530"/>
      <c r="AP22" s="1530"/>
      <c r="AQ22" s="1530"/>
      <c r="AR22" s="68"/>
      <c r="AS22" s="68"/>
      <c r="AT22" s="68"/>
      <c r="AU22" s="1530" t="e">
        <f>SUMIF(Admin3!C8:O8,BE5,Admin3!#REF!)-SUMIF(Admin3!C8:O8,BE5,Admin3!#REF!)</f>
        <v>#REF!</v>
      </c>
      <c r="AV22" s="1530"/>
      <c r="AW22" s="1530"/>
      <c r="AX22" s="1530"/>
      <c r="AY22" s="68"/>
      <c r="AZ22" s="68"/>
      <c r="BA22" s="68"/>
      <c r="BB22" s="1530" t="e">
        <f>SUMIF(Admin3!C8:O8,BE5,Admin3!C628:O3550)-SUMIF(Admin3!C8:O8,BE5,Admin3!#REF!)</f>
        <v>#REF!</v>
      </c>
      <c r="BC22" s="1530"/>
      <c r="BD22" s="1530"/>
      <c r="BE22" s="1530"/>
      <c r="BI22" s="54" t="s">
        <v>296</v>
      </c>
      <c r="BJ22" s="1527"/>
      <c r="BK22" s="1527"/>
      <c r="BL22" s="1527"/>
      <c r="BM22" s="1527"/>
      <c r="BN22" s="1527"/>
      <c r="BO22" s="1527"/>
      <c r="BP22" s="1527"/>
      <c r="BQ22" s="1527"/>
      <c r="BR22" s="1527"/>
      <c r="BS22" s="1527"/>
      <c r="BT22" s="1527"/>
      <c r="BU22" s="1527"/>
      <c r="BV22"/>
    </row>
    <row r="23" spans="2:81" s="6" customFormat="1" ht="14.65" customHeight="1" thickTop="1" thickBot="1">
      <c r="B23" s="44"/>
      <c r="C23" s="44"/>
      <c r="D23" s="44"/>
      <c r="E23" s="78" t="s">
        <v>298</v>
      </c>
      <c r="F23" s="94"/>
      <c r="G23" s="93">
        <f>$G$21-$G$19</f>
        <v>0</v>
      </c>
      <c r="H23" s="94"/>
      <c r="I23" s="236"/>
      <c r="J23" s="236"/>
      <c r="K23" s="236"/>
      <c r="L23" s="236"/>
      <c r="M23" s="236"/>
      <c r="N23" s="236"/>
      <c r="O23" s="236"/>
      <c r="P23" s="236"/>
      <c r="Q23" s="236"/>
      <c r="R23" s="236"/>
      <c r="S23" s="236"/>
      <c r="T23" s="236"/>
      <c r="U23" s="236"/>
      <c r="V23" s="236"/>
      <c r="W23" s="94"/>
      <c r="X23" s="183" t="s">
        <v>299</v>
      </c>
      <c r="Y23" s="235"/>
      <c r="Z23" s="236"/>
      <c r="AA23" s="183">
        <f>SUMIF(Admin4!$L$5:$L$298,"18803",Admin4!$N$5:$N$298)</f>
        <v>0</v>
      </c>
      <c r="AB23" s="238"/>
      <c r="AE23" s="64"/>
      <c r="AF23" s="64"/>
      <c r="AG23" s="64"/>
      <c r="AH23" s="64"/>
      <c r="AI23" s="64"/>
      <c r="AJ23" s="97" t="s">
        <v>64</v>
      </c>
      <c r="AK23" s="68"/>
      <c r="AL23" s="68"/>
      <c r="AM23" s="68"/>
      <c r="AN23" s="1530" t="e">
        <f>SUMIF(Admin3!C8:O8,BE5,Admin3!#REF!)</f>
        <v>#REF!</v>
      </c>
      <c r="AO23" s="1530"/>
      <c r="AP23" s="1530"/>
      <c r="AQ23" s="1530"/>
      <c r="AR23" s="68"/>
      <c r="AS23" s="68"/>
      <c r="AT23" s="68"/>
      <c r="AU23" s="1530" t="e">
        <f>SUMIF(Admin3!C8:O8,BE5,Admin3!#REF!)-SUMIF(Admin3!C8:O8,BE5,Admin3!#REF!)</f>
        <v>#REF!</v>
      </c>
      <c r="AV23" s="1530"/>
      <c r="AW23" s="1530"/>
      <c r="AX23" s="1530"/>
      <c r="AY23" s="68"/>
      <c r="AZ23" s="68"/>
      <c r="BA23" s="68"/>
      <c r="BB23" s="1530" t="e">
        <f>SUMIF(Admin3!C8:O8,BE5,Admin3!#REF!)-SUMIF(Admin3!C8:O8,BE5,Admin3!#REF!)</f>
        <v>#REF!</v>
      </c>
      <c r="BC23" s="1530"/>
      <c r="BD23" s="1530"/>
      <c r="BE23" s="1530"/>
      <c r="BI23" s="1" t="s">
        <v>300</v>
      </c>
      <c r="BJ23" s="1527"/>
      <c r="BK23" s="1527"/>
      <c r="BL23" s="1527"/>
      <c r="BM23" s="1527"/>
      <c r="BN23" s="1527"/>
      <c r="BO23" s="1527"/>
      <c r="BP23" s="1527"/>
      <c r="BQ23" s="1527"/>
      <c r="BR23" s="1527"/>
      <c r="BS23" s="1527"/>
      <c r="BT23" s="1527"/>
      <c r="BU23" s="1527"/>
      <c r="BV23"/>
    </row>
    <row r="24" spans="2:81" s="6" customFormat="1" ht="14.65" customHeight="1" thickTop="1" thickBot="1">
      <c r="B24" s="44"/>
      <c r="C24" s="44"/>
      <c r="D24" s="44"/>
      <c r="E24" s="78"/>
      <c r="F24" s="94"/>
      <c r="G24" s="94"/>
      <c r="H24" s="94"/>
      <c r="I24" s="96"/>
      <c r="J24" s="96"/>
      <c r="K24" s="94"/>
      <c r="L24" s="94"/>
      <c r="U24" s="94"/>
      <c r="V24" s="94"/>
      <c r="W24" s="94"/>
      <c r="X24" s="239"/>
      <c r="Y24" s="239"/>
      <c r="Z24" s="240"/>
      <c r="AA24" s="239"/>
      <c r="AB24" s="241"/>
      <c r="AE24" s="64"/>
      <c r="AF24" s="64"/>
      <c r="AG24" s="64"/>
      <c r="AH24" s="64"/>
      <c r="AI24" s="64"/>
      <c r="AJ24" s="97" t="s">
        <v>65</v>
      </c>
      <c r="AK24" s="68"/>
      <c r="AL24" s="68"/>
      <c r="AM24" s="68"/>
      <c r="AN24" s="1533" t="e">
        <f>SUM(AN22:AQ23)</f>
        <v>#REF!</v>
      </c>
      <c r="AO24" s="1533"/>
      <c r="AP24" s="1533"/>
      <c r="AQ24" s="1533"/>
      <c r="AR24" s="68"/>
      <c r="AS24" s="68"/>
      <c r="AT24" s="68"/>
      <c r="AU24" s="1533" t="e">
        <f>SUM(AU22:AX23)</f>
        <v>#REF!</v>
      </c>
      <c r="AV24" s="1533"/>
      <c r="AW24" s="1533"/>
      <c r="AX24" s="1533"/>
      <c r="AY24" s="68"/>
      <c r="AZ24" s="68"/>
      <c r="BA24" s="68"/>
      <c r="BB24" s="1533" t="e">
        <f>SUM(BB22:BE23)</f>
        <v>#REF!</v>
      </c>
      <c r="BC24" s="1533"/>
      <c r="BD24" s="1533"/>
      <c r="BE24" s="1533"/>
      <c r="BI24" s="2"/>
      <c r="BJ24" s="2"/>
      <c r="BK24" s="2"/>
      <c r="BL24" s="1490" t="s">
        <v>487</v>
      </c>
      <c r="BM24" s="1491"/>
      <c r="BN24" s="1491"/>
      <c r="BO24" s="1491"/>
      <c r="BP24" s="1521"/>
      <c r="BQ24" s="1490" t="s">
        <v>522</v>
      </c>
      <c r="BR24" s="1491"/>
      <c r="BS24" s="1491"/>
      <c r="BT24" s="1491"/>
      <c r="BU24" s="1492"/>
      <c r="BV24"/>
      <c r="BW24" s="1490" t="s">
        <v>303</v>
      </c>
      <c r="BX24" s="1491"/>
      <c r="BY24" s="1491"/>
      <c r="BZ24" s="1491"/>
      <c r="CA24" s="1491"/>
      <c r="CB24" s="1491"/>
      <c r="CC24" s="1492"/>
    </row>
    <row r="25" spans="2:81" s="6" customFormat="1" ht="14.65" customHeight="1" thickTop="1">
      <c r="B25" s="44"/>
      <c r="C25" s="44"/>
      <c r="D25" s="44"/>
      <c r="E25" s="78"/>
      <c r="F25" s="94"/>
      <c r="G25" s="95">
        <f>G26-SUM($G$16:$G$17)</f>
        <v>0</v>
      </c>
      <c r="H25" s="94"/>
      <c r="I25" s="96" t="str">
        <f>IF(G25&lt;&gt;0,"There is a variance in reported ending EEs.","")</f>
        <v/>
      </c>
      <c r="J25" s="96"/>
      <c r="K25" s="94"/>
      <c r="L25" s="94"/>
      <c r="U25" s="94"/>
      <c r="V25" s="94"/>
      <c r="W25" s="94"/>
      <c r="X25" s="239"/>
      <c r="Y25" s="239"/>
      <c r="Z25" s="240"/>
      <c r="AA25" s="239"/>
      <c r="AB25" s="241"/>
      <c r="AE25" s="64"/>
      <c r="AF25" s="64"/>
      <c r="AG25" s="64"/>
      <c r="AH25" s="64"/>
      <c r="AI25" s="64"/>
      <c r="AJ25" s="97"/>
      <c r="AK25" s="68"/>
      <c r="AL25" s="68"/>
      <c r="AM25" s="68"/>
      <c r="AN25" s="221"/>
      <c r="AO25" s="221"/>
      <c r="AP25" s="221"/>
      <c r="AQ25" s="221"/>
      <c r="AR25" s="68"/>
      <c r="AS25" s="68"/>
      <c r="AT25" s="68"/>
      <c r="AU25" s="221"/>
      <c r="AV25" s="221"/>
      <c r="AW25" s="221"/>
      <c r="AX25" s="221"/>
      <c r="AY25" s="68"/>
      <c r="AZ25" s="68"/>
      <c r="BA25" s="68"/>
      <c r="BB25" s="221"/>
      <c r="BC25" s="221"/>
      <c r="BD25" s="221"/>
      <c r="BE25" s="221"/>
      <c r="BI25" s="720" t="s">
        <v>23</v>
      </c>
      <c r="BJ25" s="720" t="s">
        <v>37</v>
      </c>
      <c r="BK25" s="720" t="s">
        <v>304</v>
      </c>
      <c r="BL25" s="721" t="s">
        <v>305</v>
      </c>
      <c r="BM25" s="721" t="s">
        <v>306</v>
      </c>
      <c r="BN25" s="721" t="s">
        <v>488</v>
      </c>
      <c r="BO25" s="135" t="s">
        <v>489</v>
      </c>
      <c r="BP25" s="721" t="s">
        <v>490</v>
      </c>
      <c r="BQ25" s="721" t="s">
        <v>305</v>
      </c>
      <c r="BR25" s="721" t="s">
        <v>523</v>
      </c>
      <c r="BS25" s="721" t="s">
        <v>524</v>
      </c>
      <c r="BT25" s="135" t="s">
        <v>525</v>
      </c>
      <c r="BU25" s="721" t="s">
        <v>526</v>
      </c>
      <c r="BV25"/>
      <c r="BW25" s="164" t="s">
        <v>314</v>
      </c>
      <c r="BX25" s="164" t="s">
        <v>23</v>
      </c>
      <c r="BY25" s="168" t="s">
        <v>315</v>
      </c>
      <c r="BZ25" s="164" t="s">
        <v>122</v>
      </c>
      <c r="CA25" s="164" t="s">
        <v>316</v>
      </c>
      <c r="CB25" s="164" t="s">
        <v>317</v>
      </c>
      <c r="CC25" s="164" t="s">
        <v>318</v>
      </c>
    </row>
    <row r="26" spans="2:81" s="6" customFormat="1" ht="15.75" customHeight="1">
      <c r="B26" s="44"/>
      <c r="C26" s="44"/>
      <c r="D26" s="44"/>
      <c r="E26" s="78"/>
      <c r="F26" s="94"/>
      <c r="G26" s="95">
        <f t="array" ref="G26">SUM(IF((Admin2!$C$6:$O$6=$BE$5)*(Admin2!$Q$9:$Q$83=$BI$2)*(Admin2!$B$9:$B$83="Ending EEs"),Admin2!$C$9:$O$83,0))</f>
        <v>0</v>
      </c>
      <c r="H26" s="94"/>
      <c r="I26" s="96" t="str">
        <f>IF(G26&lt;&gt;0,"Ending headcount per Kronos/HCMS.","")</f>
        <v/>
      </c>
      <c r="J26" s="96"/>
      <c r="K26" s="94"/>
      <c r="L26" s="94"/>
      <c r="U26" s="94"/>
      <c r="V26" s="94"/>
      <c r="W26" s="94"/>
      <c r="X26" s="94"/>
      <c r="Y26" s="94"/>
      <c r="Z26" s="97"/>
      <c r="AA26" s="94"/>
      <c r="AB26" s="98"/>
      <c r="AE26" s="64"/>
      <c r="AF26" s="64"/>
      <c r="AG26" s="64"/>
      <c r="AH26" s="64"/>
      <c r="AI26" s="64"/>
      <c r="AJ26" s="97"/>
      <c r="AK26" s="68"/>
      <c r="AL26" s="68"/>
      <c r="AM26" s="68"/>
      <c r="AN26" s="221"/>
      <c r="AO26" s="221"/>
      <c r="AP26" s="221"/>
      <c r="AQ26" s="221"/>
      <c r="AR26" s="68"/>
      <c r="AS26" s="68"/>
      <c r="AT26" s="68"/>
      <c r="AU26" s="221"/>
      <c r="AV26" s="221"/>
      <c r="AW26" s="221"/>
      <c r="AX26" s="221"/>
      <c r="AY26" s="68"/>
      <c r="AZ26" s="68"/>
      <c r="BA26" s="68"/>
      <c r="BB26" s="221"/>
      <c r="BC26" s="221"/>
      <c r="BD26" s="221"/>
      <c r="BE26" s="221"/>
      <c r="BI26" s="722" t="s">
        <v>319</v>
      </c>
      <c r="BJ26" s="722">
        <v>1</v>
      </c>
      <c r="BK26" s="722" t="s">
        <v>320</v>
      </c>
      <c r="BL26" s="743"/>
      <c r="BM26" s="725"/>
      <c r="BN26" s="735"/>
      <c r="BO26" s="139">
        <f>IF(SUM(BM26:BM28=0),0,SUM(BL26:BL28)/SUM(BM26:BM28))</f>
        <v>0</v>
      </c>
      <c r="BP26" s="736"/>
      <c r="BQ26" s="758"/>
      <c r="BR26" s="727"/>
      <c r="BS26" s="735">
        <f t="shared" ref="BS26:BS37" si="2">IF(BR26=0,0,BQ26/BR26)</f>
        <v>0</v>
      </c>
      <c r="BT26" s="139">
        <f>IF(SUM(BR26:BR28=0),0,SUM(BQ26:BQ28)/SUM(BR26:BR28))</f>
        <v>0</v>
      </c>
      <c r="BU26" s="736"/>
      <c r="BV26"/>
      <c r="BX26" s="666" t="str">
        <f t="shared" ref="BX26:BX37" si="3">TEXT(CONCATENATE(CC26,"/01/20",CB26),"MMM")</f>
        <v>Oct</v>
      </c>
      <c r="BY26" s="728">
        <f>IF(CB26=$CB38,SUMIF($BI26:$BI37,$BX26,$BR26:$BR37),SUMIF($BI26:$BI37,$BX26,$BM26:$BM37))</f>
        <v>0</v>
      </c>
      <c r="BZ26" s="736" t="e">
        <f>IF(IF(CB26=CB38,SUMIF(BI26:BI37,$BX26,BU26:BU37),SUMIF(BI26:BI37,$BX26,BP26:BP37))=0,NA(),IF(CB26=CB38,SUMIF(BI26:BI37,$BX26,BU26:BU37),SUMIF(BI26:BI37,$BX26,BP26:BP37)))</f>
        <v>#N/A</v>
      </c>
      <c r="CA26" s="739" t="e">
        <f>IF(IF(CB26=CB38,SUMIF(BI26:BI37,$BX26,BS26:BS37),SUMIF(BI26:BI37,$BX26,BN26:BN37))=0,NA(),IF(CB26=CB38,SUMIF(BI26:BI37,$BX26,BS26:BS37),SUMIF(BI26:BI37,$BX26,BN26:BN37)))</f>
        <v>#N/A</v>
      </c>
      <c r="CB26" s="730">
        <v>19</v>
      </c>
      <c r="CC26" s="730">
        <f t="shared" ref="CC26:CC36" si="4">IF(CC27-1&lt;1,CC27+11,CC27-1)</f>
        <v>10</v>
      </c>
    </row>
    <row r="27" spans="2:81" s="6" customFormat="1" ht="15.75" customHeight="1">
      <c r="B27" s="44"/>
      <c r="C27" s="44"/>
      <c r="D27" s="44"/>
      <c r="E27" s="78"/>
      <c r="F27" s="94"/>
      <c r="G27" s="77"/>
      <c r="H27" s="94"/>
      <c r="I27" s="96"/>
      <c r="J27" s="96"/>
      <c r="K27" s="94"/>
      <c r="L27" s="94"/>
      <c r="U27" s="94"/>
      <c r="V27" s="94"/>
      <c r="W27" s="94"/>
      <c r="X27" s="94"/>
      <c r="Y27" s="94"/>
      <c r="Z27" s="97"/>
      <c r="AA27" s="94"/>
      <c r="AB27" s="98"/>
      <c r="AE27" s="64"/>
      <c r="AF27" s="64"/>
      <c r="AG27" s="64"/>
      <c r="AH27" s="64"/>
      <c r="AI27" s="64"/>
      <c r="AJ27" s="97"/>
      <c r="AK27" s="68"/>
      <c r="AL27" s="68"/>
      <c r="AM27" s="68"/>
      <c r="AN27" s="221"/>
      <c r="AO27" s="221"/>
      <c r="AP27" s="221"/>
      <c r="AQ27" s="221"/>
      <c r="AR27" s="68"/>
      <c r="AS27" s="68"/>
      <c r="AT27" s="68"/>
      <c r="AU27" s="221"/>
      <c r="AV27" s="221"/>
      <c r="AW27" s="221"/>
      <c r="AX27" s="221"/>
      <c r="AY27" s="68"/>
      <c r="AZ27" s="68"/>
      <c r="BA27" s="68"/>
      <c r="BB27" s="221"/>
      <c r="BC27" s="221"/>
      <c r="BD27" s="221"/>
      <c r="BE27" s="221"/>
      <c r="BI27" s="722" t="s">
        <v>321</v>
      </c>
      <c r="BJ27" s="722">
        <v>2</v>
      </c>
      <c r="BK27" s="722" t="s">
        <v>320</v>
      </c>
      <c r="BL27" s="743"/>
      <c r="BM27" s="725"/>
      <c r="BN27" s="735"/>
      <c r="BO27"/>
      <c r="BP27" s="736"/>
      <c r="BQ27" s="758"/>
      <c r="BR27" s="727"/>
      <c r="BS27" s="735">
        <f t="shared" si="2"/>
        <v>0</v>
      </c>
      <c r="BT27"/>
      <c r="BU27" s="736"/>
      <c r="BV27"/>
      <c r="BX27" s="666" t="str">
        <f t="shared" si="3"/>
        <v>Nov</v>
      </c>
      <c r="BY27" s="728">
        <f>IF(CB27=$CB38,SUMIF($BI26:$BI37,$BX27,$BR26:$BR37),SUMIF($BI26:$BI37,$BX27,$BM26:$BM37))</f>
        <v>0</v>
      </c>
      <c r="BZ27" s="736" t="e">
        <f>IF(IF(CB27=CB38,SUMIF(BI26:BI37,$BX27,BU26:BU37),SUMIF(BI26:BI37,$BX27,BP26:BP37))=0,NA(),IF(CB27=CB38,SUMIF(BI26:BI37,$BX27,BU26:BU37),SUMIF(BI26:BI37,$BX27,BP26:BP37)))</f>
        <v>#N/A</v>
      </c>
      <c r="CA27" s="739" t="e">
        <f>IF(IF(CB27=CB38,SUMIF(BI26:BI37,$BX27,BS26:BS37),SUMIF(BI26:BI37,$BX27,BN26:BN37))=0,NA(),IF(CB27=CB38,SUMIF(BI26:BI37,$BX27,BS26:BS37),SUMIF(BI26:BI37,$BX27,BN26:BN37)))</f>
        <v>#N/A</v>
      </c>
      <c r="CB27" s="730">
        <v>20</v>
      </c>
      <c r="CC27" s="730">
        <f t="shared" si="4"/>
        <v>11</v>
      </c>
    </row>
    <row r="28" spans="2:81" s="6" customFormat="1" ht="15.75" customHeight="1">
      <c r="B28" s="44" t="s">
        <v>242</v>
      </c>
      <c r="C28" s="44"/>
      <c r="D28" s="44"/>
      <c r="E28" s="87"/>
      <c r="F28" s="94"/>
      <c r="H28" s="94"/>
      <c r="I28" s="94"/>
      <c r="J28" s="94"/>
      <c r="K28" s="94"/>
      <c r="L28" s="94"/>
      <c r="M28" s="94"/>
      <c r="N28" s="94"/>
      <c r="O28" s="94"/>
      <c r="P28" s="94"/>
      <c r="Q28" s="94"/>
      <c r="R28" s="94"/>
      <c r="S28" s="94"/>
      <c r="T28" s="94"/>
      <c r="U28" s="94"/>
      <c r="V28" s="94"/>
      <c r="W28" s="94"/>
      <c r="X28" s="94"/>
      <c r="Y28" s="94"/>
      <c r="Z28" s="94"/>
      <c r="AA28" s="94"/>
      <c r="AB28" s="94"/>
      <c r="AE28" s="44" t="s">
        <v>242</v>
      </c>
      <c r="AF28" s="44"/>
      <c r="AG28" s="44"/>
      <c r="AH28" s="87"/>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I28" s="722" t="s">
        <v>322</v>
      </c>
      <c r="BJ28" s="722">
        <v>3</v>
      </c>
      <c r="BK28" s="722" t="s">
        <v>320</v>
      </c>
      <c r="BL28" s="743"/>
      <c r="BM28" s="725"/>
      <c r="BN28" s="735"/>
      <c r="BO28"/>
      <c r="BP28" s="736"/>
      <c r="BQ28" s="758"/>
      <c r="BR28" s="727"/>
      <c r="BS28" s="735">
        <f t="shared" si="2"/>
        <v>0</v>
      </c>
      <c r="BT28"/>
      <c r="BU28" s="736"/>
      <c r="BV28"/>
      <c r="BX28" s="666" t="str">
        <f t="shared" si="3"/>
        <v>Dec</v>
      </c>
      <c r="BY28" s="728">
        <f>IF(CB28=$CB38,SUMIF($BI26:$BI37,$BX28,$BR26:$BR37),SUMIF($BI26:$BI37,$BX28,$BM26:$BM37))</f>
        <v>0</v>
      </c>
      <c r="BZ28" s="736" t="e">
        <f>IF(IF(CB28=CB38,SUMIF(BI26:BI37,$BX28,BU26:BU37),SUMIF(BI26:BI37,$BX28,BP26:BP37))=0,NA(),IF(CB28=CB38,SUMIF(BI26:BI37,$BX28,BU26:BU37),SUMIF(BI26:BI37,$BX28,BP26:BP37)))</f>
        <v>#N/A</v>
      </c>
      <c r="CA28" s="739" t="e">
        <f>IF(IF(CB28=CB38,SUMIF(BI26:BI37,$BX28,BS26:BS37),SUMIF(BI26:BI37,$BX28,BN26:BN37))=0,NA(),IF(CB28=CB38,SUMIF(BI26:BI37,$BX28,BS26:BS37),SUMIF(BI26:BI37,$BX28,BN26:BN37)))</f>
        <v>#N/A</v>
      </c>
      <c r="CB28" s="730">
        <v>20</v>
      </c>
      <c r="CC28" s="730">
        <f t="shared" si="4"/>
        <v>12</v>
      </c>
    </row>
    <row r="29" spans="2:81" s="6" customFormat="1" ht="14.65" customHeight="1">
      <c r="B29" s="1510" t="s">
        <v>676</v>
      </c>
      <c r="C29" s="1511"/>
      <c r="D29" s="1511"/>
      <c r="E29" s="1511"/>
      <c r="F29" s="1511"/>
      <c r="G29" s="1511"/>
      <c r="H29" s="1511"/>
      <c r="I29" s="1511"/>
      <c r="J29" s="1511"/>
      <c r="K29" s="1511"/>
      <c r="L29" s="1511"/>
      <c r="M29" s="1511"/>
      <c r="N29" s="1511"/>
      <c r="O29" s="1511"/>
      <c r="P29" s="1511"/>
      <c r="Q29" s="1511"/>
      <c r="R29" s="1511"/>
      <c r="S29" s="1511"/>
      <c r="T29" s="1511"/>
      <c r="U29" s="1511"/>
      <c r="V29" s="1511"/>
      <c r="W29" s="1511"/>
      <c r="X29" s="1511"/>
      <c r="Y29" s="1511"/>
      <c r="Z29" s="1511"/>
      <c r="AA29" s="1511"/>
      <c r="AB29" s="1512"/>
      <c r="AE29" s="1510"/>
      <c r="AF29" s="1511"/>
      <c r="AG29" s="1511"/>
      <c r="AH29" s="1511"/>
      <c r="AI29" s="1511"/>
      <c r="AJ29" s="1511"/>
      <c r="AK29" s="1511"/>
      <c r="AL29" s="1511"/>
      <c r="AM29" s="1511"/>
      <c r="AN29" s="1511"/>
      <c r="AO29" s="1511"/>
      <c r="AP29" s="1511"/>
      <c r="AQ29" s="1511"/>
      <c r="AR29" s="1511"/>
      <c r="AS29" s="1511"/>
      <c r="AT29" s="1511"/>
      <c r="AU29" s="1511"/>
      <c r="AV29" s="1511"/>
      <c r="AW29" s="1511"/>
      <c r="AX29" s="1511"/>
      <c r="AY29" s="1511"/>
      <c r="AZ29" s="1511"/>
      <c r="BA29" s="1511"/>
      <c r="BB29" s="1511"/>
      <c r="BC29" s="1511"/>
      <c r="BD29" s="1511"/>
      <c r="BE29" s="1512"/>
      <c r="BI29" s="722" t="s">
        <v>323</v>
      </c>
      <c r="BJ29" s="722">
        <v>4</v>
      </c>
      <c r="BK29" s="722" t="s">
        <v>324</v>
      </c>
      <c r="BL29" s="811"/>
      <c r="BM29" s="725"/>
      <c r="BN29" s="735"/>
      <c r="BO29" s="139">
        <f>IF(SUM(BM29:BM31=0),0,SUM(BL29:BL31)/SUM(BM29:BM31))</f>
        <v>0</v>
      </c>
      <c r="BP29" s="736"/>
      <c r="BQ29" s="751"/>
      <c r="BR29" s="727"/>
      <c r="BS29" s="735">
        <f t="shared" si="2"/>
        <v>0</v>
      </c>
      <c r="BT29" s="139">
        <f>IF(SUM(BR29:BR31=0),0,SUM(BQ29:BQ31)/SUM(BR29:BR31))</f>
        <v>0</v>
      </c>
      <c r="BU29" s="736"/>
      <c r="BV29"/>
      <c r="BX29" s="666" t="str">
        <f t="shared" si="3"/>
        <v>Jan</v>
      </c>
      <c r="BY29" s="728">
        <f>IF(CB29=$CB38,SUMIF($BI26:$BI37,$BX29,$BR26:$BR37),SUMIF($BI26:$BI37,$BX29,$BM26:$BM37))</f>
        <v>0</v>
      </c>
      <c r="BZ29" s="736" t="e">
        <f>IF(IF(CB29=CB38,SUMIF(BI26:BI37,$BX29,BU26:BU37),SUMIF(BI26:BI37,$BX29,BP26:BP37))=0,NA(),IF(CB29=CB38,SUMIF(BI26:BI37,$BX29,BU26:BU37),SUMIF(BI26:BI37,$BX29,BP26:BP37)))</f>
        <v>#N/A</v>
      </c>
      <c r="CA29" s="739" t="e">
        <f>IF(IF(CB29=CB38,SUMIF(BI26:BI37,$BX29,BS26:BS37),SUMIF(BI26:BI37,$BX29,BN26:BN37))=0,NA(),IF(CB29=CB38,SUMIF(BI26:BI37,$BX29,BS26:BS37),SUMIF(BI26:BI37,$BX29,BN26:BN37)))</f>
        <v>#N/A</v>
      </c>
      <c r="CB29" s="730">
        <f t="shared" ref="CB29" si="5">IF(CC29=9,CB30-1,CB30)</f>
        <v>20</v>
      </c>
      <c r="CC29" s="730">
        <f t="shared" si="4"/>
        <v>1</v>
      </c>
    </row>
    <row r="30" spans="2:81" ht="14.65" customHeight="1">
      <c r="B30" s="1513"/>
      <c r="C30" s="1514"/>
      <c r="D30" s="1514"/>
      <c r="E30" s="1514"/>
      <c r="F30" s="1514"/>
      <c r="G30" s="1514"/>
      <c r="H30" s="1514"/>
      <c r="I30" s="1514"/>
      <c r="J30" s="1514"/>
      <c r="K30" s="1514"/>
      <c r="L30" s="1514"/>
      <c r="M30" s="1514"/>
      <c r="N30" s="1514"/>
      <c r="O30" s="1514"/>
      <c r="P30" s="1514"/>
      <c r="Q30" s="1514"/>
      <c r="R30" s="1514"/>
      <c r="S30" s="1514"/>
      <c r="T30" s="1514"/>
      <c r="U30" s="1514"/>
      <c r="V30" s="1514"/>
      <c r="W30" s="1514"/>
      <c r="X30" s="1514"/>
      <c r="Y30" s="1514"/>
      <c r="Z30" s="1514"/>
      <c r="AA30" s="1514"/>
      <c r="AB30" s="1515"/>
      <c r="AC30" s="6"/>
      <c r="AD30" s="6"/>
      <c r="AE30" s="1513"/>
      <c r="AF30" s="1514"/>
      <c r="AG30" s="1514"/>
      <c r="AH30" s="1514"/>
      <c r="AI30" s="1514"/>
      <c r="AJ30" s="1514"/>
      <c r="AK30" s="1514"/>
      <c r="AL30" s="1514"/>
      <c r="AM30" s="1514"/>
      <c r="AN30" s="1514"/>
      <c r="AO30" s="1514"/>
      <c r="AP30" s="1514"/>
      <c r="AQ30" s="1514"/>
      <c r="AR30" s="1514"/>
      <c r="AS30" s="1514"/>
      <c r="AT30" s="1514"/>
      <c r="AU30" s="1514"/>
      <c r="AV30" s="1514"/>
      <c r="AW30" s="1514"/>
      <c r="AX30" s="1514"/>
      <c r="AY30" s="1514"/>
      <c r="AZ30" s="1514"/>
      <c r="BA30" s="1514"/>
      <c r="BB30" s="1514"/>
      <c r="BC30" s="1514"/>
      <c r="BD30" s="1514"/>
      <c r="BE30" s="1515"/>
      <c r="BI30" s="722" t="s">
        <v>325</v>
      </c>
      <c r="BJ30" s="722">
        <v>5</v>
      </c>
      <c r="BK30" s="722" t="s">
        <v>324</v>
      </c>
      <c r="BL30" s="743"/>
      <c r="BM30" s="725"/>
      <c r="BN30" s="735"/>
      <c r="BP30" s="736"/>
      <c r="BQ30" s="758"/>
      <c r="BR30" s="727"/>
      <c r="BS30" s="735">
        <f t="shared" si="2"/>
        <v>0</v>
      </c>
      <c r="BU30" s="736"/>
      <c r="BX30" s="666" t="str">
        <f t="shared" si="3"/>
        <v>Feb</v>
      </c>
      <c r="BY30" s="728">
        <f>IF(CB30=$CB38,SUMIF($BI26:$BI37,$BX30,$BR26:$BR37),SUMIF($BI26:$BI37,$BX30,$BM26:$BM37))</f>
        <v>0</v>
      </c>
      <c r="BZ30" s="736" t="e">
        <f>IF(IF(CB30=CB38,SUMIF(BI26:BI37,$BX30,BU26:BU37),SUMIF(BI26:BI37,$BX30,BP26:BP37))=0,NA(),IF(CB30=CB38,SUMIF(BI26:BI37,$BX30,BU26:BU37),SUMIF(BI26:BI37,$BX30,BP26:BP37)))</f>
        <v>#N/A</v>
      </c>
      <c r="CA30" s="739" t="e">
        <f>IF(IF(CB30=CB38,SUMIF(BI26:BI37,$BX30,BS26:BS37),SUMIF(BI26:BI37,$BX30,BN26:BN37))=0,NA(),IF(CB30=CB38,SUMIF(BI26:BI37,$BX30,BS26:BS37),SUMIF(BI26:BI37,$BX30,BN26:BN37)))</f>
        <v>#N/A</v>
      </c>
      <c r="CB30" s="730">
        <v>20</v>
      </c>
      <c r="CC30" s="730">
        <f t="shared" si="4"/>
        <v>2</v>
      </c>
    </row>
    <row r="31" spans="2:81" ht="14.65" customHeight="1">
      <c r="B31" s="1513"/>
      <c r="C31" s="1514"/>
      <c r="D31" s="1514"/>
      <c r="E31" s="1514"/>
      <c r="F31" s="1514"/>
      <c r="G31" s="1514"/>
      <c r="H31" s="1514"/>
      <c r="I31" s="1514"/>
      <c r="J31" s="1514"/>
      <c r="K31" s="1514"/>
      <c r="L31" s="1514"/>
      <c r="M31" s="1514"/>
      <c r="N31" s="1514"/>
      <c r="O31" s="1514"/>
      <c r="P31" s="1514"/>
      <c r="Q31" s="1514"/>
      <c r="R31" s="1514"/>
      <c r="S31" s="1514"/>
      <c r="T31" s="1514"/>
      <c r="U31" s="1514"/>
      <c r="V31" s="1514"/>
      <c r="W31" s="1514"/>
      <c r="X31" s="1514"/>
      <c r="Y31" s="1514"/>
      <c r="Z31" s="1514"/>
      <c r="AA31" s="1514"/>
      <c r="AB31" s="1515"/>
      <c r="AC31" s="6"/>
      <c r="AD31" s="6"/>
      <c r="AE31" s="1513"/>
      <c r="AF31" s="1514"/>
      <c r="AG31" s="1514"/>
      <c r="AH31" s="1514"/>
      <c r="AI31" s="1514"/>
      <c r="AJ31" s="1514"/>
      <c r="AK31" s="1514"/>
      <c r="AL31" s="1514"/>
      <c r="AM31" s="1514"/>
      <c r="AN31" s="1514"/>
      <c r="AO31" s="1514"/>
      <c r="AP31" s="1514"/>
      <c r="AQ31" s="1514"/>
      <c r="AR31" s="1514"/>
      <c r="AS31" s="1514"/>
      <c r="AT31" s="1514"/>
      <c r="AU31" s="1514"/>
      <c r="AV31" s="1514"/>
      <c r="AW31" s="1514"/>
      <c r="AX31" s="1514"/>
      <c r="AY31" s="1514"/>
      <c r="AZ31" s="1514"/>
      <c r="BA31" s="1514"/>
      <c r="BB31" s="1514"/>
      <c r="BC31" s="1514"/>
      <c r="BD31" s="1514"/>
      <c r="BE31" s="1515"/>
      <c r="BI31" s="722" t="s">
        <v>326</v>
      </c>
      <c r="BJ31" s="722">
        <v>6</v>
      </c>
      <c r="BK31" s="722" t="s">
        <v>324</v>
      </c>
      <c r="BL31" s="743"/>
      <c r="BM31" s="725"/>
      <c r="BN31" s="735"/>
      <c r="BP31" s="736"/>
      <c r="BQ31" s="758"/>
      <c r="BR31" s="727"/>
      <c r="BS31" s="735">
        <f t="shared" si="2"/>
        <v>0</v>
      </c>
      <c r="BU31" s="736"/>
      <c r="BX31" s="666" t="str">
        <f t="shared" si="3"/>
        <v>Mar</v>
      </c>
      <c r="BY31" s="728">
        <f>IF(CB31=$CB38,SUMIF($BI26:$BI37,$BX31,$BR26:$BR37),SUMIF($BI26:$BI37,$BX31,$BM26:$BM37))</f>
        <v>0</v>
      </c>
      <c r="BZ31" s="736" t="e">
        <f>IF(IF(CB31=CB38,SUMIF(BI26:BI37,$BX31,BU26:BU37),SUMIF(BI26:BI37,$BX31,BP26:BP37))=0,NA(),IF(CB31=CB38,SUMIF(BI26:BI37,$BX31,BU26:BU37),SUMIF(BI26:BI37,$BX31,BP26:BP37)))</f>
        <v>#N/A</v>
      </c>
      <c r="CA31" s="739" t="e">
        <f>IF(IF(CB31=CB38,SUMIF(BI26:BI37,$BX31,BS26:BS37),SUMIF(BI26:BI37,$BX31,BN26:BN37))=0,NA(),IF(CB31=CB38,SUMIF(BI26:BI37,$BX31,BS26:BS37),SUMIF(BI26:BI37,$BX31,BN26:BN37)))</f>
        <v>#N/A</v>
      </c>
      <c r="CB31" s="730">
        <v>20</v>
      </c>
      <c r="CC31" s="730">
        <f t="shared" si="4"/>
        <v>3</v>
      </c>
    </row>
    <row r="32" spans="2:81" ht="14.65" customHeight="1">
      <c r="B32" s="1516"/>
      <c r="C32" s="1517"/>
      <c r="D32" s="1517"/>
      <c r="E32" s="1517"/>
      <c r="F32" s="1517"/>
      <c r="G32" s="1517"/>
      <c r="H32" s="1517"/>
      <c r="I32" s="1517"/>
      <c r="J32" s="1517"/>
      <c r="K32" s="1517"/>
      <c r="L32" s="1517"/>
      <c r="M32" s="1517"/>
      <c r="N32" s="1517"/>
      <c r="O32" s="1517"/>
      <c r="P32" s="1517"/>
      <c r="Q32" s="1517"/>
      <c r="R32" s="1517"/>
      <c r="S32" s="1517"/>
      <c r="T32" s="1517"/>
      <c r="U32" s="1517"/>
      <c r="V32" s="1517"/>
      <c r="W32" s="1517"/>
      <c r="X32" s="1517"/>
      <c r="Y32" s="1517"/>
      <c r="Z32" s="1517"/>
      <c r="AA32" s="1517"/>
      <c r="AB32" s="1518"/>
      <c r="AC32" s="6"/>
      <c r="AD32" s="6"/>
      <c r="AE32" s="1516"/>
      <c r="AF32" s="1517"/>
      <c r="AG32" s="1517"/>
      <c r="AH32" s="1517"/>
      <c r="AI32" s="1517"/>
      <c r="AJ32" s="1517"/>
      <c r="AK32" s="1517"/>
      <c r="AL32" s="1517"/>
      <c r="AM32" s="1517"/>
      <c r="AN32" s="1517"/>
      <c r="AO32" s="1517"/>
      <c r="AP32" s="1517"/>
      <c r="AQ32" s="1517"/>
      <c r="AR32" s="1517"/>
      <c r="AS32" s="1517"/>
      <c r="AT32" s="1517"/>
      <c r="AU32" s="1517"/>
      <c r="AV32" s="1517"/>
      <c r="AW32" s="1517"/>
      <c r="AX32" s="1517"/>
      <c r="AY32" s="1517"/>
      <c r="AZ32" s="1517"/>
      <c r="BA32" s="1517"/>
      <c r="BB32" s="1517"/>
      <c r="BC32" s="1517"/>
      <c r="BD32" s="1517"/>
      <c r="BE32" s="1518"/>
      <c r="BI32" s="722" t="s">
        <v>327</v>
      </c>
      <c r="BJ32" s="722">
        <v>7</v>
      </c>
      <c r="BK32" s="722" t="s">
        <v>328</v>
      </c>
      <c r="BL32" s="743"/>
      <c r="BM32" s="725"/>
      <c r="BN32" s="735"/>
      <c r="BO32" s="139">
        <f>IF(SUM(BM32:BM34=0),0,SUM(BL32:BL34)/SUM(BM32:BM34))</f>
        <v>0</v>
      </c>
      <c r="BP32" s="736"/>
      <c r="BQ32" s="758"/>
      <c r="BR32" s="727"/>
      <c r="BS32" s="735">
        <f t="shared" si="2"/>
        <v>0</v>
      </c>
      <c r="BT32" s="139">
        <f>IF(SUM(BR32:BR34=0),0,SUM(BQ32:BQ34)/SUM(BR32:BR34))</f>
        <v>0</v>
      </c>
      <c r="BU32" s="736"/>
      <c r="BX32" s="666" t="str">
        <f t="shared" si="3"/>
        <v>Apr</v>
      </c>
      <c r="BY32" s="728">
        <f>IF(CB32=$CB38,SUMIF($BI26:$BI37,$BX32,$BR26:$BR37),SUMIF($BI26:$BI37,$BX32,$BM26:$BM37))</f>
        <v>0</v>
      </c>
      <c r="BZ32" s="736" t="e">
        <f>IF(IF(CB32=CB38,SUMIF(BI26:BI37,$BX32,BU26:BU37),SUMIF(BI26:BI37,$BX32,BP26:BP37))=0,NA(),IF(CB32=CB38,SUMIF(BI26:BI37,$BX32,BU26:BU37),SUMIF(BI26:BI37,$BX32,BP26:BP37)))</f>
        <v>#N/A</v>
      </c>
      <c r="CA32" s="739" t="e">
        <f>IF(IF(CB32=CB38,SUMIF(BI26:BI37,$BX32,BS26:BS37),SUMIF(BI26:BI37,$BX32,BN26:BN37))=0,NA(),IF(CB32=CB38,SUMIF(BI26:BI37,$BX32,BS26:BS37),SUMIF(BI26:BI37,$BX32,BN26:BN37)))</f>
        <v>#N/A</v>
      </c>
      <c r="CB32" s="730">
        <v>20</v>
      </c>
      <c r="CC32" s="730">
        <f t="shared" si="4"/>
        <v>4</v>
      </c>
    </row>
    <row r="33" spans="1:81" ht="14.65" customHeight="1">
      <c r="BI33" s="722" t="s">
        <v>329</v>
      </c>
      <c r="BJ33" s="722">
        <v>8</v>
      </c>
      <c r="BK33" s="722" t="s">
        <v>328</v>
      </c>
      <c r="BL33" s="743"/>
      <c r="BM33" s="725"/>
      <c r="BN33" s="735"/>
      <c r="BP33" s="736"/>
      <c r="BQ33" s="758"/>
      <c r="BR33" s="727"/>
      <c r="BS33" s="735">
        <f t="shared" si="2"/>
        <v>0</v>
      </c>
      <c r="BU33" s="736"/>
      <c r="BX33" s="666" t="str">
        <f t="shared" si="3"/>
        <v>May</v>
      </c>
      <c r="BY33" s="728">
        <f>IF(CB33=$CB38,SUMIF($BI26:$BI37,$BX33,$BR26:$BR37),SUMIF($BI26:$BI37,$BX33,$BM26:$BM37))</f>
        <v>0</v>
      </c>
      <c r="BZ33" s="736" t="e">
        <f>IF(IF(CB33=CB38,SUMIF(BI26:BI37,$BX33,BU26:BU37),SUMIF(BI26:BI37,$BX33,BP26:BP37))=0,NA(),IF(CB33=CB38,SUMIF(BI26:BI37,$BX33,BU26:BU37),SUMIF(BI26:BI37,$BX33,BP26:BP37)))</f>
        <v>#N/A</v>
      </c>
      <c r="CA33" s="739" t="e">
        <f>IF(IF(CB33=CB38,SUMIF(BI26:BI37,$BX33,BS26:BS37),SUMIF(BI26:BI37,$BX33,BN26:BN37))=0,NA(),IF(CB33=CB38,SUMIF(BI26:BI37,$BX33,BS26:BS37),SUMIF(BI26:BI37,$BX33,BN26:BN37)))</f>
        <v>#N/A</v>
      </c>
      <c r="CB33" s="730">
        <v>20</v>
      </c>
      <c r="CC33" s="730">
        <f t="shared" si="4"/>
        <v>5</v>
      </c>
    </row>
    <row r="34" spans="1:81" ht="14.65" hidden="1" customHeight="1">
      <c r="B34" s="28" t="s">
        <v>330</v>
      </c>
      <c r="C34" s="27"/>
      <c r="D34" s="27"/>
      <c r="E34" s="27"/>
      <c r="F34" s="27"/>
      <c r="G34" s="30"/>
      <c r="H34" s="30"/>
      <c r="I34" s="30"/>
      <c r="J34" s="30"/>
      <c r="K34" s="30"/>
      <c r="L34" s="29"/>
      <c r="M34" s="27"/>
      <c r="N34" s="27"/>
      <c r="O34" s="38"/>
      <c r="P34" s="38"/>
      <c r="Q34" s="38"/>
      <c r="R34" s="38"/>
      <c r="S34" s="38"/>
      <c r="T34" s="38"/>
      <c r="U34" s="38"/>
      <c r="V34" s="38"/>
      <c r="W34" s="38"/>
      <c r="X34" s="38"/>
      <c r="Y34" s="38"/>
      <c r="Z34" s="38"/>
      <c r="AA34" s="38"/>
      <c r="AB34" s="38"/>
      <c r="AC34" s="38"/>
      <c r="AD34" s="38"/>
      <c r="AE34" s="38"/>
      <c r="AF34" s="38"/>
      <c r="AG34" s="38"/>
      <c r="AH34" s="38"/>
      <c r="AI34" s="38"/>
      <c r="AJ34" s="38"/>
      <c r="AK34" s="38"/>
      <c r="AL34" s="38"/>
      <c r="AM34" s="38"/>
      <c r="AN34" s="38"/>
      <c r="AO34" s="38"/>
      <c r="AP34" s="38"/>
      <c r="AQ34" s="38"/>
      <c r="AR34" s="38"/>
      <c r="AS34" s="38"/>
      <c r="AT34" s="38"/>
      <c r="AU34" s="38"/>
      <c r="AV34" s="38"/>
      <c r="AW34" s="38"/>
      <c r="AX34" s="38"/>
      <c r="AY34" s="38"/>
      <c r="AZ34" s="38"/>
      <c r="BA34" s="38"/>
      <c r="BB34" s="38"/>
      <c r="BC34" s="38"/>
      <c r="BD34" s="38"/>
      <c r="BE34" s="38"/>
      <c r="BI34" s="722" t="s">
        <v>331</v>
      </c>
      <c r="BJ34" s="722">
        <v>9</v>
      </c>
      <c r="BK34" s="722" t="s">
        <v>328</v>
      </c>
      <c r="BL34" s="743"/>
      <c r="BM34" s="725"/>
      <c r="BN34" s="735"/>
      <c r="BP34" s="736"/>
      <c r="BQ34" s="758"/>
      <c r="BR34" s="727"/>
      <c r="BS34" s="735">
        <f t="shared" si="2"/>
        <v>0</v>
      </c>
      <c r="BU34" s="736"/>
      <c r="BX34" s="666" t="str">
        <f t="shared" si="3"/>
        <v>Jun</v>
      </c>
      <c r="BY34" s="728">
        <f>IF(CB34=$CB38,SUMIF($BI26:$BI37,$BX34,$BR26:$BR37),SUMIF($BI26:$BI37,$BX34,$BM26:$BM37))</f>
        <v>0</v>
      </c>
      <c r="BZ34" s="736" t="e">
        <f>IF(IF(CB34=CB38,SUMIF(BI26:BI37,$BX34,BU26:BU37),SUMIF(BI26:BI37,$BX34,BP26:BP37))=0,NA(),IF(CB34=CB38,SUMIF(BI26:BI37,$BX34,BU26:BU37),SUMIF(BI26:BI37,$BX34,BP26:BP37)))</f>
        <v>#N/A</v>
      </c>
      <c r="CA34" s="739" t="e">
        <f>IF(IF(CB34=CB38,SUMIF(BI26:BI37,$BX34,BS26:BS37),SUMIF(BI26:BI37,$BX34,BN26:BN37))=0,NA(),IF(CB34=CB38,SUMIF(BI26:BI37,$BX34,BS26:BS37),SUMIF(BI26:BI37,$BX34,BN26:BN37)))</f>
        <v>#N/A</v>
      </c>
      <c r="CB34" s="730">
        <v>20</v>
      </c>
      <c r="CC34" s="730">
        <f t="shared" si="4"/>
        <v>6</v>
      </c>
    </row>
    <row r="35" spans="1:81" s="43" customFormat="1" ht="16.149999999999999" hidden="1" customHeight="1">
      <c r="B35" s="1499" t="s">
        <v>332</v>
      </c>
      <c r="C35" s="1499"/>
      <c r="D35" s="1499"/>
      <c r="E35" s="1499"/>
      <c r="F35" s="1499"/>
      <c r="G35" s="1499"/>
      <c r="H35" s="1499"/>
      <c r="I35" s="1499"/>
      <c r="J35" s="1499"/>
      <c r="K35" s="1499" t="s">
        <v>677</v>
      </c>
      <c r="L35" s="1499"/>
      <c r="M35" s="1499"/>
      <c r="N35" s="1499"/>
      <c r="O35" s="1499"/>
      <c r="P35" s="1499"/>
      <c r="Q35" s="1500" t="s">
        <v>678</v>
      </c>
      <c r="R35" s="1500"/>
      <c r="S35" s="1500"/>
      <c r="T35" s="1499" t="s">
        <v>528</v>
      </c>
      <c r="U35" s="1499"/>
      <c r="V35" s="1499"/>
      <c r="W35" s="1499"/>
      <c r="X35" s="1499"/>
      <c r="Y35" s="1499"/>
      <c r="Z35" s="1499"/>
      <c r="AA35" s="1499"/>
      <c r="AB35" s="1499"/>
      <c r="AC35" s="1501" t="s">
        <v>336</v>
      </c>
      <c r="AD35" s="1502"/>
      <c r="AE35" s="1502"/>
      <c r="AF35" s="1502"/>
      <c r="AG35" s="1502"/>
      <c r="AH35" s="1502"/>
      <c r="AI35" s="1502"/>
      <c r="AJ35" s="1502"/>
      <c r="AK35" s="1502"/>
      <c r="AL35" s="1502"/>
      <c r="AM35" s="1502"/>
      <c r="AN35" s="1502"/>
      <c r="AO35" s="1502"/>
      <c r="AP35" s="1502"/>
      <c r="AQ35" s="1502"/>
      <c r="AR35" s="1502"/>
      <c r="AS35" s="1502"/>
      <c r="AT35" s="1502"/>
      <c r="AU35" s="1502"/>
      <c r="AV35" s="1502"/>
      <c r="AW35" s="1502"/>
      <c r="AX35" s="1502"/>
      <c r="AY35" s="1502"/>
      <c r="AZ35" s="1502"/>
      <c r="BA35" s="1502"/>
      <c r="BB35" s="1502"/>
      <c r="BC35" s="1502"/>
      <c r="BD35" s="1502"/>
      <c r="BE35" s="1503"/>
      <c r="BH35" s="223"/>
      <c r="BI35" s="722" t="s">
        <v>337</v>
      </c>
      <c r="BJ35" s="722">
        <v>10</v>
      </c>
      <c r="BK35" s="722" t="s">
        <v>338</v>
      </c>
      <c r="BL35" s="743"/>
      <c r="BM35" s="812"/>
      <c r="BN35" s="735"/>
      <c r="BO35" s="139">
        <f>IF(SUM(BM35:BM37=0),0,SUM(BL35:BL37)/SUM(BM35:BM37))</f>
        <v>0</v>
      </c>
      <c r="BP35" s="736"/>
      <c r="BQ35" s="758"/>
      <c r="BR35" s="813"/>
      <c r="BS35" s="735">
        <f>IF(BR35=0,0,BQ35/BR35)</f>
        <v>0</v>
      </c>
      <c r="BT35" s="139">
        <f>IF(SUM(BR35:BR37=0),0,SUM(BQ35:BQ37)/SUM(BR35:BR37))</f>
        <v>0</v>
      </c>
      <c r="BU35" s="736"/>
      <c r="BV35"/>
      <c r="BW35" s="6"/>
      <c r="BX35" s="666" t="str">
        <f t="shared" si="3"/>
        <v>Jul</v>
      </c>
      <c r="BY35" s="728">
        <f>IF(CB35=$CB38,SUMIF($BI26:$BI37,$BX35,$BR26:$BR37),SUMIF($BI26:$BI37,$BX35,$BM26:$BM37))</f>
        <v>0</v>
      </c>
      <c r="BZ35" s="736" t="e">
        <f>IF(IF(CB35=CB38,SUMIF(BI26:BI37,$BX35,BU26:BU37),SUMIF(BI26:BI37,$BX35,BP26:BP37))=0,NA(),IF(CB35=CB38,SUMIF(BI26:BI37,$BX35,BU26:BU37),SUMIF(BI26:BI37,$BX35,BP26:BP37)))</f>
        <v>#N/A</v>
      </c>
      <c r="CA35" s="739" t="e">
        <f>IF(IF(CB35=CB38,SUMIF(BI26:BI37,$BX35,BS26:BS37),SUMIF(BI26:BI37,$BX35,BN26:BN37))=0,NA(),IF(CB35=CB38,SUMIF(BI26:BI37,$BX35,BS26:BS37),SUMIF(BI26:BI37,$BX35,BN26:BN37)))</f>
        <v>#N/A</v>
      </c>
      <c r="CB35" s="730">
        <v>20</v>
      </c>
      <c r="CC35" s="730">
        <f t="shared" si="4"/>
        <v>7</v>
      </c>
    </row>
    <row r="36" spans="1:81" s="43" customFormat="1" ht="16.149999999999999" hidden="1" customHeight="1">
      <c r="B36" s="1499"/>
      <c r="C36" s="1499"/>
      <c r="D36" s="1499"/>
      <c r="E36" s="1499"/>
      <c r="F36" s="1499"/>
      <c r="G36" s="1499"/>
      <c r="H36" s="1499"/>
      <c r="I36" s="1499"/>
      <c r="J36" s="1499"/>
      <c r="K36" s="1499" t="s">
        <v>23</v>
      </c>
      <c r="L36" s="1499"/>
      <c r="M36" s="1499"/>
      <c r="N36" s="1499" t="s">
        <v>339</v>
      </c>
      <c r="O36" s="1499"/>
      <c r="P36" s="1499"/>
      <c r="Q36" s="1500"/>
      <c r="R36" s="1500"/>
      <c r="S36" s="1500"/>
      <c r="T36" s="1500" t="s">
        <v>340</v>
      </c>
      <c r="U36" s="1500"/>
      <c r="V36" s="1500"/>
      <c r="W36" s="1500" t="s">
        <v>341</v>
      </c>
      <c r="X36" s="1500"/>
      <c r="Y36" s="1500"/>
      <c r="Z36" s="1500" t="s">
        <v>342</v>
      </c>
      <c r="AA36" s="1500"/>
      <c r="AB36" s="1500"/>
      <c r="AC36" s="1504"/>
      <c r="AD36" s="1505"/>
      <c r="AE36" s="1505"/>
      <c r="AF36" s="1505"/>
      <c r="AG36" s="1505"/>
      <c r="AH36" s="1505"/>
      <c r="AI36" s="1505"/>
      <c r="AJ36" s="1505"/>
      <c r="AK36" s="1505"/>
      <c r="AL36" s="1505"/>
      <c r="AM36" s="1505"/>
      <c r="AN36" s="1505"/>
      <c r="AO36" s="1505"/>
      <c r="AP36" s="1505"/>
      <c r="AQ36" s="1505"/>
      <c r="AR36" s="1505"/>
      <c r="AS36" s="1505"/>
      <c r="AT36" s="1505"/>
      <c r="AU36" s="1505"/>
      <c r="AV36" s="1505"/>
      <c r="AW36" s="1505"/>
      <c r="AX36" s="1505"/>
      <c r="AY36" s="1505"/>
      <c r="AZ36" s="1505"/>
      <c r="BA36" s="1505"/>
      <c r="BB36" s="1505"/>
      <c r="BC36" s="1505"/>
      <c r="BD36" s="1505"/>
      <c r="BE36" s="1506"/>
      <c r="BH36" s="223"/>
      <c r="BI36" s="722" t="s">
        <v>343</v>
      </c>
      <c r="BJ36" s="722">
        <v>11</v>
      </c>
      <c r="BK36" s="722" t="s">
        <v>338</v>
      </c>
      <c r="BL36" s="743"/>
      <c r="BM36" s="766"/>
      <c r="BN36" s="735"/>
      <c r="BO36"/>
      <c r="BP36" s="736"/>
      <c r="BQ36" s="758"/>
      <c r="BR36" s="810"/>
      <c r="BS36" s="735">
        <f t="shared" si="2"/>
        <v>0</v>
      </c>
      <c r="BT36"/>
      <c r="BU36" s="736"/>
      <c r="BV36"/>
      <c r="BW36" s="6"/>
      <c r="BX36" s="666" t="str">
        <f t="shared" si="3"/>
        <v>Aug</v>
      </c>
      <c r="BY36" s="728">
        <f>IF(CB36=$CB38,SUMIF($BI26:$BI37,$BX36,$BR26:$BR37),SUMIF($BI26:$BI37,$BX36,$BM26:$BM37))</f>
        <v>0</v>
      </c>
      <c r="BZ36" s="736" t="e">
        <f>IF(IF(CB36=CB38,SUMIF(BI26:BI37,$BX36,BU26:BU37),SUMIF(BI26:BI37,$BX36,BP26:BP37))=0,NA(),IF(CB36=CB38,SUMIF(BI26:BI37,$BX36,BU26:BU37),SUMIF(BI26:BI37,$BX36,BP26:BP37)))</f>
        <v>#N/A</v>
      </c>
      <c r="CA36" s="739" t="e">
        <f>IF(IF(CB36=CB38,SUMIF(BI26:BI37,$BX36,BS26:BS37),SUMIF(BI26:BI37,$BX36,BN26:BN37))=0,NA(),IF(CB36=CB38,SUMIF(BI26:BI37,$BX36,BS26:BS37),SUMIF(BI26:BI37,$BX36,BN26:BN37)))</f>
        <v>#N/A</v>
      </c>
      <c r="CB36" s="730">
        <v>20</v>
      </c>
      <c r="CC36" s="730">
        <f t="shared" si="4"/>
        <v>8</v>
      </c>
    </row>
    <row r="37" spans="1:81" s="43" customFormat="1" ht="16.149999999999999" hidden="1" customHeight="1">
      <c r="B37" s="1499"/>
      <c r="C37" s="1499"/>
      <c r="D37" s="1499"/>
      <c r="E37" s="1499"/>
      <c r="F37" s="1499"/>
      <c r="G37" s="1499"/>
      <c r="H37" s="1499"/>
      <c r="I37" s="1499"/>
      <c r="J37" s="1499"/>
      <c r="K37" s="1499"/>
      <c r="L37" s="1499"/>
      <c r="M37" s="1499"/>
      <c r="N37" s="1499"/>
      <c r="O37" s="1499"/>
      <c r="P37" s="1499"/>
      <c r="Q37" s="1500"/>
      <c r="R37" s="1500"/>
      <c r="S37" s="1500"/>
      <c r="T37" s="1500"/>
      <c r="U37" s="1500"/>
      <c r="V37" s="1500"/>
      <c r="W37" s="1500"/>
      <c r="X37" s="1500"/>
      <c r="Y37" s="1500"/>
      <c r="Z37" s="1500"/>
      <c r="AA37" s="1500"/>
      <c r="AB37" s="1500"/>
      <c r="AC37" s="1507"/>
      <c r="AD37" s="1508"/>
      <c r="AE37" s="1508"/>
      <c r="AF37" s="1508"/>
      <c r="AG37" s="1508"/>
      <c r="AH37" s="1508"/>
      <c r="AI37" s="1508"/>
      <c r="AJ37" s="1508"/>
      <c r="AK37" s="1508"/>
      <c r="AL37" s="1508"/>
      <c r="AM37" s="1508"/>
      <c r="AN37" s="1508"/>
      <c r="AO37" s="1508"/>
      <c r="AP37" s="1508"/>
      <c r="AQ37" s="1508"/>
      <c r="AR37" s="1508"/>
      <c r="AS37" s="1508"/>
      <c r="AT37" s="1508"/>
      <c r="AU37" s="1508"/>
      <c r="AV37" s="1508"/>
      <c r="AW37" s="1508"/>
      <c r="AX37" s="1508"/>
      <c r="AY37" s="1508"/>
      <c r="AZ37" s="1508"/>
      <c r="BA37" s="1508"/>
      <c r="BB37" s="1508"/>
      <c r="BC37" s="1508"/>
      <c r="BD37" s="1508"/>
      <c r="BE37" s="1509"/>
      <c r="BH37" s="223"/>
      <c r="BI37" s="722" t="s">
        <v>344</v>
      </c>
      <c r="BJ37" s="722">
        <v>12</v>
      </c>
      <c r="BK37" s="722" t="s">
        <v>338</v>
      </c>
      <c r="BL37" s="743"/>
      <c r="BM37" s="766"/>
      <c r="BN37" s="735"/>
      <c r="BO37"/>
      <c r="BP37" s="736"/>
      <c r="BQ37" s="758"/>
      <c r="BR37" s="810"/>
      <c r="BS37" s="735">
        <f t="shared" si="2"/>
        <v>0</v>
      </c>
      <c r="BT37"/>
      <c r="BU37" s="736"/>
      <c r="BV37"/>
      <c r="BW37" s="6"/>
      <c r="BX37" s="666" t="str">
        <f t="shared" si="3"/>
        <v>Sep</v>
      </c>
      <c r="BY37" s="728">
        <f>IF(CB37=$CB38,SUMIF($BI26:$BI37,$BX37,$BR26:$BR37),SUMIF($BI26:$BI37,$BX37,$BM26:$BM37))</f>
        <v>0</v>
      </c>
      <c r="BZ37" s="736" t="e">
        <f>IF(IF(CB37=CB38,SUMIF(BI26:BI37,$BX37,BU26:BU37),SUMIF(BI26:BI37,$BX37,BP26:BP37))=0,NA(),IF(CB37=CB38,SUMIF(BI26:BI37,$BX37,BU26:BU37),SUMIF(BI26:BI37,$BX37,BP26:BP37)))</f>
        <v>#N/A</v>
      </c>
      <c r="CA37" s="739" t="e">
        <f>IF(IF(CB37=CB38,SUMIF(BI26:BI37,$BX37,BS26:BS37),SUMIF(BI26:BI37,$BX37,BN26:BN37))=0,NA(),IF(CB37=CB38,SUMIF(BI26:BI37,$BX37,BS26:BS37),SUMIF(BI26:BI37,$BX37,BN26:BN37)))</f>
        <v>#N/A</v>
      </c>
      <c r="CB37" s="730">
        <v>20</v>
      </c>
      <c r="CC37" s="730">
        <f>IF(CC38-1&lt;1,CC38+11,CC38-1)</f>
        <v>9</v>
      </c>
    </row>
    <row r="38" spans="1:81" s="6" customFormat="1" ht="46.9" hidden="1" customHeight="1">
      <c r="A38" s="37"/>
      <c r="B38" s="1614"/>
      <c r="C38" s="1614"/>
      <c r="D38" s="1614"/>
      <c r="E38" s="1614"/>
      <c r="F38" s="1614"/>
      <c r="G38" s="1614"/>
      <c r="H38" s="1614"/>
      <c r="I38" s="1614"/>
      <c r="J38" s="1614"/>
      <c r="K38" s="1608">
        <f>SUMIF(MyTC!$BJ$26:$BJ$37,Cover!$M$36,MyTC!$BN$26:$BN$37)</f>
        <v>0</v>
      </c>
      <c r="L38" s="1608"/>
      <c r="M38" s="1608"/>
      <c r="N38" s="1608">
        <f>SUMIF(MyTC!$BK$26:$BK$37,Cover!$M$35,MyTC!$BO$26:$BO$37)</f>
        <v>0</v>
      </c>
      <c r="O38" s="1608"/>
      <c r="P38" s="1608"/>
      <c r="Q38" s="1609">
        <f>SUMIF(MyTC!$BJ$26:$BJ$37,Cover!$M$36,MyTC!$BU$26:$BU$37)</f>
        <v>0</v>
      </c>
      <c r="R38" s="1609"/>
      <c r="S38" s="1609"/>
      <c r="T38" s="1608">
        <f>IF(Cover!$M$36=1,SUMIF($BJ$26:$BJ$37,12,$BN$26:$BN$37),SUMIF(MyTC!$BJ$26:$BJ$37,Cover!$M$36-1,MyTC!$BS$26:$BS$37))</f>
        <v>0</v>
      </c>
      <c r="U38" s="1608"/>
      <c r="V38" s="1608"/>
      <c r="W38" s="1608">
        <f>SUMIF(MyTC!$BJ$26:$BJ$37,Cover!$M$36,MyTC!$BS$26:$BS$37)</f>
        <v>0</v>
      </c>
      <c r="X38" s="1608"/>
      <c r="Y38" s="1608"/>
      <c r="Z38" s="1608">
        <f>SUMIF(MyTC!$BK$26:$BK$37,Cover!$M$35,MyTC!$BT$26:$BT$37)</f>
        <v>0</v>
      </c>
      <c r="AA38" s="1608"/>
      <c r="AB38" s="1608"/>
      <c r="AC38" s="1584"/>
      <c r="AD38" s="1585"/>
      <c r="AE38" s="1585"/>
      <c r="AF38" s="1585"/>
      <c r="AG38" s="1585"/>
      <c r="AH38" s="1585"/>
      <c r="AI38" s="1585"/>
      <c r="AJ38" s="1585"/>
      <c r="AK38" s="1585"/>
      <c r="AL38" s="1585"/>
      <c r="AM38" s="1585"/>
      <c r="AN38" s="1585"/>
      <c r="AO38" s="1585"/>
      <c r="AP38" s="1585"/>
      <c r="AQ38" s="1585"/>
      <c r="AR38" s="1585"/>
      <c r="AS38" s="1585"/>
      <c r="AT38" s="1585"/>
      <c r="AU38" s="1585"/>
      <c r="AV38" s="1585"/>
      <c r="AW38" s="1585"/>
      <c r="AX38" s="1585"/>
      <c r="AY38" s="1585"/>
      <c r="AZ38" s="1585"/>
      <c r="BA38" s="1585"/>
      <c r="BB38" s="1585"/>
      <c r="BC38" s="1585"/>
      <c r="BD38" s="1585"/>
      <c r="BE38" s="1586"/>
      <c r="BI38"/>
      <c r="BJ38" s="2"/>
      <c r="BK38" s="2"/>
      <c r="BL38" s="2"/>
      <c r="BM38" s="2"/>
      <c r="BN38" s="2"/>
      <c r="BO38" s="2"/>
      <c r="BP38" s="2"/>
      <c r="BQ38" s="2"/>
      <c r="BR38" s="2"/>
      <c r="BS38" s="2"/>
      <c r="BT38" s="2"/>
      <c r="BU38"/>
      <c r="BV38"/>
      <c r="BW38" s="667" t="str">
        <f>Cover!$M$34</f>
        <v>OCT FY-24</v>
      </c>
      <c r="BX38" s="666" t="str">
        <f>TEXT(CONCATENATE(CC38,"/01/20",CB38),"MMM")</f>
        <v>Oct</v>
      </c>
      <c r="BY38" s="728">
        <f>SUMIF($BI26:$BI37,$BX38,$BR26:$BR37)</f>
        <v>0</v>
      </c>
      <c r="BZ38" s="736" t="e">
        <f>IF(IF(CB38=CB38,SUMIF(BI26:BI37,$BX38,BU26:BU37),SUMIF(BI26:BI37,$BX38,BP26:BP37))=0,NA(),IF(CB38=CB38,SUMIF(BI26:BI37,$BX38,BU26:BU37),SUMIF(BI26:BI37,$BX38,BP26:BP37)))</f>
        <v>#N/A</v>
      </c>
      <c r="CA38" s="739" t="e">
        <f>IF(SUMIF($BI26:$BI37,$BX38,$BS26:$BS37)=0,NA(),SUMIF($BI26:$BI37,$BX38,$BS26:$BS37))</f>
        <v>#N/A</v>
      </c>
      <c r="CB38" s="730">
        <v>20</v>
      </c>
      <c r="CC38" s="730">
        <f>MONTH(DATEVALUE(LEFT(BW38,3)&amp;" 1"))</f>
        <v>10</v>
      </c>
    </row>
    <row r="39" spans="1:81" ht="46.9" hidden="1" customHeight="1">
      <c r="B39" s="1578"/>
      <c r="C39" s="1579"/>
      <c r="D39" s="1579"/>
      <c r="E39" s="1579"/>
      <c r="F39" s="1579"/>
      <c r="G39" s="1579"/>
      <c r="H39" s="1579"/>
      <c r="I39" s="1579"/>
      <c r="J39" s="1580"/>
      <c r="K39" s="1605">
        <f>SUMIF(MyTC!$BJ$45:$BJ$56,Cover!$M$36,MyTC!$BN$45:$BN$56)</f>
        <v>0</v>
      </c>
      <c r="L39" s="1606"/>
      <c r="M39" s="1607"/>
      <c r="N39" s="1605">
        <f>SUMIF(MyTC!$BK$45:$BK$56,Cover!$M$35,MyTC!$BO$45:$BO$56)</f>
        <v>0</v>
      </c>
      <c r="O39" s="1606"/>
      <c r="P39" s="1607"/>
      <c r="Q39" s="1602">
        <f>SUMIF(MyTC!$BJ$45:$BJ$56,Cover!$M$36,MyTC!$BU$45:$BU$56)</f>
        <v>0</v>
      </c>
      <c r="R39" s="1603"/>
      <c r="S39" s="1604"/>
      <c r="T39" s="1605">
        <f>IF(Cover!$M$36=1,SUMIF($BJ$45:$BJ$56,12,$BN$45:$BN$56),SUMIF(MyTC!$BJ$45:$BJ$56,Cover!$M$36-1,MyTC!$BS$45:$BS$56))</f>
        <v>0</v>
      </c>
      <c r="U39" s="1606"/>
      <c r="V39" s="1607"/>
      <c r="W39" s="1605">
        <f>SUMIF(MyTC!$BJ$45:$BJ$56,Cover!$M$36,MyTC!$BS$45:$BS$56)</f>
        <v>0</v>
      </c>
      <c r="X39" s="1606"/>
      <c r="Y39" s="1607"/>
      <c r="Z39" s="1605">
        <f>SUMIF(MyTC!$BK$45:$BK$56,Cover!$M$35,MyTC!$BT$45:$BT$56)</f>
        <v>0</v>
      </c>
      <c r="AA39" s="1606"/>
      <c r="AB39" s="1607"/>
      <c r="AC39" s="1543"/>
      <c r="AD39" s="1544"/>
      <c r="AE39" s="1544"/>
      <c r="AF39" s="1544"/>
      <c r="AG39" s="1544"/>
      <c r="AH39" s="1544"/>
      <c r="AI39" s="1544"/>
      <c r="AJ39" s="1544"/>
      <c r="AK39" s="1544"/>
      <c r="AL39" s="1544"/>
      <c r="AM39" s="1544"/>
      <c r="AN39" s="1544"/>
      <c r="AO39" s="1544"/>
      <c r="AP39" s="1544"/>
      <c r="AQ39" s="1544"/>
      <c r="AR39" s="1544"/>
      <c r="AS39" s="1544"/>
      <c r="AT39" s="1544"/>
      <c r="AU39" s="1544"/>
      <c r="AV39" s="1544"/>
      <c r="AW39" s="1544"/>
      <c r="AX39" s="1544"/>
      <c r="AY39" s="1544"/>
      <c r="AZ39" s="1544"/>
      <c r="BA39" s="1544"/>
      <c r="BB39" s="1544"/>
      <c r="BC39" s="1544"/>
      <c r="BD39" s="1544"/>
      <c r="BE39" s="1545"/>
      <c r="BF39" s="6"/>
      <c r="BH39" s="6"/>
    </row>
    <row r="40" spans="1:81" customFormat="1" ht="46.9" hidden="1" customHeight="1">
      <c r="A40" s="37"/>
      <c r="B40" s="1614"/>
      <c r="C40" s="1618"/>
      <c r="D40" s="1618"/>
      <c r="E40" s="1618"/>
      <c r="F40" s="1618"/>
      <c r="G40" s="1618"/>
      <c r="H40" s="1618"/>
      <c r="I40" s="1618"/>
      <c r="J40" s="1618"/>
      <c r="K40" s="1520">
        <f>SUMIF(MyTC!$BJ$64:$BJ$75,Cover!$M$36,MyTC!$BN$64:$BN$75)</f>
        <v>0</v>
      </c>
      <c r="L40" s="1520"/>
      <c r="M40" s="1520"/>
      <c r="N40" s="1520">
        <f>SUMIF(MyTC!$BK$64:$BK$75,Cover!$M$35,MyTC!$BO$64:$BO$75)</f>
        <v>0</v>
      </c>
      <c r="O40" s="1520"/>
      <c r="P40" s="1520"/>
      <c r="Q40" s="1610">
        <f>SUMIF(MyTC!$BJ$64:$BJ$75,Cover!$M$36,MyTC!$BU$64:$BU$75)</f>
        <v>0</v>
      </c>
      <c r="R40" s="1610"/>
      <c r="S40" s="1610"/>
      <c r="T40" s="1520">
        <f>IF(Cover!$M$36=1,SUMIF($BJ$64:$BJ$75,12,$BN$64:$BN$75),SUMIF(MyTC!$BJ$64:$BJ$75,Cover!$M$36-1,MyTC!$BS$64:$BS$75))</f>
        <v>0</v>
      </c>
      <c r="U40" s="1520"/>
      <c r="V40" s="1520"/>
      <c r="W40" s="1520">
        <f>SUMIF(MyTC!$BJ$64:$BJ$75,Cover!$M$36,MyTC!$BS$64:$BS$75)</f>
        <v>0</v>
      </c>
      <c r="X40" s="1520"/>
      <c r="Y40" s="1520"/>
      <c r="Z40" s="1520">
        <f>SUMIF(MyTC!$BK$64:$BK$75,Cover!$M$35,MyTC!$BT$64:$BT$75)</f>
        <v>0</v>
      </c>
      <c r="AA40" s="1520"/>
      <c r="AB40" s="1520"/>
      <c r="AC40" s="1584"/>
      <c r="AD40" s="1585"/>
      <c r="AE40" s="1585"/>
      <c r="AF40" s="1585"/>
      <c r="AG40" s="1585"/>
      <c r="AH40" s="1585"/>
      <c r="AI40" s="1585"/>
      <c r="AJ40" s="1585"/>
      <c r="AK40" s="1585"/>
      <c r="AL40" s="1585"/>
      <c r="AM40" s="1585"/>
      <c r="AN40" s="1585"/>
      <c r="AO40" s="1585"/>
      <c r="AP40" s="1585"/>
      <c r="AQ40" s="1585"/>
      <c r="AR40" s="1585"/>
      <c r="AS40" s="1585"/>
      <c r="AT40" s="1585"/>
      <c r="AU40" s="1585"/>
      <c r="AV40" s="1585"/>
      <c r="AW40" s="1585"/>
      <c r="AX40" s="1585"/>
      <c r="AY40" s="1585"/>
      <c r="AZ40" s="1585"/>
      <c r="BA40" s="1585"/>
      <c r="BB40" s="1585"/>
      <c r="BC40" s="1585"/>
      <c r="BD40" s="1585"/>
      <c r="BE40" s="1586"/>
      <c r="BF40" s="6"/>
      <c r="BH40" s="6"/>
      <c r="BI40" s="1" t="s">
        <v>292</v>
      </c>
      <c r="BJ40" s="1526"/>
      <c r="BK40" s="1526"/>
      <c r="BL40" s="1526"/>
      <c r="BM40" s="1526"/>
      <c r="BN40" s="1526"/>
      <c r="BO40" s="1526"/>
      <c r="BP40" s="1526"/>
      <c r="BQ40" s="1526"/>
      <c r="BR40" s="1526"/>
      <c r="BS40" s="1526"/>
      <c r="BT40" s="1526"/>
      <c r="BU40" s="1526"/>
      <c r="BW40" s="6"/>
      <c r="BX40" s="6"/>
    </row>
    <row r="41" spans="1:81" s="6" customFormat="1" ht="46.9" hidden="1" customHeight="1">
      <c r="A41" s="37"/>
      <c r="B41" s="26"/>
      <c r="C41" s="23"/>
      <c r="D41" s="37"/>
      <c r="E41" s="37"/>
      <c r="F41" s="37"/>
      <c r="G41" s="37"/>
      <c r="H41" s="37"/>
      <c r="AB41" s="26"/>
      <c r="AC41" s="26"/>
      <c r="AD41" s="24"/>
      <c r="AE41" s="23"/>
      <c r="AF41" s="23"/>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I41" s="54" t="s">
        <v>296</v>
      </c>
      <c r="BJ41" s="165"/>
      <c r="BK41" s="165"/>
      <c r="BL41" s="165"/>
      <c r="BM41" s="165"/>
      <c r="BN41" s="165"/>
      <c r="BO41" s="165"/>
      <c r="BP41" s="165"/>
      <c r="BQ41" s="165"/>
      <c r="BR41" s="165"/>
      <c r="BS41" s="165"/>
      <c r="BT41" s="165"/>
      <c r="BU41" s="165"/>
      <c r="BV41"/>
      <c r="BW41"/>
      <c r="BX41"/>
    </row>
    <row r="42" spans="1:81" s="6" customFormat="1" ht="14.65" hidden="1" customHeight="1" thickBot="1">
      <c r="A42"/>
      <c r="B42" s="26"/>
      <c r="C42" s="23"/>
      <c r="D42" s="37"/>
      <c r="E42" s="37"/>
      <c r="F42" s="37"/>
      <c r="G42" s="37"/>
      <c r="H42" s="37"/>
      <c r="AB42" s="26"/>
      <c r="AC42" s="26"/>
      <c r="AD42" s="24"/>
      <c r="AE42" s="23"/>
      <c r="AF42" s="23"/>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c r="BI42" s="1" t="s">
        <v>300</v>
      </c>
      <c r="BJ42" s="165"/>
      <c r="BK42" s="165"/>
      <c r="BL42" s="165"/>
      <c r="BM42" s="165"/>
      <c r="BN42" s="165"/>
      <c r="BO42" s="165"/>
      <c r="BP42" s="165"/>
      <c r="BQ42" s="165"/>
      <c r="BR42" s="165"/>
      <c r="BS42" s="165"/>
      <c r="BT42" s="165"/>
      <c r="BU42" s="165"/>
      <c r="BV42"/>
      <c r="BY42"/>
      <c r="BZ42"/>
      <c r="CA42"/>
      <c r="CB42"/>
      <c r="CC42"/>
    </row>
    <row r="43" spans="1:81" s="6" customFormat="1" ht="14.65" hidden="1" customHeight="1" thickBot="1">
      <c r="B43" s="26"/>
      <c r="C43" s="23"/>
      <c r="D43" s="37"/>
      <c r="E43" s="37"/>
      <c r="F43" s="37"/>
      <c r="G43" s="37"/>
      <c r="H43" s="37"/>
      <c r="AB43" s="26"/>
      <c r="AC43" s="26"/>
      <c r="AD43" s="24"/>
      <c r="AE43" s="23"/>
      <c r="AF43" s="23"/>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I43" s="2"/>
      <c r="BJ43" s="2"/>
      <c r="BK43" s="2"/>
      <c r="BL43" s="1490"/>
      <c r="BM43" s="1491"/>
      <c r="BN43" s="1491"/>
      <c r="BO43" s="1491"/>
      <c r="BP43" s="1521"/>
      <c r="BQ43" s="1490" t="s">
        <v>487</v>
      </c>
      <c r="BR43" s="1491"/>
      <c r="BS43" s="1491"/>
      <c r="BT43" s="1491"/>
      <c r="BU43" s="1492"/>
      <c r="BV43"/>
      <c r="BW43" s="1490" t="s">
        <v>303</v>
      </c>
      <c r="BX43" s="1491"/>
      <c r="BY43" s="1491"/>
      <c r="BZ43" s="1491"/>
      <c r="CA43" s="1491"/>
      <c r="CB43" s="1491"/>
      <c r="CC43" s="1492"/>
    </row>
    <row r="44" spans="1:81" s="6" customFormat="1" ht="14.65" hidden="1" customHeight="1">
      <c r="B44" s="26"/>
      <c r="C44" s="23"/>
      <c r="D44" s="37"/>
      <c r="E44" s="37"/>
      <c r="F44" s="37"/>
      <c r="G44" s="37"/>
      <c r="H44" s="37"/>
      <c r="I44" s="37"/>
      <c r="J44" s="37"/>
      <c r="K44" s="37"/>
      <c r="L44" s="37"/>
      <c r="M44" s="37"/>
      <c r="N44" s="37"/>
      <c r="O44" s="37"/>
      <c r="P44" s="37"/>
      <c r="Q44" s="37"/>
      <c r="R44" s="37"/>
      <c r="S44" s="37"/>
      <c r="T44" s="37"/>
      <c r="U44" s="37"/>
      <c r="V44" s="23"/>
      <c r="W44" s="23"/>
      <c r="X44" s="23"/>
      <c r="Y44" s="25"/>
      <c r="Z44" s="25"/>
      <c r="AA44" s="25"/>
      <c r="AB44" s="25"/>
      <c r="AC44" s="25"/>
      <c r="AD44" s="24"/>
      <c r="AE44" s="23"/>
      <c r="AF44" s="23"/>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I44" s="720" t="s">
        <v>23</v>
      </c>
      <c r="BJ44" s="720" t="s">
        <v>37</v>
      </c>
      <c r="BK44" s="720" t="s">
        <v>304</v>
      </c>
      <c r="BL44" s="721" t="s">
        <v>305</v>
      </c>
      <c r="BM44" s="721" t="s">
        <v>306</v>
      </c>
      <c r="BN44" s="721" t="s">
        <v>679</v>
      </c>
      <c r="BO44" s="135" t="s">
        <v>680</v>
      </c>
      <c r="BP44" s="721" t="s">
        <v>490</v>
      </c>
      <c r="BQ44" s="721" t="s">
        <v>305</v>
      </c>
      <c r="BR44" s="721" t="s">
        <v>681</v>
      </c>
      <c r="BS44" s="721" t="s">
        <v>488</v>
      </c>
      <c r="BT44" s="135" t="s">
        <v>489</v>
      </c>
      <c r="BU44" s="721" t="s">
        <v>682</v>
      </c>
      <c r="BV44"/>
      <c r="BW44" s="164" t="s">
        <v>314</v>
      </c>
      <c r="BX44" s="164" t="s">
        <v>23</v>
      </c>
      <c r="BY44" s="168" t="s">
        <v>315</v>
      </c>
      <c r="BZ44" s="164" t="s">
        <v>122</v>
      </c>
      <c r="CA44" s="164" t="s">
        <v>316</v>
      </c>
      <c r="CB44" s="164" t="s">
        <v>317</v>
      </c>
      <c r="CC44" s="164" t="s">
        <v>318</v>
      </c>
    </row>
    <row r="45" spans="1:81" s="6" customFormat="1" ht="14.65" hidden="1"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I45" s="722" t="s">
        <v>319</v>
      </c>
      <c r="BJ45" s="722">
        <v>1</v>
      </c>
      <c r="BK45" s="722" t="s">
        <v>320</v>
      </c>
      <c r="BL45" s="743"/>
      <c r="BM45" s="744"/>
      <c r="BN45" s="736"/>
      <c r="BO45" s="139">
        <f>IF(SUM(BM45:BM47=0),0,SUM(BL45:BL47)/SUM(BM45:BM47))</f>
        <v>0</v>
      </c>
      <c r="BP45" s="736"/>
      <c r="BQ45" s="758"/>
      <c r="BR45" s="814"/>
      <c r="BS45" s="735"/>
      <c r="BT45" s="139">
        <f>IF(SUM(BR45:BR47=0),0,SUM(BQ45:BQ47)/SUM(BR45:BR47))</f>
        <v>0</v>
      </c>
      <c r="BU45" s="736"/>
      <c r="BV45"/>
      <c r="BX45" s="666" t="str">
        <f t="shared" ref="BX45:BX56" si="6">TEXT(CONCATENATE(CC45,"/01/20",CB45),"MMM")</f>
        <v>Oct</v>
      </c>
      <c r="BY45" s="728">
        <f>IF(CB45=$CB57,SUMIF($BI45:$BI56,$BX45,$BR45:$BR56),SUMIF($BI45:$BI56,$BX45,$BM45:$BM56))</f>
        <v>0</v>
      </c>
      <c r="BZ45" s="736" t="e">
        <f>IF(IF(CB45=CB57,SUMIF(BI45:BI56,$BX45,BU45:BU56),SUMIF(BI45:BI56,$BX45,BP45:BP56))=0,NA(),IF(CB45=CB57,SUMIF(BI45:BI56,$BX45,BU45:BU56),SUMIF(BI45:BI56,$BX45,BP45:BP56)))</f>
        <v>#N/A</v>
      </c>
      <c r="CA45" s="739" t="e">
        <f>IF(IF(CB45=CB57,SUMIF(BI45:BI56,$BX45,BS45:BS56),SUMIF(BI45:BI56,$BX45,BN45:BN56))=0,NA(),IF(CB45=CB57,SUMIF(BI45:BI56,$BX45,BS45:BS56),SUMIF(BI45:BI56,$BX45,BN45:BN56)))</f>
        <v>#N/A</v>
      </c>
      <c r="CB45" s="730">
        <v>19</v>
      </c>
      <c r="CC45" s="730">
        <f t="shared" ref="CC45:CC55" si="7">IF(CC46-1&lt;1,CC46+11,CC46-1)</f>
        <v>10</v>
      </c>
    </row>
    <row r="46" spans="1:81" s="6" customFormat="1" ht="14.65" hidden="1" customHeight="1">
      <c r="B46" s="45" t="s">
        <v>350</v>
      </c>
      <c r="C46" s="46"/>
      <c r="D46" s="46"/>
      <c r="E46" s="46"/>
      <c r="F46" s="46"/>
      <c r="G46" s="11"/>
      <c r="H46" s="11"/>
      <c r="I46" s="11"/>
      <c r="J46" s="11"/>
      <c r="K46" s="11"/>
      <c r="L46" s="48"/>
      <c r="M46" s="46"/>
      <c r="N46" s="4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I46" s="722" t="s">
        <v>321</v>
      </c>
      <c r="BJ46" s="722">
        <v>2</v>
      </c>
      <c r="BK46" s="722" t="s">
        <v>320</v>
      </c>
      <c r="BL46" s="743"/>
      <c r="BM46" s="744"/>
      <c r="BN46" s="736"/>
      <c r="BO46"/>
      <c r="BP46" s="736"/>
      <c r="BQ46" s="758"/>
      <c r="BR46" s="814"/>
      <c r="BS46" s="735"/>
      <c r="BT46"/>
      <c r="BU46" s="736"/>
      <c r="BV46"/>
      <c r="BX46" s="666" t="str">
        <f t="shared" si="6"/>
        <v>Nov</v>
      </c>
      <c r="BY46" s="728">
        <f>IF(CB46=$CB57,SUMIF($BI45:$BI56,$BX46,$BR45:$BR56),SUMIF($BI45:$BI56,$BX46,$BM45:$BM56))</f>
        <v>0</v>
      </c>
      <c r="BZ46" s="736" t="e">
        <f>IF(IF(CB46=CB57,SUMIF(BI45:BI56,$BX46,BU45:BU56),SUMIF(BI45:BI56,$BX46,BP45:BP56))=0,NA(),IF(CB46=CB57,SUMIF(BI45:BI56,$BX46,BU45:BU56),SUMIF(BI45:BI56,$BX46,BP45:BP56)))</f>
        <v>#N/A</v>
      </c>
      <c r="CA46" s="739" t="e">
        <f>IF(IF(CB46=CB57,SUMIF(BI45:BI56,$BX46,BS45:BS56),SUMIF(BI45:BI56,$BX46,BN45:BN56))=0,NA(),IF(CB46=CB57,SUMIF(BI45:BI56,$BX46,BS45:BS56),SUMIF(BI45:BI56,$BX46,BN45:BN56)))</f>
        <v>#N/A</v>
      </c>
      <c r="CB46" s="730">
        <v>19</v>
      </c>
      <c r="CC46" s="730">
        <f t="shared" si="7"/>
        <v>11</v>
      </c>
    </row>
    <row r="47" spans="1:81" s="6" customFormat="1" ht="14.65" hidden="1" customHeight="1">
      <c r="F47" s="21"/>
      <c r="G47" s="22"/>
      <c r="BI47" s="722" t="s">
        <v>322</v>
      </c>
      <c r="BJ47" s="722">
        <v>3</v>
      </c>
      <c r="BK47" s="722" t="s">
        <v>320</v>
      </c>
      <c r="BL47" s="743"/>
      <c r="BM47" s="744"/>
      <c r="BN47" s="736"/>
      <c r="BO47"/>
      <c r="BP47" s="736"/>
      <c r="BQ47" s="758"/>
      <c r="BR47" s="814"/>
      <c r="BS47" s="735"/>
      <c r="BT47"/>
      <c r="BU47" s="736"/>
      <c r="BV47"/>
      <c r="BX47" s="666" t="str">
        <f t="shared" si="6"/>
        <v>Dec</v>
      </c>
      <c r="BY47" s="728">
        <f>IF(CB47=$CB57,SUMIF($BI45:$BI56,$BX47,$BR45:$BR56),SUMIF($BI45:$BI56,$BX47,$BM45:$BM56))</f>
        <v>0</v>
      </c>
      <c r="BZ47" s="736" t="e">
        <f>IF(IF(CB47=CB57,SUMIF(BI45:BI56,$BX47,BU45:BU56),SUMIF(BI45:BI56,$BX47,BP45:BP56))=0,NA(),IF(CB47=CB57,SUMIF(BI45:BI56,$BX47,BU45:BU56),SUMIF(BI45:BI56,$BX47,BP45:BP56)))</f>
        <v>#N/A</v>
      </c>
      <c r="CA47" s="739" t="e">
        <f>IF(IF(CB47=CB57,SUMIF(BI45:BI56,$BX47,BS45:BS56),SUMIF(BI45:BI56,$BX47,BN45:BN56))=0,NA(),IF(CB47=CB57,SUMIF(BI45:BI56,$BX47,BS45:BS56),SUMIF(BI45:BI56,$BX47,BN45:BN56)))</f>
        <v>#N/A</v>
      </c>
      <c r="CB47" s="730">
        <v>19</v>
      </c>
      <c r="CC47" s="730">
        <f t="shared" si="7"/>
        <v>12</v>
      </c>
    </row>
    <row r="48" spans="1:81" s="6" customFormat="1" ht="14.65" hidden="1" customHeight="1">
      <c r="B48" s="52"/>
      <c r="F48" s="21"/>
      <c r="G48" s="22"/>
      <c r="AD48"/>
      <c r="BI48" s="722" t="s">
        <v>323</v>
      </c>
      <c r="BJ48" s="722">
        <v>4</v>
      </c>
      <c r="BK48" s="722" t="s">
        <v>324</v>
      </c>
      <c r="BL48" s="743"/>
      <c r="BM48" s="744"/>
      <c r="BN48" s="736"/>
      <c r="BO48" s="139">
        <f>IF(SUM(BM48:BM50=0),0,SUM(BL48:BL50)/SUM(BM48:BM50))</f>
        <v>0</v>
      </c>
      <c r="BP48" s="736"/>
      <c r="BQ48" s="758"/>
      <c r="BR48" s="814"/>
      <c r="BS48" s="735"/>
      <c r="BT48" s="139">
        <f>IF(SUM(BR48:BR50=0),0,SUM(BQ48:BQ50)/SUM(BR48:BR50))</f>
        <v>0</v>
      </c>
      <c r="BU48" s="736"/>
      <c r="BV48"/>
      <c r="BX48" s="666" t="str">
        <f t="shared" si="6"/>
        <v>Jan</v>
      </c>
      <c r="BY48" s="728">
        <f>IF(CB48=$CB57,SUMIF($BI45:$BI56,$BX48,$BR45:$BR56),SUMIF($BI45:$BI56,$BX48,$BM45:$BM56))</f>
        <v>0</v>
      </c>
      <c r="BZ48" s="736" t="e">
        <f>IF(IF(CB48=CB57,SUMIF(BI45:BI56,$BX48,BU45:BU56),SUMIF(BI45:BI56,$BX48,BP45:BP56))=0,NA(),IF(CB48=CB57,SUMIF(BI45:BI56,$BX48,BU45:BU56),SUMIF(BI45:BI56,$BX48,BP45:BP56)))</f>
        <v>#N/A</v>
      </c>
      <c r="CA48" s="739" t="e">
        <f>IF(IF(CB48=CB57,SUMIF(BI45:BI56,$BX48,BS45:BS56),SUMIF(BI45:BI56,$BX48,BN45:BN56))=0,NA(),IF(CB48=CB57,SUMIF(BI45:BI56,$BX48,BS45:BS56),SUMIF(BI45:BI56,$BX48,BN45:BN56)))</f>
        <v>#N/A</v>
      </c>
      <c r="CB48" s="730">
        <v>19</v>
      </c>
      <c r="CC48" s="730">
        <f t="shared" si="7"/>
        <v>1</v>
      </c>
    </row>
    <row r="49" spans="61:81" s="6" customFormat="1" ht="14.65" hidden="1" customHeight="1">
      <c r="BI49" s="722" t="s">
        <v>325</v>
      </c>
      <c r="BJ49" s="722">
        <v>5</v>
      </c>
      <c r="BK49" s="722" t="s">
        <v>324</v>
      </c>
      <c r="BL49" s="743"/>
      <c r="BM49" s="744"/>
      <c r="BN49" s="736"/>
      <c r="BO49"/>
      <c r="BP49" s="736"/>
      <c r="BQ49" s="758"/>
      <c r="BR49" s="814"/>
      <c r="BS49" s="735"/>
      <c r="BT49"/>
      <c r="BU49" s="736"/>
      <c r="BV49"/>
      <c r="BX49" s="666" t="str">
        <f t="shared" si="6"/>
        <v>Feb</v>
      </c>
      <c r="BY49" s="728">
        <f>IF(CB49=$CB57,SUMIF($BI45:$BI56,$BX49,$BR45:$BR56),SUMIF($BI45:$BI56,$BX49,$BM45:$BM56))</f>
        <v>0</v>
      </c>
      <c r="BZ49" s="736" t="e">
        <f>IF(IF(CB49=CB57,SUMIF(BI45:BI56,$BX49,BU45:BU56),SUMIF(BI45:BI56,$BX49,BP45:BP56))=0,NA(),IF(CB49=CB57,SUMIF(BI45:BI56,$BX49,BU45:BU56),SUMIF(BI45:BI56,$BX49,BP45:BP56)))</f>
        <v>#N/A</v>
      </c>
      <c r="CA49" s="739" t="e">
        <f>IF(IF(CB49=CB57,SUMIF(BI45:BI56,$BX49,BS45:BS56),SUMIF(BI45:BI56,$BX49,BN45:BN56))=0,NA(),IF(CB49=CB57,SUMIF(BI45:BI56,$BX49,BS45:BS56),SUMIF(BI45:BI56,$BX49,BN45:BN56)))</f>
        <v>#N/A</v>
      </c>
      <c r="CB49" s="730">
        <v>20</v>
      </c>
      <c r="CC49" s="730">
        <f t="shared" si="7"/>
        <v>2</v>
      </c>
    </row>
    <row r="50" spans="61:81" s="6" customFormat="1" ht="14.65" hidden="1" customHeight="1">
      <c r="BI50" s="722" t="s">
        <v>326</v>
      </c>
      <c r="BJ50" s="722">
        <v>6</v>
      </c>
      <c r="BK50" s="722" t="s">
        <v>324</v>
      </c>
      <c r="BL50" s="743"/>
      <c r="BM50" s="744"/>
      <c r="BN50" s="736"/>
      <c r="BO50"/>
      <c r="BP50" s="736"/>
      <c r="BQ50" s="758"/>
      <c r="BR50" s="814"/>
      <c r="BS50" s="735"/>
      <c r="BT50"/>
      <c r="BU50" s="736"/>
      <c r="BV50"/>
      <c r="BX50" s="666" t="str">
        <f t="shared" si="6"/>
        <v>Mar</v>
      </c>
      <c r="BY50" s="728">
        <f>IF(CB50=$CB57,SUMIF($BI45:$BI56,$BX50,$BR45:$BR56),SUMIF($BI45:$BI56,$BX50,$BM45:$BM56))</f>
        <v>0</v>
      </c>
      <c r="BZ50" s="736" t="e">
        <f>IF(IF(CB50=CB57,SUMIF(BI45:BI56,$BX50,BU45:BU56),SUMIF(BI45:BI56,$BX50,BP45:BP56))=0,NA(),IF(CB50=CB57,SUMIF(BI45:BI56,$BX50,BU45:BU56),SUMIF(BI45:BI56,$BX50,BP45:BP56)))</f>
        <v>#N/A</v>
      </c>
      <c r="CA50" s="739" t="e">
        <f>IF(IF(CB50=CB57,SUMIF(BI45:BI56,$BX50,BS45:BS56),SUMIF(BI45:BI56,$BX50,BN45:BN56))=0,NA(),IF(CB50=CB57,SUMIF(BI45:BI56,$BX50,BS45:BS56),SUMIF(BI45:BI56,$BX50,BN45:BN56)))</f>
        <v>#N/A</v>
      </c>
      <c r="CB50" s="730">
        <v>20</v>
      </c>
      <c r="CC50" s="730">
        <f t="shared" si="7"/>
        <v>3</v>
      </c>
    </row>
    <row r="51" spans="61:81" s="6" customFormat="1" ht="14.65" hidden="1" customHeight="1">
      <c r="BI51" s="722" t="s">
        <v>327</v>
      </c>
      <c r="BJ51" s="722">
        <v>7</v>
      </c>
      <c r="BK51" s="722" t="s">
        <v>328</v>
      </c>
      <c r="BL51" s="743"/>
      <c r="BM51" s="744"/>
      <c r="BN51" s="736"/>
      <c r="BO51" s="139">
        <f>IF(SUM(BM51:BM53=0),0,SUM(BL51:BL53)/SUM(BM51:BM53))</f>
        <v>0</v>
      </c>
      <c r="BP51" s="736"/>
      <c r="BQ51" s="758"/>
      <c r="BR51" s="814"/>
      <c r="BS51" s="735"/>
      <c r="BT51" s="139">
        <f>IF(SUM(BR51:BR53=0),0,SUM(BQ51:BQ53)/SUM(BR51:BR53))</f>
        <v>0</v>
      </c>
      <c r="BU51" s="736"/>
      <c r="BV51"/>
      <c r="BX51" s="666" t="str">
        <f t="shared" si="6"/>
        <v>Apr</v>
      </c>
      <c r="BY51" s="728">
        <f>IF(CB51=$CB57,SUMIF($BI45:$BI56,$BX51,$BR45:$BR56),SUMIF($BI45:$BI56,$BX51,$BM45:$BM56))</f>
        <v>0</v>
      </c>
      <c r="BZ51" s="736" t="e">
        <f>IF(IF(CB51=CB57,SUMIF(BI45:BI56,$BX51,BU45:BU56),SUMIF(BI45:BI56,$BX51,BP45:BP56))=0,NA(),IF(CB51=CB57,SUMIF(BI45:BI56,$BX51,BU45:BU56),SUMIF(BI45:BI56,$BX51,BP45:BP56)))</f>
        <v>#N/A</v>
      </c>
      <c r="CA51" s="739" t="e">
        <f>IF(IF(CB51=CB57,SUMIF(BI45:BI56,$BX51,BS45:BS56),SUMIF(BI45:BI56,$BX51,BN45:BN56))=0,NA(),IF(CB51=CB57,SUMIF(BI45:BI56,$BX51,BS45:BS56),SUMIF(BI45:BI56,$BX51,BN45:BN56)))</f>
        <v>#N/A</v>
      </c>
      <c r="CB51" s="730">
        <v>20</v>
      </c>
      <c r="CC51" s="730">
        <f t="shared" si="7"/>
        <v>4</v>
      </c>
    </row>
    <row r="52" spans="61:81" s="6" customFormat="1" ht="14.65" hidden="1" customHeight="1">
      <c r="BI52" s="722" t="s">
        <v>329</v>
      </c>
      <c r="BJ52" s="722">
        <v>8</v>
      </c>
      <c r="BK52" s="722" t="s">
        <v>328</v>
      </c>
      <c r="BL52" s="743"/>
      <c r="BM52" s="744"/>
      <c r="BN52" s="736"/>
      <c r="BO52"/>
      <c r="BP52" s="736"/>
      <c r="BQ52" s="758"/>
      <c r="BR52" s="814"/>
      <c r="BS52" s="735"/>
      <c r="BT52"/>
      <c r="BU52" s="736"/>
      <c r="BV52"/>
      <c r="BX52" s="666" t="str">
        <f t="shared" si="6"/>
        <v>May</v>
      </c>
      <c r="BY52" s="728">
        <f>IF(CB52=$CB57,SUMIF($BI45:$BI56,$BX52,$BR45:$BR56),SUMIF($BI45:$BI56,$BX52,$BM45:$BM56))</f>
        <v>0</v>
      </c>
      <c r="BZ52" s="736" t="e">
        <f>IF(IF(CB52=CB57,SUMIF(BI45:BI56,$BX52,BU45:BU56),SUMIF(BI45:BI56,$BX52,BP45:BP56))=0,NA(),IF(CB52=CB57,SUMIF(BI45:BI56,$BX52,BU45:BU56),SUMIF(BI45:BI56,$BX52,BP45:BP56)))</f>
        <v>#N/A</v>
      </c>
      <c r="CA52" s="739" t="e">
        <f>IF(IF(CB52=CB57,SUMIF(BI45:BI56,$BX52,BS45:BS56),SUMIF(BI45:BI56,$BX52,BN45:BN56))=0,NA(),IF(CB52=CB57,SUMIF(BI45:BI56,$BX52,BS45:BS56),SUMIF(BI45:BI56,$BX52,BN45:BN56)))</f>
        <v>#N/A</v>
      </c>
      <c r="CB52" s="730">
        <v>20</v>
      </c>
      <c r="CC52" s="730">
        <f t="shared" si="7"/>
        <v>5</v>
      </c>
    </row>
    <row r="53" spans="61:81" s="6" customFormat="1" ht="14.65" hidden="1" customHeight="1">
      <c r="BI53" s="722" t="s">
        <v>331</v>
      </c>
      <c r="BJ53" s="722">
        <v>9</v>
      </c>
      <c r="BK53" s="722" t="s">
        <v>328</v>
      </c>
      <c r="BL53" s="743"/>
      <c r="BM53" s="744"/>
      <c r="BN53" s="736"/>
      <c r="BO53"/>
      <c r="BP53" s="736"/>
      <c r="BQ53" s="758"/>
      <c r="BR53" s="814"/>
      <c r="BS53" s="735"/>
      <c r="BT53"/>
      <c r="BU53" s="736"/>
      <c r="BV53"/>
      <c r="BX53" s="666" t="str">
        <f t="shared" si="6"/>
        <v>Jun</v>
      </c>
      <c r="BY53" s="728">
        <f>IF(CB53=$CB57,SUMIF($BI45:$BI56,$BX53,$BR45:$BR56),SUMIF($BI45:$BI56,$BX53,$BM45:$BM56))</f>
        <v>0</v>
      </c>
      <c r="BZ53" s="736" t="e">
        <f>IF(IF(CB53=CB57,SUMIF(BI45:BI56,$BX53,BU45:BU56),SUMIF(BI45:BI56,$BX53,BP45:BP56))=0,NA(),IF(CB53=CB57,SUMIF(BI45:BI56,$BX53,BU45:BU56),SUMIF(BI45:BI56,$BX53,BP45:BP56)))</f>
        <v>#N/A</v>
      </c>
      <c r="CA53" s="739" t="e">
        <f>IF(IF(CB53=CB57,SUMIF(BI45:BI56,$BX53,BS45:BS56),SUMIF(BI45:BI56,$BX53,BN45:BN56))=0,NA(),IF(CB53=CB57,SUMIF(BI45:BI56,$BX53,BS45:BS56),SUMIF(BI45:BI56,$BX53,BN45:BN56)))</f>
        <v>#N/A</v>
      </c>
      <c r="CB53" s="730">
        <v>20</v>
      </c>
      <c r="CC53" s="730">
        <f t="shared" si="7"/>
        <v>6</v>
      </c>
    </row>
    <row r="54" spans="61:81" s="6" customFormat="1" ht="14.65" hidden="1" customHeight="1">
      <c r="BI54" s="722" t="s">
        <v>337</v>
      </c>
      <c r="BJ54" s="722">
        <v>10</v>
      </c>
      <c r="BK54" s="722" t="s">
        <v>338</v>
      </c>
      <c r="BL54" s="743"/>
      <c r="BM54" s="744"/>
      <c r="BN54" s="736"/>
      <c r="BO54" s="139">
        <f>IF(SUM(BM54:BM56=0),0,SUM(BL54:BL56)/SUM(BM54:BM56))</f>
        <v>0</v>
      </c>
      <c r="BP54" s="736"/>
      <c r="BQ54" s="758"/>
      <c r="BR54" s="814"/>
      <c r="BS54" s="735"/>
      <c r="BT54" s="139">
        <f>IF(SUM(BR54:BR56=0),0,SUM(BQ54:BQ56)/SUM(BR54:BR56))</f>
        <v>0</v>
      </c>
      <c r="BU54" s="736"/>
      <c r="BV54"/>
      <c r="BX54" s="666" t="str">
        <f t="shared" si="6"/>
        <v>Jul</v>
      </c>
      <c r="BY54" s="728">
        <f>IF(CB54=$CB57,SUMIF($BI45:$BI56,$BX54,$BR45:$BR56),SUMIF($BI45:$BI56,$BX54,$BM45:$BM56))</f>
        <v>0</v>
      </c>
      <c r="BZ54" s="736" t="e">
        <f>IF(IF(CB54=CB57,SUMIF(BI45:BI56,$BX54,BU45:BU56),SUMIF(BI45:BI56,$BX54,BP45:BP56))=0,NA(),IF(CB54=CB57,SUMIF(BI45:BI56,$BX54,BU45:BU56),SUMIF(BI45:BI56,$BX54,BP45:BP56)))</f>
        <v>#N/A</v>
      </c>
      <c r="CA54" s="739" t="e">
        <f>IF(IF(CB54=CB57,SUMIF(BI45:BI56,$BX54,BS45:BS56),SUMIF(BI45:BI56,$BX54,BN45:BN56))=0,NA(),IF(CB54=CB57,SUMIF(BI45:BI56,$BX54,BS45:BS56),SUMIF(BI45:BI56,$BX54,BN45:BN56)))</f>
        <v>#N/A</v>
      </c>
      <c r="CB54" s="730">
        <v>20</v>
      </c>
      <c r="CC54" s="730">
        <f t="shared" si="7"/>
        <v>7</v>
      </c>
    </row>
    <row r="55" spans="61:81" s="6" customFormat="1" ht="14.65" hidden="1" customHeight="1">
      <c r="BI55" s="722" t="s">
        <v>343</v>
      </c>
      <c r="BJ55" s="722">
        <v>11</v>
      </c>
      <c r="BK55" s="722" t="s">
        <v>338</v>
      </c>
      <c r="BL55" s="743"/>
      <c r="BM55" s="744"/>
      <c r="BN55" s="736"/>
      <c r="BO55"/>
      <c r="BP55" s="736"/>
      <c r="BQ55" s="758"/>
      <c r="BR55" s="814"/>
      <c r="BS55" s="735"/>
      <c r="BT55"/>
      <c r="BU55" s="736"/>
      <c r="BV55"/>
      <c r="BX55" s="666" t="str">
        <f t="shared" si="6"/>
        <v>Aug</v>
      </c>
      <c r="BY55" s="728">
        <f>IF(CB55=$CB57,SUMIF($BI45:$BI56,$BX55,$BR45:$BR56),SUMIF($BI45:$BI56,$BX55,$BM45:$BM56))</f>
        <v>0</v>
      </c>
      <c r="BZ55" s="736" t="e">
        <f>IF(IF(CB55=CB57,SUMIF(BI45:BI56,$BX55,BU45:BU56),SUMIF(BI45:BI56,$BX55,BP45:BP56))=0,NA(),IF(CB55=CB57,SUMIF(BI45:BI56,$BX55,BU45:BU56),SUMIF(BI45:BI56,$BX55,BP45:BP56)))</f>
        <v>#N/A</v>
      </c>
      <c r="CA55" s="739" t="e">
        <f>IF(IF(CB55=CB57,SUMIF(BI45:BI56,$BX55,BS45:BS56),SUMIF(BI45:BI56,$BX55,BN45:BN56))=0,NA(),IF(CB55=CB57,SUMIF(BI45:BI56,$BX55,BS45:BS56),SUMIF(BI45:BI56,$BX55,BN45:BN56)))</f>
        <v>#N/A</v>
      </c>
      <c r="CB55" s="730">
        <v>20</v>
      </c>
      <c r="CC55" s="730">
        <f t="shared" si="7"/>
        <v>8</v>
      </c>
    </row>
    <row r="56" spans="61:81" s="6" customFormat="1" ht="14.65" hidden="1" customHeight="1">
      <c r="BI56" s="722" t="s">
        <v>344</v>
      </c>
      <c r="BJ56" s="722">
        <v>12</v>
      </c>
      <c r="BK56" s="722" t="s">
        <v>338</v>
      </c>
      <c r="BL56" s="743"/>
      <c r="BM56" s="744"/>
      <c r="BN56" s="736"/>
      <c r="BO56"/>
      <c r="BP56" s="736"/>
      <c r="BQ56" s="758"/>
      <c r="BR56" s="814"/>
      <c r="BS56" s="735"/>
      <c r="BT56"/>
      <c r="BU56" s="736"/>
      <c r="BV56"/>
      <c r="BX56" s="666" t="str">
        <f t="shared" si="6"/>
        <v>Sep</v>
      </c>
      <c r="BY56" s="728">
        <f>IF(CB56=$CB57,SUMIF($BI45:$BI56,$BX56,$BR45:$BR56),SUMIF($BI45:$BI56,$BX56,$BM45:$BM56))</f>
        <v>0</v>
      </c>
      <c r="BZ56" s="736" t="e">
        <f>IF(IF(CB56=CB57,SUMIF(BI45:BI56,$BX56,BU45:BU56),SUMIF(BI45:BI56,$BX56,BP45:BP56))=0,NA(),IF(CB56=CB57,SUMIF(BI45:BI56,$BX56,BU45:BU56),SUMIF(BI45:BI56,$BX56,BP45:BP56)))</f>
        <v>#N/A</v>
      </c>
      <c r="CA56" s="739" t="e">
        <f>IF(IF(CB56=CB57,SUMIF(BI45:BI56,$BX56,BS45:BS56),SUMIF(BI45:BI56,$BX56,BN45:BN56))=0,NA(),IF(CB56=CB57,SUMIF(BI45:BI56,$BX56,BS45:BS56),SUMIF(BI45:BI56,$BX56,BN45:BN56)))</f>
        <v>#N/A</v>
      </c>
      <c r="CB56" s="730">
        <v>20</v>
      </c>
      <c r="CC56" s="730">
        <f>IF(CC57-1&lt;1,CC57+11,CC57-1)</f>
        <v>9</v>
      </c>
    </row>
    <row r="57" spans="61:81" s="6" customFormat="1" ht="14.65" hidden="1" customHeight="1">
      <c r="BI57"/>
      <c r="BJ57" s="2"/>
      <c r="BK57" s="2"/>
      <c r="BL57" s="2"/>
      <c r="BM57" s="153"/>
      <c r="BN57" s="2"/>
      <c r="BO57" s="2"/>
      <c r="BP57" s="2"/>
      <c r="BQ57" s="2"/>
      <c r="BR57" s="2"/>
      <c r="BS57" s="2"/>
      <c r="BT57" s="2"/>
      <c r="BU57"/>
      <c r="BV57"/>
      <c r="BW57" s="667" t="str">
        <f>Cover!$M$34</f>
        <v>OCT FY-24</v>
      </c>
      <c r="BX57" s="666" t="str">
        <f>TEXT(CONCATENATE(CC57,"/01/20",CB57),"MMM")</f>
        <v>Oct</v>
      </c>
      <c r="BY57" s="728">
        <f>SUMIF($BI45:$BI56,$BX57,$BR45:$BR56)</f>
        <v>0</v>
      </c>
      <c r="BZ57" s="736" t="e">
        <f>IF(IF(CB57=CB57,SUMIF(BI45:BI56,$BX57,BU45:BU56),SUMIF(BI45:BI56,$BX57,BP45:BP56))=0,NA(),IF(CB57=CB57,SUMIF(BI45:BI56,$BX57,BU45:BU56),SUMIF(BI45:BI56,$BX57,BP45:BP56)))</f>
        <v>#N/A</v>
      </c>
      <c r="CA57" s="739" t="e">
        <f>IF(SUMIF($BI45:$BI56,$BX57,$BS45:$BS56)=0,NA(),SUMIF($BI45:$BI56,$BX57,$BS45:$BS56))</f>
        <v>#N/A</v>
      </c>
      <c r="CB57" s="730">
        <v>20</v>
      </c>
      <c r="CC57" s="730">
        <f>MONTH(DATEVALUE(LEFT(BW57,3)&amp;" 1"))</f>
        <v>10</v>
      </c>
    </row>
    <row r="58" spans="61:81" s="6" customFormat="1" ht="14.65" hidden="1" customHeight="1">
      <c r="BV58"/>
    </row>
    <row r="59" spans="61:81" s="6" customFormat="1" ht="14.65" hidden="1" customHeight="1">
      <c r="BI59" s="1" t="s">
        <v>292</v>
      </c>
      <c r="BJ59" s="166" t="s">
        <v>559</v>
      </c>
      <c r="BK59" s="166"/>
      <c r="BL59" s="166"/>
      <c r="BM59" s="166"/>
      <c r="BN59" s="166"/>
      <c r="BO59" s="166"/>
      <c r="BP59" s="166"/>
      <c r="BQ59" s="166"/>
      <c r="BR59" s="166"/>
      <c r="BS59" s="166"/>
      <c r="BT59" s="166"/>
      <c r="BU59" s="166"/>
      <c r="BV59"/>
    </row>
    <row r="60" spans="61:81" s="6" customFormat="1" ht="14.65" hidden="1" customHeight="1">
      <c r="BI60" s="54" t="s">
        <v>296</v>
      </c>
      <c r="BJ60" s="165" t="s">
        <v>560</v>
      </c>
      <c r="BK60" s="165"/>
      <c r="BL60" s="165"/>
      <c r="BM60" s="165"/>
      <c r="BN60" s="165"/>
      <c r="BO60" s="165"/>
      <c r="BP60" s="165"/>
      <c r="BQ60" s="165"/>
      <c r="BR60" s="165"/>
      <c r="BS60" s="165"/>
      <c r="BT60" s="165"/>
      <c r="BU60" s="165"/>
      <c r="BV60"/>
    </row>
    <row r="61" spans="61:81" s="6" customFormat="1" ht="14.65" hidden="1" customHeight="1" thickBot="1">
      <c r="BI61" s="1" t="s">
        <v>300</v>
      </c>
      <c r="BJ61" s="165" t="s">
        <v>561</v>
      </c>
      <c r="BK61" s="165"/>
      <c r="BL61" s="165"/>
      <c r="BM61" s="165"/>
      <c r="BN61" s="165"/>
      <c r="BO61" s="165"/>
      <c r="BP61" s="165"/>
      <c r="BQ61" s="165"/>
      <c r="BR61" s="165"/>
      <c r="BS61" s="165"/>
      <c r="BT61" s="165"/>
      <c r="BU61" s="165"/>
      <c r="BV61"/>
    </row>
    <row r="62" spans="61:81" s="6" customFormat="1" ht="14.65" hidden="1" customHeight="1" thickBot="1">
      <c r="BI62" s="2"/>
      <c r="BJ62" s="2"/>
      <c r="BK62" s="2"/>
      <c r="BL62" s="1490" t="s">
        <v>683</v>
      </c>
      <c r="BM62" s="1491"/>
      <c r="BN62" s="1491"/>
      <c r="BO62" s="1491"/>
      <c r="BP62" s="1521"/>
      <c r="BQ62" s="1490" t="s">
        <v>487</v>
      </c>
      <c r="BR62" s="1491"/>
      <c r="BS62" s="1491"/>
      <c r="BT62" s="1491"/>
      <c r="BU62" s="1492"/>
      <c r="BV62"/>
      <c r="BW62" s="1490" t="s">
        <v>303</v>
      </c>
      <c r="BX62" s="1491"/>
      <c r="BY62" s="1491"/>
      <c r="BZ62" s="1491"/>
      <c r="CA62" s="1491"/>
      <c r="CB62" s="1491"/>
      <c r="CC62" s="1492"/>
    </row>
    <row r="63" spans="61:81" s="6" customFormat="1" ht="14.65" hidden="1" customHeight="1">
      <c r="BI63" s="720" t="s">
        <v>23</v>
      </c>
      <c r="BJ63" s="720" t="s">
        <v>37</v>
      </c>
      <c r="BK63" s="720" t="s">
        <v>304</v>
      </c>
      <c r="BL63" s="721" t="s">
        <v>305</v>
      </c>
      <c r="BM63" s="721" t="s">
        <v>306</v>
      </c>
      <c r="BN63" s="721" t="s">
        <v>679</v>
      </c>
      <c r="BO63" s="135" t="s">
        <v>680</v>
      </c>
      <c r="BP63" s="721" t="s">
        <v>490</v>
      </c>
      <c r="BQ63" s="721" t="s">
        <v>305</v>
      </c>
      <c r="BR63" s="721" t="s">
        <v>681</v>
      </c>
      <c r="BS63" s="721" t="s">
        <v>488</v>
      </c>
      <c r="BT63" s="135" t="s">
        <v>489</v>
      </c>
      <c r="BU63" s="721" t="s">
        <v>682</v>
      </c>
      <c r="BV63"/>
      <c r="BW63" s="164" t="s">
        <v>314</v>
      </c>
      <c r="BX63" s="164" t="s">
        <v>23</v>
      </c>
      <c r="BY63" s="168" t="s">
        <v>315</v>
      </c>
      <c r="BZ63" s="164" t="s">
        <v>122</v>
      </c>
      <c r="CA63" s="164" t="s">
        <v>316</v>
      </c>
      <c r="CB63" s="164" t="s">
        <v>317</v>
      </c>
      <c r="CC63" s="164" t="s">
        <v>318</v>
      </c>
    </row>
    <row r="64" spans="61:81" s="6" customFormat="1" ht="14.65" hidden="1" customHeight="1">
      <c r="BI64" s="722" t="s">
        <v>319</v>
      </c>
      <c r="BJ64" s="722">
        <v>1</v>
      </c>
      <c r="BK64" s="722" t="s">
        <v>320</v>
      </c>
      <c r="BL64" s="726"/>
      <c r="BM64" s="744"/>
      <c r="BN64" s="744"/>
      <c r="BO64" s="140">
        <f>IF(SUM(BM64:BM66=0),0,SUM(BL64:BL66)/SUM(BM64:BM66))</f>
        <v>0</v>
      </c>
      <c r="BP64" s="725"/>
      <c r="BQ64" s="726"/>
      <c r="BR64" s="814"/>
      <c r="BS64" s="814"/>
      <c r="BT64" s="140">
        <f>IF(SUM(BR64:BR66=0),0,SUM(BQ64:BQ66)/SUM(BR64:BR66))</f>
        <v>0</v>
      </c>
      <c r="BU64" s="725"/>
      <c r="BV64"/>
      <c r="BX64" s="666" t="str">
        <f t="shared" ref="BX64:BX75" si="8">TEXT(CONCATENATE(CC64,"/01/20",CB64),"MMM")</f>
        <v>Oct</v>
      </c>
      <c r="BY64" s="728">
        <f>IF(CB64=$CB76,SUMIF($BI64:$BI75,$BX64,$BR64:$BR75),SUMIF($BI64:$BI75,$BX64,$BM64:$BM75))</f>
        <v>0</v>
      </c>
      <c r="BZ64" s="746" t="e">
        <f>IF(IF(CB64=CB76,SUMIF(BI64:BI75,$BX64,BU64:BU75),SUMIF(BI64:BI75,$BX64,BP64:BP75))=0,NA(),IF(CB64=CB76,SUMIF(BI64:BI75,$BX64,BU64:BU75),SUMIF(BI64:BI75,$BX64,BP64:BP75)))</f>
        <v>#N/A</v>
      </c>
      <c r="CA64" s="747" t="e">
        <f>IF(IF(CB64=CB76,SUMIF(BI64:BI75,$BX64,BS64:BS75),SUMIF(BI64:BI75,$BX64,BN64:BN75))=0,NA(),IF(CB64=CB76,SUMIF(BI64:BI75,$BX64,BS64:BS75),SUMIF(BI64:BI75,$BX64,BN64:BN75)))</f>
        <v>#N/A</v>
      </c>
      <c r="CB64" s="730">
        <v>19</v>
      </c>
      <c r="CC64" s="730">
        <f t="shared" ref="CC64:CC74" si="9">IF(CC65-1&lt;1,CC65+11,CC65-1)</f>
        <v>10</v>
      </c>
    </row>
    <row r="65" spans="2:81" s="6" customFormat="1" ht="14.65" hidden="1" customHeight="1">
      <c r="B65" s="44" t="s">
        <v>242</v>
      </c>
      <c r="C65" s="44"/>
      <c r="D65" s="44"/>
      <c r="E65" s="87"/>
      <c r="F65" s="94"/>
      <c r="G65" s="94"/>
      <c r="H65" s="94"/>
      <c r="I65" s="94"/>
      <c r="J65" s="94"/>
      <c r="K65" s="94"/>
      <c r="L65" s="94"/>
      <c r="M65" s="94"/>
      <c r="N65" s="94"/>
      <c r="O65" s="94"/>
      <c r="P65" s="94"/>
      <c r="Q65" s="94"/>
      <c r="R65" s="94"/>
      <c r="S65" s="94"/>
      <c r="T65" s="94"/>
      <c r="U65" s="94"/>
      <c r="V65" s="94"/>
      <c r="W65" s="94"/>
      <c r="X65" s="94"/>
      <c r="Y65" s="94"/>
      <c r="Z65" s="94"/>
      <c r="AA65" s="94"/>
      <c r="AB65" s="94"/>
      <c r="AE65" s="44" t="s">
        <v>242</v>
      </c>
      <c r="AF65" s="44"/>
      <c r="AG65" s="44"/>
      <c r="AH65" s="87"/>
      <c r="AI65" s="94"/>
      <c r="AJ65" s="94"/>
      <c r="AK65" s="94"/>
      <c r="AL65" s="94"/>
      <c r="AM65" s="94"/>
      <c r="AN65" s="94"/>
      <c r="AO65" s="94"/>
      <c r="AP65" s="94"/>
      <c r="AQ65" s="94"/>
      <c r="AR65" s="94"/>
      <c r="AS65" s="94"/>
      <c r="AT65" s="94"/>
      <c r="AU65" s="94"/>
      <c r="AV65" s="94"/>
      <c r="AW65" s="94"/>
      <c r="AX65" s="94"/>
      <c r="AY65" s="94"/>
      <c r="AZ65" s="94"/>
      <c r="BA65" s="94"/>
      <c r="BB65" s="94"/>
      <c r="BC65" s="94"/>
      <c r="BD65" s="94"/>
      <c r="BE65" s="94"/>
      <c r="BI65" s="722" t="s">
        <v>321</v>
      </c>
      <c r="BJ65" s="722">
        <v>2</v>
      </c>
      <c r="BK65" s="722" t="s">
        <v>320</v>
      </c>
      <c r="BL65" s="726"/>
      <c r="BM65" s="743"/>
      <c r="BN65" s="744"/>
      <c r="BO65" s="136"/>
      <c r="BP65" s="725"/>
      <c r="BQ65" s="726"/>
      <c r="BR65" s="758"/>
      <c r="BS65" s="814"/>
      <c r="BT65" s="136"/>
      <c r="BU65" s="725"/>
      <c r="BV65"/>
      <c r="BX65" s="666" t="str">
        <f t="shared" si="8"/>
        <v>Nov</v>
      </c>
      <c r="BY65" s="728">
        <f>IF(CB65=$CB76,SUMIF($BI64:$BI75,$BX65,$BR64:$BR75),SUMIF($BI64:$BI75,$BX65,$BM64:$BM75))</f>
        <v>0</v>
      </c>
      <c r="BZ65" s="746" t="e">
        <f>IF(IF(CB65=CB76,SUMIF(BI64:BI75,$BX65,BU64:BU75),SUMIF(BI64:BI75,$BX65,BP64:BP75))=0,NA(),IF(CB65=CB76,SUMIF(BI64:BI75,$BX65,BU64:BU75),SUMIF(BI64:BI75,$BX65,BP64:BP75)))</f>
        <v>#N/A</v>
      </c>
      <c r="CA65" s="747" t="e">
        <f>IF(IF(CB65=CB76,SUMIF(BI64:BI75,$BX65,BS64:BS75),SUMIF(BI64:BI75,$BX65,BN64:BN75))=0,NA(),IF(CB65=CB76,SUMIF(BI64:BI75,$BX65,BS64:BS75),SUMIF(BI64:BI75,$BX65,BN64:BN75)))</f>
        <v>#N/A</v>
      </c>
      <c r="CB65" s="730">
        <v>19</v>
      </c>
      <c r="CC65" s="730">
        <f t="shared" si="9"/>
        <v>11</v>
      </c>
    </row>
    <row r="66" spans="2:81" s="6" customFormat="1" ht="14.65" hidden="1" customHeight="1">
      <c r="B66" s="1510"/>
      <c r="C66" s="1511"/>
      <c r="D66" s="1511"/>
      <c r="E66" s="1511"/>
      <c r="F66" s="1511"/>
      <c r="G66" s="1511"/>
      <c r="H66" s="1511"/>
      <c r="I66" s="1511"/>
      <c r="J66" s="1511"/>
      <c r="K66" s="1511"/>
      <c r="L66" s="1511"/>
      <c r="M66" s="1511"/>
      <c r="N66" s="1511"/>
      <c r="O66" s="1511"/>
      <c r="P66" s="1511"/>
      <c r="Q66" s="1511"/>
      <c r="R66" s="1511"/>
      <c r="S66" s="1511"/>
      <c r="T66" s="1511"/>
      <c r="U66" s="1511"/>
      <c r="V66" s="1511"/>
      <c r="W66" s="1511"/>
      <c r="X66" s="1511"/>
      <c r="Y66" s="1511"/>
      <c r="Z66" s="1511"/>
      <c r="AA66" s="1511"/>
      <c r="AB66" s="1512"/>
      <c r="AE66" s="1510"/>
      <c r="AF66" s="1511"/>
      <c r="AG66" s="1511"/>
      <c r="AH66" s="1511"/>
      <c r="AI66" s="1511"/>
      <c r="AJ66" s="1511"/>
      <c r="AK66" s="1511"/>
      <c r="AL66" s="1511"/>
      <c r="AM66" s="1511"/>
      <c r="AN66" s="1511"/>
      <c r="AO66" s="1511"/>
      <c r="AP66" s="1511"/>
      <c r="AQ66" s="1511"/>
      <c r="AR66" s="1511"/>
      <c r="AS66" s="1511"/>
      <c r="AT66" s="1511"/>
      <c r="AU66" s="1511"/>
      <c r="AV66" s="1511"/>
      <c r="AW66" s="1511"/>
      <c r="AX66" s="1511"/>
      <c r="AY66" s="1511"/>
      <c r="AZ66" s="1511"/>
      <c r="BA66" s="1511"/>
      <c r="BB66" s="1511"/>
      <c r="BC66" s="1511"/>
      <c r="BD66" s="1511"/>
      <c r="BE66" s="1512"/>
      <c r="BI66" s="722" t="s">
        <v>322</v>
      </c>
      <c r="BJ66" s="722">
        <v>3</v>
      </c>
      <c r="BK66" s="722" t="s">
        <v>320</v>
      </c>
      <c r="BL66" s="726"/>
      <c r="BM66" s="744"/>
      <c r="BN66" s="744"/>
      <c r="BO66" s="136"/>
      <c r="BP66" s="725"/>
      <c r="BQ66" s="726"/>
      <c r="BR66" s="814"/>
      <c r="BS66" s="814"/>
      <c r="BT66" s="136"/>
      <c r="BU66" s="725"/>
      <c r="BV66"/>
      <c r="BX66" s="666" t="str">
        <f t="shared" si="8"/>
        <v>Dec</v>
      </c>
      <c r="BY66" s="728">
        <f>IF(CB66=$CB76,SUMIF($BI64:$BI75,$BX66,$BR64:$BR75),SUMIF($BI64:$BI75,$BX66,$BM64:$BM75))</f>
        <v>0</v>
      </c>
      <c r="BZ66" s="746" t="e">
        <f>IF(IF(CB66=CB76,SUMIF(BI64:BI75,$BX66,BU64:BU75),SUMIF(BI64:BI75,$BX66,BP64:BP75))=0,NA(),IF(CB66=CB76,SUMIF(BI64:BI75,$BX66,BU64:BU75),SUMIF(BI64:BI75,$BX66,BP64:BP75)))</f>
        <v>#N/A</v>
      </c>
      <c r="CA66" s="747" t="e">
        <f>IF(IF(CB66=CB76,SUMIF(BI64:BI75,$BX66,BS64:BS75),SUMIF(BI64:BI75,$BX66,BN64:BN75))=0,NA(),IF(CB66=CB76,SUMIF(BI64:BI75,$BX66,BS64:BS75),SUMIF(BI64:BI75,$BX66,BN64:BN75)))</f>
        <v>#N/A</v>
      </c>
      <c r="CB66" s="730">
        <v>19</v>
      </c>
      <c r="CC66" s="730">
        <f t="shared" si="9"/>
        <v>12</v>
      </c>
    </row>
    <row r="67" spans="2:81" s="6" customFormat="1" ht="14.65" hidden="1" customHeight="1">
      <c r="B67" s="1513"/>
      <c r="C67" s="1514"/>
      <c r="D67" s="1514"/>
      <c r="E67" s="1514"/>
      <c r="F67" s="1514"/>
      <c r="G67" s="1514"/>
      <c r="H67" s="1514"/>
      <c r="I67" s="1514"/>
      <c r="J67" s="1514"/>
      <c r="K67" s="1514"/>
      <c r="L67" s="1514"/>
      <c r="M67" s="1514"/>
      <c r="N67" s="1514"/>
      <c r="O67" s="1514"/>
      <c r="P67" s="1514"/>
      <c r="Q67" s="1514"/>
      <c r="R67" s="1514"/>
      <c r="S67" s="1514"/>
      <c r="T67" s="1514"/>
      <c r="U67" s="1514"/>
      <c r="V67" s="1514"/>
      <c r="W67" s="1514"/>
      <c r="X67" s="1514"/>
      <c r="Y67" s="1514"/>
      <c r="Z67" s="1514"/>
      <c r="AA67" s="1514"/>
      <c r="AB67" s="1515"/>
      <c r="AE67" s="1513"/>
      <c r="AF67" s="1514"/>
      <c r="AG67" s="1514"/>
      <c r="AH67" s="1514"/>
      <c r="AI67" s="1514"/>
      <c r="AJ67" s="1514"/>
      <c r="AK67" s="1514"/>
      <c r="AL67" s="1514"/>
      <c r="AM67" s="1514"/>
      <c r="AN67" s="1514"/>
      <c r="AO67" s="1514"/>
      <c r="AP67" s="1514"/>
      <c r="AQ67" s="1514"/>
      <c r="AR67" s="1514"/>
      <c r="AS67" s="1514"/>
      <c r="AT67" s="1514"/>
      <c r="AU67" s="1514"/>
      <c r="AV67" s="1514"/>
      <c r="AW67" s="1514"/>
      <c r="AX67" s="1514"/>
      <c r="AY67" s="1514"/>
      <c r="AZ67" s="1514"/>
      <c r="BA67" s="1514"/>
      <c r="BB67" s="1514"/>
      <c r="BC67" s="1514"/>
      <c r="BD67" s="1514"/>
      <c r="BE67" s="1515"/>
      <c r="BI67" s="722" t="s">
        <v>323</v>
      </c>
      <c r="BJ67" s="722">
        <v>4</v>
      </c>
      <c r="BK67" s="722" t="s">
        <v>324</v>
      </c>
      <c r="BL67" s="726"/>
      <c r="BM67" s="743"/>
      <c r="BN67" s="744"/>
      <c r="BO67" s="140">
        <f>IF(SUM(BM67:BM69=0),0,SUM(BL67:BL69)/SUM(BM67:BM69))</f>
        <v>0</v>
      </c>
      <c r="BP67" s="725"/>
      <c r="BQ67" s="726"/>
      <c r="BR67" s="758"/>
      <c r="BS67" s="814"/>
      <c r="BT67" s="140">
        <f>IF(SUM(BR67:BR69=0),0,SUM(BQ67:BQ69)/SUM(BR67:BR69))</f>
        <v>0</v>
      </c>
      <c r="BU67" s="725"/>
      <c r="BV67"/>
      <c r="BX67" s="666" t="str">
        <f t="shared" si="8"/>
        <v>Jan</v>
      </c>
      <c r="BY67" s="728">
        <f>IF(CB67=$CB76,SUMIF($BI64:$BI75,$BX67,$BR64:$BR75),SUMIF($BI64:$BI75,$BX67,$BM64:$BM75))</f>
        <v>0</v>
      </c>
      <c r="BZ67" s="746" t="e">
        <f>IF(IF(CB67=CB76,SUMIF(BI64:BI75,$BX67,BU64:BU75),SUMIF(BI64:BI75,$BX67,BP64:BP75))=0,NA(),IF(CB67=CB76,SUMIF(BI64:BI75,$BX67,BU64:BU75),SUMIF(BI64:BI75,$BX67,BP64:BP75)))</f>
        <v>#N/A</v>
      </c>
      <c r="CA67" s="747" t="e">
        <f>IF(IF(CB67=CB76,SUMIF(BI64:BI75,$BX67,BS64:BS75),SUMIF(BI64:BI75,$BX67,BN64:BN75))=0,NA(),IF(CB67=CB76,SUMIF(BI64:BI75,$BX67,BS64:BS75),SUMIF(BI64:BI75,$BX67,BN64:BN75)))</f>
        <v>#N/A</v>
      </c>
      <c r="CB67" s="730">
        <v>19</v>
      </c>
      <c r="CC67" s="730">
        <f t="shared" si="9"/>
        <v>1</v>
      </c>
    </row>
    <row r="68" spans="2:81" s="6" customFormat="1" ht="14.65" hidden="1" customHeight="1">
      <c r="B68" s="1513"/>
      <c r="C68" s="1514"/>
      <c r="D68" s="1514"/>
      <c r="E68" s="1514"/>
      <c r="F68" s="1514"/>
      <c r="G68" s="1514"/>
      <c r="H68" s="1514"/>
      <c r="I68" s="1514"/>
      <c r="J68" s="1514"/>
      <c r="K68" s="1514"/>
      <c r="L68" s="1514"/>
      <c r="M68" s="1514"/>
      <c r="N68" s="1514"/>
      <c r="O68" s="1514"/>
      <c r="P68" s="1514"/>
      <c r="Q68" s="1514"/>
      <c r="R68" s="1514"/>
      <c r="S68" s="1514"/>
      <c r="T68" s="1514"/>
      <c r="U68" s="1514"/>
      <c r="V68" s="1514"/>
      <c r="W68" s="1514"/>
      <c r="X68" s="1514"/>
      <c r="Y68" s="1514"/>
      <c r="Z68" s="1514"/>
      <c r="AA68" s="1514"/>
      <c r="AB68" s="1515"/>
      <c r="AE68" s="1513"/>
      <c r="AF68" s="1514"/>
      <c r="AG68" s="1514"/>
      <c r="AH68" s="1514"/>
      <c r="AI68" s="1514"/>
      <c r="AJ68" s="1514"/>
      <c r="AK68" s="1514"/>
      <c r="AL68" s="1514"/>
      <c r="AM68" s="1514"/>
      <c r="AN68" s="1514"/>
      <c r="AO68" s="1514"/>
      <c r="AP68" s="1514"/>
      <c r="AQ68" s="1514"/>
      <c r="AR68" s="1514"/>
      <c r="AS68" s="1514"/>
      <c r="AT68" s="1514"/>
      <c r="AU68" s="1514"/>
      <c r="AV68" s="1514"/>
      <c r="AW68" s="1514"/>
      <c r="AX68" s="1514"/>
      <c r="AY68" s="1514"/>
      <c r="AZ68" s="1514"/>
      <c r="BA68" s="1514"/>
      <c r="BB68" s="1514"/>
      <c r="BC68" s="1514"/>
      <c r="BD68" s="1514"/>
      <c r="BE68" s="1515"/>
      <c r="BI68" s="722" t="s">
        <v>325</v>
      </c>
      <c r="BJ68" s="722">
        <v>5</v>
      </c>
      <c r="BK68" s="722" t="s">
        <v>324</v>
      </c>
      <c r="BL68" s="726"/>
      <c r="BM68" s="743"/>
      <c r="BN68" s="744"/>
      <c r="BO68" s="136"/>
      <c r="BP68" s="725"/>
      <c r="BQ68" s="726"/>
      <c r="BR68" s="758"/>
      <c r="BS68" s="814"/>
      <c r="BT68" s="136"/>
      <c r="BU68" s="725"/>
      <c r="BV68"/>
      <c r="BX68" s="666" t="str">
        <f t="shared" si="8"/>
        <v>Feb</v>
      </c>
      <c r="BY68" s="728">
        <f>IF(CB68=$CB76,SUMIF($BI64:$BI75,$BX68,$BR64:$BR75),SUMIF($BI64:$BI75,$BX68,$BM64:$BM75))</f>
        <v>0</v>
      </c>
      <c r="BZ68" s="746" t="e">
        <f>IF(IF(CB68=CB76,SUMIF(BI64:BI75,$BX68,BU64:BU75),SUMIF(BI64:BI75,$BX68,BP64:BP75))=0,NA(),IF(CB68=CB76,SUMIF(BI64:BI75,$BX68,BU64:BU75),SUMIF(BI64:BI75,$BX68,BP64:BP75)))</f>
        <v>#N/A</v>
      </c>
      <c r="CA68" s="747" t="e">
        <f>IF(IF(CB68=CB76,SUMIF(BI64:BI75,$BX68,BS64:BS75),SUMIF(BI64:BI75,$BX68,BN64:BN75))=0,NA(),IF(CB68=CB76,SUMIF(BI64:BI75,$BX68,BS64:BS75),SUMIF(BI64:BI75,$BX68,BN64:BN75)))</f>
        <v>#N/A</v>
      </c>
      <c r="CB68" s="730">
        <v>20</v>
      </c>
      <c r="CC68" s="730">
        <f t="shared" si="9"/>
        <v>2</v>
      </c>
    </row>
    <row r="69" spans="2:81" s="6" customFormat="1" ht="14.65" hidden="1" customHeight="1">
      <c r="B69" s="1516"/>
      <c r="C69" s="1517"/>
      <c r="D69" s="1517"/>
      <c r="E69" s="1517"/>
      <c r="F69" s="1517"/>
      <c r="G69" s="1517"/>
      <c r="H69" s="1517"/>
      <c r="I69" s="1517"/>
      <c r="J69" s="1517"/>
      <c r="K69" s="1517"/>
      <c r="L69" s="1517"/>
      <c r="M69" s="1517"/>
      <c r="N69" s="1517"/>
      <c r="O69" s="1517"/>
      <c r="P69" s="1517"/>
      <c r="Q69" s="1517"/>
      <c r="R69" s="1517"/>
      <c r="S69" s="1517"/>
      <c r="T69" s="1517"/>
      <c r="U69" s="1517"/>
      <c r="V69" s="1517"/>
      <c r="W69" s="1517"/>
      <c r="X69" s="1517"/>
      <c r="Y69" s="1517"/>
      <c r="Z69" s="1517"/>
      <c r="AA69" s="1517"/>
      <c r="AB69" s="1518"/>
      <c r="AE69" s="1516"/>
      <c r="AF69" s="1517"/>
      <c r="AG69" s="1517"/>
      <c r="AH69" s="1517"/>
      <c r="AI69" s="1517"/>
      <c r="AJ69" s="1517"/>
      <c r="AK69" s="1517"/>
      <c r="AL69" s="1517"/>
      <c r="AM69" s="1517"/>
      <c r="AN69" s="1517"/>
      <c r="AO69" s="1517"/>
      <c r="AP69" s="1517"/>
      <c r="AQ69" s="1517"/>
      <c r="AR69" s="1517"/>
      <c r="AS69" s="1517"/>
      <c r="AT69" s="1517"/>
      <c r="AU69" s="1517"/>
      <c r="AV69" s="1517"/>
      <c r="AW69" s="1517"/>
      <c r="AX69" s="1517"/>
      <c r="AY69" s="1517"/>
      <c r="AZ69" s="1517"/>
      <c r="BA69" s="1517"/>
      <c r="BB69" s="1517"/>
      <c r="BC69" s="1517"/>
      <c r="BD69" s="1517"/>
      <c r="BE69" s="1518"/>
      <c r="BI69" s="722" t="s">
        <v>326</v>
      </c>
      <c r="BJ69" s="722">
        <v>6</v>
      </c>
      <c r="BK69" s="722" t="s">
        <v>324</v>
      </c>
      <c r="BL69" s="726"/>
      <c r="BM69" s="743"/>
      <c r="BN69" s="744"/>
      <c r="BO69" s="136"/>
      <c r="BP69" s="725"/>
      <c r="BQ69" s="726"/>
      <c r="BR69" s="758"/>
      <c r="BS69" s="814"/>
      <c r="BT69" s="136"/>
      <c r="BU69" s="725"/>
      <c r="BV69"/>
      <c r="BX69" s="666" t="str">
        <f t="shared" si="8"/>
        <v>Mar</v>
      </c>
      <c r="BY69" s="728">
        <f>IF(CB69=$CB76,SUMIF($BI64:$BI75,$BX69,$BR64:$BR75),SUMIF($BI64:$BI75,$BX69,$BM64:$BM75))</f>
        <v>0</v>
      </c>
      <c r="BZ69" s="746" t="e">
        <f>IF(IF(CB69=CB76,SUMIF(BI64:BI75,$BX69,BU64:BU75),SUMIF(BI64:BI75,$BX69,BP64:BP75))=0,NA(),IF(CB69=CB76,SUMIF(BI64:BI75,$BX69,BU64:BU75),SUMIF(BI64:BI75,$BX69,BP64:BP75)))</f>
        <v>#N/A</v>
      </c>
      <c r="CA69" s="747" t="e">
        <f>IF(IF(CB69=CB76,SUMIF(BI64:BI75,$BX69,BS64:BS75),SUMIF(BI64:BI75,$BX69,BN64:BN75))=0,NA(),IF(CB69=CB76,SUMIF(BI64:BI75,$BX69,BS64:BS75),SUMIF(BI64:BI75,$BX69,BN64:BN75)))</f>
        <v>#N/A</v>
      </c>
      <c r="CB69" s="730">
        <v>20</v>
      </c>
      <c r="CC69" s="730">
        <f t="shared" si="9"/>
        <v>3</v>
      </c>
    </row>
    <row r="70" spans="2:81" s="6" customFormat="1" ht="14.65" hidden="1" customHeight="1">
      <c r="BI70" s="722" t="s">
        <v>327</v>
      </c>
      <c r="BJ70" s="722">
        <v>7</v>
      </c>
      <c r="BK70" s="722" t="s">
        <v>328</v>
      </c>
      <c r="BL70" s="726"/>
      <c r="BM70" s="743"/>
      <c r="BN70" s="744"/>
      <c r="BO70" s="140">
        <f>IF(SUM(BM70:BM72=0),0,SUM(BL70:BL72)/SUM(BM70:BM72))</f>
        <v>0</v>
      </c>
      <c r="BP70" s="725"/>
      <c r="BQ70" s="726"/>
      <c r="BR70" s="758"/>
      <c r="BS70" s="814"/>
      <c r="BT70" s="140">
        <f>IF(SUM(BR70:BR72=0),0,SUM(BQ70:BQ72)/SUM(BR70:BR72))</f>
        <v>0</v>
      </c>
      <c r="BU70" s="725"/>
      <c r="BV70"/>
      <c r="BX70" s="666" t="str">
        <f t="shared" si="8"/>
        <v>Apr</v>
      </c>
      <c r="BY70" s="728">
        <f>IF(CB70=$CB76,SUMIF($BI64:$BI75,$BX70,$BR64:$BR75),SUMIF($BI64:$BI75,$BX70,$BM64:$BM75))</f>
        <v>0</v>
      </c>
      <c r="BZ70" s="746" t="e">
        <f>IF(IF(CB70=CB76,SUMIF(BI64:BI75,$BX70,BU64:BU75),SUMIF(BI64:BI75,$BX70,BP64:BP75))=0,NA(),IF(CB70=CB76,SUMIF(BI64:BI75,$BX70,BU64:BU75),SUMIF(BI64:BI75,$BX70,BP64:BP75)))</f>
        <v>#N/A</v>
      </c>
      <c r="CA70" s="747" t="e">
        <f>IF(IF(CB70=CB76,SUMIF(BI64:BI75,$BX70,BS64:BS75),SUMIF(BI64:BI75,$BX70,BN64:BN75))=0,NA(),IF(CB70=CB76,SUMIF(BI64:BI75,$BX70,BS64:BS75),SUMIF(BI64:BI75,$BX70,BN64:BN75)))</f>
        <v>#N/A</v>
      </c>
      <c r="CB70" s="730">
        <v>20</v>
      </c>
      <c r="CC70" s="730">
        <f t="shared" si="9"/>
        <v>4</v>
      </c>
    </row>
    <row r="71" spans="2:81" s="6" customFormat="1" ht="14.65" hidden="1" customHeight="1">
      <c r="B71" s="52"/>
      <c r="AD71"/>
      <c r="AE71"/>
      <c r="AF71"/>
      <c r="AG71"/>
      <c r="AH71"/>
      <c r="AI71"/>
      <c r="AJ71"/>
      <c r="AK71"/>
      <c r="AL71"/>
      <c r="AM71"/>
      <c r="AN71"/>
      <c r="AO71"/>
      <c r="AP71"/>
      <c r="AQ71"/>
      <c r="AR71"/>
      <c r="AS71"/>
      <c r="AT71"/>
      <c r="AU71"/>
      <c r="AV71"/>
      <c r="AW71"/>
      <c r="AX71"/>
      <c r="AY71"/>
      <c r="AZ71"/>
      <c r="BA71"/>
      <c r="BB71"/>
      <c r="BC71"/>
      <c r="BD71"/>
      <c r="BI71" s="722" t="s">
        <v>329</v>
      </c>
      <c r="BJ71" s="722">
        <v>8</v>
      </c>
      <c r="BK71" s="722" t="s">
        <v>328</v>
      </c>
      <c r="BL71" s="726"/>
      <c r="BM71" s="743"/>
      <c r="BN71" s="744"/>
      <c r="BO71" s="136"/>
      <c r="BP71" s="725"/>
      <c r="BQ71" s="726"/>
      <c r="BR71" s="758"/>
      <c r="BS71" s="814"/>
      <c r="BT71" s="136"/>
      <c r="BU71" s="725"/>
      <c r="BV71"/>
      <c r="BX71" s="666" t="str">
        <f t="shared" si="8"/>
        <v>May</v>
      </c>
      <c r="BY71" s="728">
        <f>IF(CB71=$CB76,SUMIF($BI64:$BI75,$BX71,$BR64:$BR75),SUMIF($BI64:$BI75,$BX71,$BM64:$BM75))</f>
        <v>0</v>
      </c>
      <c r="BZ71" s="746" t="e">
        <f>IF(IF(CB71=CB76,SUMIF(BI64:BI75,$BX71,BU64:BU75),SUMIF(BI64:BI75,$BX71,BP64:BP75))=0,NA(),IF(CB71=CB76,SUMIF(BI64:BI75,$BX71,BU64:BU75),SUMIF(BI64:BI75,$BX71,BP64:BP75)))</f>
        <v>#N/A</v>
      </c>
      <c r="CA71" s="747" t="e">
        <f>IF(IF(CB71=CB76,SUMIF(BI64:BI75,$BX71,BS64:BS75),SUMIF(BI64:BI75,$BX71,BN64:BN75))=0,NA(),IF(CB71=CB76,SUMIF(BI64:BI75,$BX71,BS64:BS75),SUMIF(BI64:BI75,$BX71,BN64:BN75)))</f>
        <v>#N/A</v>
      </c>
      <c r="CB71" s="730">
        <v>20</v>
      </c>
      <c r="CC71" s="730">
        <f t="shared" si="9"/>
        <v>5</v>
      </c>
    </row>
    <row r="72" spans="2:81" s="6" customFormat="1" ht="14.65" hidden="1" customHeight="1">
      <c r="AD72"/>
      <c r="AE72"/>
      <c r="AF72"/>
      <c r="AG72"/>
      <c r="AH72"/>
      <c r="AI72"/>
      <c r="AJ72"/>
      <c r="AK72"/>
      <c r="AL72"/>
      <c r="AM72"/>
      <c r="AN72"/>
      <c r="AO72"/>
      <c r="AP72"/>
      <c r="AQ72"/>
      <c r="AR72"/>
      <c r="AS72"/>
      <c r="AT72"/>
      <c r="AU72"/>
      <c r="AV72"/>
      <c r="AW72"/>
      <c r="AX72"/>
      <c r="AY72"/>
      <c r="AZ72"/>
      <c r="BA72"/>
      <c r="BB72"/>
      <c r="BC72"/>
      <c r="BD72"/>
      <c r="BI72" s="722" t="s">
        <v>331</v>
      </c>
      <c r="BJ72" s="722">
        <v>9</v>
      </c>
      <c r="BK72" s="722" t="s">
        <v>328</v>
      </c>
      <c r="BL72" s="726"/>
      <c r="BM72" s="743"/>
      <c r="BN72" s="744"/>
      <c r="BO72" s="136"/>
      <c r="BP72" s="725"/>
      <c r="BQ72" s="726"/>
      <c r="BR72" s="758"/>
      <c r="BS72" s="814"/>
      <c r="BT72" s="136"/>
      <c r="BU72" s="725"/>
      <c r="BV72"/>
      <c r="BX72" s="666" t="str">
        <f t="shared" si="8"/>
        <v>Jun</v>
      </c>
      <c r="BY72" s="728">
        <f>IF(CB72=$CB76,SUMIF($BI64:$BI75,$BX72,$BR64:$BR75),SUMIF($BI64:$BI75,$BX72,$BM64:$BM75))</f>
        <v>0</v>
      </c>
      <c r="BZ72" s="746" t="e">
        <f>IF(IF(CB72=CB76,SUMIF(BI64:BI75,$BX72,BU64:BU75),SUMIF(BI64:BI75,$BX72,BP64:BP75))=0,NA(),IF(CB72=CB76,SUMIF(BI64:BI75,$BX72,BU64:BU75),SUMIF(BI64:BI75,$BX72,BP64:BP75)))</f>
        <v>#N/A</v>
      </c>
      <c r="CA72" s="747" t="e">
        <f>IF(IF(CB72=CB76,SUMIF(BI64:BI75,$BX72,BS64:BS75),SUMIF(BI64:BI75,$BX72,BN64:BN75))=0,NA(),IF(CB72=CB76,SUMIF(BI64:BI75,$BX72,BS64:BS75),SUMIF(BI64:BI75,$BX72,BN64:BN75)))</f>
        <v>#N/A</v>
      </c>
      <c r="CB72" s="730">
        <v>20</v>
      </c>
      <c r="CC72" s="730">
        <f t="shared" si="9"/>
        <v>6</v>
      </c>
    </row>
    <row r="73" spans="2:81" s="6" customFormat="1" ht="14.65" hidden="1" customHeight="1">
      <c r="AD73"/>
      <c r="AE73"/>
      <c r="AF73"/>
      <c r="AG73"/>
      <c r="AH73"/>
      <c r="AI73"/>
      <c r="AJ73"/>
      <c r="AK73"/>
      <c r="AL73"/>
      <c r="AM73"/>
      <c r="AN73"/>
      <c r="AO73"/>
      <c r="AP73"/>
      <c r="AQ73"/>
      <c r="AR73"/>
      <c r="AS73"/>
      <c r="AT73"/>
      <c r="AU73"/>
      <c r="AV73"/>
      <c r="AW73"/>
      <c r="AX73"/>
      <c r="AY73"/>
      <c r="AZ73"/>
      <c r="BA73"/>
      <c r="BB73"/>
      <c r="BC73"/>
      <c r="BD73"/>
      <c r="BI73" s="722" t="s">
        <v>337</v>
      </c>
      <c r="BJ73" s="722">
        <v>10</v>
      </c>
      <c r="BK73" s="722" t="s">
        <v>338</v>
      </c>
      <c r="BL73" s="726"/>
      <c r="BM73" s="743"/>
      <c r="BN73" s="744"/>
      <c r="BO73" s="140">
        <f>IF(SUM(BM73:BM75=0),0,SUM(BL73:BL75)/SUM(BM73:BM75))</f>
        <v>0</v>
      </c>
      <c r="BP73" s="725"/>
      <c r="BQ73" s="726"/>
      <c r="BR73" s="758"/>
      <c r="BS73" s="814"/>
      <c r="BT73" s="140">
        <f>IF(SUM(BR73:BR75=0),0,SUM(BQ73:BQ75)/SUM(BR73:BR75))</f>
        <v>0</v>
      </c>
      <c r="BU73" s="725"/>
      <c r="BV73"/>
      <c r="BX73" s="666" t="str">
        <f t="shared" si="8"/>
        <v>Jul</v>
      </c>
      <c r="BY73" s="728">
        <f>IF(CB73=$CB76,SUMIF($BI64:$BI75,$BX73,$BR64:$BR75),SUMIF($BI64:$BI75,$BX73,$BM64:$BM75))</f>
        <v>0</v>
      </c>
      <c r="BZ73" s="746" t="e">
        <f>IF(IF(CB73=CB76,SUMIF(BI64:BI75,$BX73,BU64:BU75),SUMIF(BI64:BI75,$BX73,BP64:BP75))=0,NA(),IF(CB73=CB76,SUMIF(BI64:BI75,$BX73,BU64:BU75),SUMIF(BI64:BI75,$BX73,BP64:BP75)))</f>
        <v>#N/A</v>
      </c>
      <c r="CA73" s="747" t="e">
        <f>IF(IF(CB73=CB76,SUMIF(BI64:BI75,$BX73,BS64:BS75),SUMIF(BI64:BI75,$BX73,BN64:BN75))=0,NA(),IF(CB73=CB76,SUMIF(BI64:BI75,$BX73,BS64:BS75),SUMIF(BI64:BI75,$BX73,BN64:BN75)))</f>
        <v>#N/A</v>
      </c>
      <c r="CB73" s="730">
        <v>20</v>
      </c>
      <c r="CC73" s="730">
        <f t="shared" si="9"/>
        <v>7</v>
      </c>
    </row>
    <row r="74" spans="2:81" s="6" customFormat="1" ht="14.65" hidden="1" customHeight="1">
      <c r="AD74"/>
      <c r="AE74"/>
      <c r="AF74"/>
      <c r="AG74"/>
      <c r="AH74"/>
      <c r="AI74"/>
      <c r="AJ74"/>
      <c r="AK74"/>
      <c r="AL74"/>
      <c r="AM74"/>
      <c r="AN74"/>
      <c r="AO74"/>
      <c r="AP74"/>
      <c r="AQ74"/>
      <c r="AR74"/>
      <c r="AS74"/>
      <c r="AT74"/>
      <c r="AU74"/>
      <c r="AV74"/>
      <c r="AW74"/>
      <c r="AX74"/>
      <c r="AY74"/>
      <c r="AZ74"/>
      <c r="BA74"/>
      <c r="BB74"/>
      <c r="BC74"/>
      <c r="BD74"/>
      <c r="BI74" s="722" t="s">
        <v>343</v>
      </c>
      <c r="BJ74" s="722">
        <v>11</v>
      </c>
      <c r="BK74" s="722" t="s">
        <v>338</v>
      </c>
      <c r="BL74" s="726"/>
      <c r="BM74" s="743"/>
      <c r="BN74" s="744"/>
      <c r="BO74" s="136"/>
      <c r="BP74" s="725"/>
      <c r="BQ74" s="726"/>
      <c r="BR74" s="758"/>
      <c r="BS74" s="814"/>
      <c r="BT74" s="136"/>
      <c r="BU74" s="725"/>
      <c r="BV74"/>
      <c r="BX74" s="666" t="str">
        <f t="shared" si="8"/>
        <v>Aug</v>
      </c>
      <c r="BY74" s="728">
        <f>IF(CB74=$CB76,SUMIF($BI64:$BI75,$BX74,$BR64:$BR75),SUMIF($BI64:$BI75,$BX74,$BM64:$BM75))</f>
        <v>0</v>
      </c>
      <c r="BZ74" s="746" t="e">
        <f>IF(IF(CB74=CB76,SUMIF(BI64:BI75,$BX74,BU64:BU75),SUMIF(BI64:BI75,$BX74,BP64:BP75))=0,NA(),IF(CB74=CB76,SUMIF(BI64:BI75,$BX74,BU64:BU75),SUMIF(BI64:BI75,$BX74,BP64:BP75)))</f>
        <v>#N/A</v>
      </c>
      <c r="CA74" s="747" t="e">
        <f>IF(IF(CB74=CB76,SUMIF(BI64:BI75,$BX74,BS64:BS75),SUMIF(BI64:BI75,$BX74,BN64:BN75))=0,NA(),IF(CB74=CB76,SUMIF(BI64:BI75,$BX74,BS64:BS75),SUMIF(BI64:BI75,$BX74,BN64:BN75)))</f>
        <v>#N/A</v>
      </c>
      <c r="CB74" s="730">
        <v>20</v>
      </c>
      <c r="CC74" s="730">
        <f t="shared" si="9"/>
        <v>8</v>
      </c>
    </row>
    <row r="75" spans="2:81" s="6" customFormat="1" ht="14.65" hidden="1" customHeight="1">
      <c r="AD75"/>
      <c r="AE75"/>
      <c r="AF75"/>
      <c r="AG75"/>
      <c r="AH75"/>
      <c r="AI75"/>
      <c r="AJ75"/>
      <c r="AK75"/>
      <c r="AL75"/>
      <c r="AM75"/>
      <c r="AN75"/>
      <c r="AO75"/>
      <c r="AP75"/>
      <c r="AQ75"/>
      <c r="AR75"/>
      <c r="AS75"/>
      <c r="AT75"/>
      <c r="AU75"/>
      <c r="AV75"/>
      <c r="AW75"/>
      <c r="AX75"/>
      <c r="AY75"/>
      <c r="AZ75"/>
      <c r="BA75"/>
      <c r="BB75"/>
      <c r="BC75"/>
      <c r="BD75"/>
      <c r="BI75" s="722" t="s">
        <v>344</v>
      </c>
      <c r="BJ75" s="722">
        <v>12</v>
      </c>
      <c r="BK75" s="722" t="s">
        <v>338</v>
      </c>
      <c r="BL75" s="726"/>
      <c r="BM75" s="743"/>
      <c r="BN75" s="744"/>
      <c r="BO75" s="136"/>
      <c r="BP75" s="725"/>
      <c r="BQ75" s="726"/>
      <c r="BR75" s="758"/>
      <c r="BS75" s="814"/>
      <c r="BT75" s="136"/>
      <c r="BU75" s="725"/>
      <c r="BX75" s="666" t="str">
        <f t="shared" si="8"/>
        <v>Sep</v>
      </c>
      <c r="BY75" s="728">
        <f>IF(CB75=$CB76,SUMIF($BI64:$BI75,$BX75,$BR64:$BR75),SUMIF($BI64:$BI75,$BX75,$BM64:$BM75))</f>
        <v>0</v>
      </c>
      <c r="BZ75" s="746" t="e">
        <f>IF(IF(CB75=CB76,SUMIF(BI64:BI75,$BX75,BU64:BU75),SUMIF(BI64:BI75,$BX75,BP64:BP75))=0,NA(),IF(CB75=CB76,SUMIF(BI64:BI75,$BX75,BU64:BU75),SUMIF(BI64:BI75,$BX75,BP64:BP75)))</f>
        <v>#N/A</v>
      </c>
      <c r="CA75" s="747" t="e">
        <f>IF(IF(CB75=CB76,SUMIF(BI64:BI75,$BX75,BS64:BS75),SUMIF(BI64:BI75,$BX75,BN64:BN75))=0,NA(),IF(CB75=CB76,SUMIF(BI64:BI75,$BX75,BS64:BS75),SUMIF(BI64:BI75,$BX75,BN64:BN75)))</f>
        <v>#N/A</v>
      </c>
      <c r="CB75" s="730">
        <v>20</v>
      </c>
      <c r="CC75" s="730">
        <f>IF(CC76-1&lt;1,CC76+11,CC76-1)</f>
        <v>9</v>
      </c>
    </row>
    <row r="76" spans="2:81" s="6" customFormat="1" ht="14.65" hidden="1" customHeight="1">
      <c r="AD76"/>
      <c r="AE76"/>
      <c r="AF76"/>
      <c r="AG76"/>
      <c r="AH76"/>
      <c r="AI76"/>
      <c r="AJ76"/>
      <c r="AK76"/>
      <c r="AL76"/>
      <c r="AM76"/>
      <c r="AN76"/>
      <c r="AO76"/>
      <c r="AP76"/>
      <c r="AQ76"/>
      <c r="AR76"/>
      <c r="AS76"/>
      <c r="AT76"/>
      <c r="AU76"/>
      <c r="AV76"/>
      <c r="AW76"/>
      <c r="AX76"/>
      <c r="AY76"/>
      <c r="AZ76"/>
      <c r="BA76"/>
      <c r="BB76"/>
      <c r="BC76"/>
      <c r="BD76"/>
      <c r="BI76"/>
      <c r="BW76" s="667" t="str">
        <f>Cover!$M$34</f>
        <v>OCT FY-24</v>
      </c>
      <c r="BX76" s="666" t="str">
        <f>TEXT(CONCATENATE(CC76,"/01/20",CB76),"MMM")</f>
        <v>Oct</v>
      </c>
      <c r="BY76" s="728">
        <f>SUMIF($BI64:$BI75,$BX76,$BR64:$BR75)</f>
        <v>0</v>
      </c>
      <c r="BZ76" s="746" t="e">
        <f>IF(IF(CB76=CB76,SUMIF(BI64:BI75,$BX76,BU64:BU75),SUMIF(BI64:BI75,$BX76,BP64:BP75))=0,NA(),IF(CB76=CB76,SUMIF(BI64:BI75,$BX76,BU64:BU75),SUMIF(BI64:BI75,$BX76,BP64:BP75)))</f>
        <v>#N/A</v>
      </c>
      <c r="CA76" s="747" t="e">
        <f>IF(SUMIF($BI64:$BI75,$BX76,$BS64:$BS75)=0,NA(),SUMIF($BI64:$BI75,$BX76,$BS64:$BS75))</f>
        <v>#N/A</v>
      </c>
      <c r="CB76" s="730">
        <v>20</v>
      </c>
      <c r="CC76" s="730">
        <f>MONTH(DATEVALUE(LEFT(BW76,3)&amp;" 1"))</f>
        <v>10</v>
      </c>
    </row>
    <row r="77" spans="2:81" s="6" customFormat="1" ht="14.65" hidden="1" customHeight="1">
      <c r="AD77"/>
      <c r="AE77"/>
      <c r="AF77"/>
      <c r="AG77"/>
      <c r="AH77"/>
      <c r="AI77"/>
      <c r="AJ77"/>
      <c r="AK77"/>
      <c r="AL77"/>
      <c r="AM77"/>
      <c r="AN77"/>
      <c r="AO77"/>
      <c r="AP77"/>
      <c r="AQ77"/>
      <c r="AR77"/>
      <c r="AS77"/>
      <c r="AT77"/>
      <c r="AU77"/>
      <c r="AV77"/>
      <c r="AW77"/>
      <c r="AX77"/>
      <c r="AY77"/>
      <c r="AZ77"/>
      <c r="BA77"/>
      <c r="BB77"/>
      <c r="BC77"/>
      <c r="BD77"/>
      <c r="BI77"/>
    </row>
    <row r="78" spans="2:81" s="6" customFormat="1" ht="14.65" hidden="1" customHeight="1">
      <c r="AD78"/>
      <c r="AE78"/>
      <c r="AF78"/>
      <c r="AG78"/>
      <c r="AH78"/>
      <c r="AI78"/>
      <c r="AJ78"/>
      <c r="AK78"/>
      <c r="AL78"/>
      <c r="AM78"/>
      <c r="AN78"/>
      <c r="AO78"/>
      <c r="AP78"/>
      <c r="AQ78"/>
      <c r="AR78"/>
      <c r="AS78"/>
      <c r="AT78"/>
      <c r="AU78"/>
      <c r="AV78"/>
      <c r="AW78"/>
      <c r="AX78"/>
      <c r="AY78"/>
      <c r="AZ78"/>
      <c r="BA78"/>
      <c r="BB78"/>
      <c r="BC78"/>
      <c r="BD78"/>
      <c r="BI78"/>
    </row>
    <row r="79" spans="2:81" s="6" customFormat="1" ht="14.65" hidden="1" customHeight="1">
      <c r="AD79"/>
      <c r="AE79"/>
      <c r="AF79"/>
      <c r="AG79"/>
      <c r="AH79"/>
      <c r="AI79"/>
      <c r="AJ79"/>
      <c r="AK79"/>
      <c r="AL79"/>
      <c r="AM79"/>
      <c r="AN79"/>
      <c r="AO79"/>
      <c r="AP79"/>
      <c r="AQ79"/>
      <c r="AR79"/>
      <c r="AS79"/>
      <c r="AT79"/>
      <c r="AU79"/>
      <c r="AV79"/>
      <c r="AW79"/>
      <c r="AX79"/>
      <c r="AY79"/>
      <c r="AZ79"/>
      <c r="BA79"/>
      <c r="BB79"/>
      <c r="BC79"/>
      <c r="BD79"/>
      <c r="BI79"/>
    </row>
    <row r="80" spans="2:81" s="6" customFormat="1" ht="14.65" hidden="1" customHeight="1">
      <c r="AD80"/>
      <c r="AE80"/>
      <c r="AF80"/>
      <c r="AG80"/>
      <c r="AH80"/>
      <c r="AI80"/>
      <c r="AJ80"/>
      <c r="AK80"/>
      <c r="AL80"/>
      <c r="AM80"/>
      <c r="AN80"/>
      <c r="AO80"/>
      <c r="AP80"/>
      <c r="AQ80"/>
      <c r="AR80"/>
      <c r="AS80"/>
      <c r="AT80"/>
      <c r="AU80"/>
      <c r="AV80"/>
      <c r="AW80"/>
      <c r="AX80"/>
      <c r="AY80"/>
      <c r="AZ80"/>
      <c r="BA80"/>
      <c r="BB80"/>
      <c r="BC80"/>
      <c r="BD80"/>
      <c r="BI80"/>
    </row>
    <row r="81" spans="2:61" s="6" customFormat="1" ht="14.65" hidden="1" customHeight="1">
      <c r="AD81"/>
      <c r="AE81"/>
      <c r="AF81"/>
      <c r="AG81"/>
      <c r="AH81"/>
      <c r="AI81"/>
      <c r="AJ81"/>
      <c r="AK81"/>
      <c r="AL81"/>
      <c r="AM81"/>
      <c r="AN81"/>
      <c r="AO81"/>
      <c r="AP81"/>
      <c r="AQ81"/>
      <c r="AR81"/>
      <c r="AS81"/>
      <c r="AT81"/>
      <c r="AU81"/>
      <c r="AV81"/>
      <c r="AW81"/>
      <c r="AX81"/>
      <c r="AY81"/>
      <c r="AZ81"/>
      <c r="BA81"/>
      <c r="BB81"/>
      <c r="BC81"/>
      <c r="BD81"/>
      <c r="BI81"/>
    </row>
    <row r="82" spans="2:61" s="6" customFormat="1" ht="14.65" hidden="1" customHeight="1">
      <c r="AD82"/>
      <c r="AE82"/>
      <c r="AF82"/>
      <c r="AG82"/>
      <c r="AH82"/>
      <c r="AI82"/>
      <c r="AJ82"/>
      <c r="AK82"/>
      <c r="AL82"/>
      <c r="AM82"/>
      <c r="AN82"/>
      <c r="AO82"/>
      <c r="AP82"/>
      <c r="AQ82"/>
      <c r="AR82"/>
      <c r="AS82"/>
      <c r="AT82"/>
      <c r="AU82"/>
      <c r="AV82"/>
      <c r="AW82"/>
      <c r="AX82"/>
      <c r="AY82"/>
      <c r="AZ82"/>
      <c r="BA82"/>
      <c r="BB82"/>
      <c r="BC82"/>
      <c r="BD82"/>
      <c r="BI82"/>
    </row>
    <row r="83" spans="2:61" s="6" customFormat="1" ht="14.65" hidden="1" customHeight="1">
      <c r="AD83"/>
      <c r="AE83"/>
      <c r="AF83"/>
      <c r="AG83"/>
      <c r="AH83"/>
      <c r="AI83"/>
      <c r="AJ83"/>
      <c r="AK83"/>
      <c r="AL83"/>
      <c r="AM83"/>
      <c r="AN83"/>
      <c r="AO83"/>
      <c r="AP83"/>
      <c r="AQ83"/>
      <c r="AR83"/>
      <c r="AS83"/>
      <c r="AT83"/>
      <c r="AU83"/>
      <c r="AV83"/>
      <c r="AW83"/>
      <c r="AX83"/>
      <c r="AY83"/>
      <c r="AZ83"/>
      <c r="BA83"/>
      <c r="BB83"/>
      <c r="BC83"/>
      <c r="BD83"/>
      <c r="BI83"/>
    </row>
    <row r="84" spans="2:61" s="6" customFormat="1" ht="14.65" hidden="1" customHeight="1">
      <c r="AD84"/>
      <c r="AE84"/>
      <c r="AF84"/>
      <c r="AG84"/>
      <c r="AH84"/>
      <c r="AI84"/>
      <c r="AJ84"/>
      <c r="AK84"/>
      <c r="AL84"/>
      <c r="AM84"/>
      <c r="AN84"/>
      <c r="AO84"/>
      <c r="AP84"/>
      <c r="AQ84"/>
      <c r="AR84"/>
      <c r="AS84"/>
      <c r="AT84"/>
      <c r="AU84"/>
      <c r="AV84"/>
      <c r="AW84"/>
      <c r="AX84"/>
      <c r="AY84"/>
      <c r="AZ84"/>
      <c r="BA84"/>
      <c r="BB84"/>
      <c r="BC84"/>
      <c r="BD84"/>
      <c r="BI84"/>
    </row>
    <row r="85" spans="2:61" s="6" customFormat="1" ht="14.65" hidden="1" customHeight="1">
      <c r="AD85"/>
      <c r="AE85"/>
      <c r="AF85"/>
      <c r="AG85"/>
      <c r="AH85"/>
      <c r="AI85"/>
      <c r="AJ85"/>
      <c r="AK85"/>
      <c r="AL85"/>
      <c r="AM85"/>
      <c r="AN85"/>
      <c r="AO85"/>
      <c r="AP85"/>
      <c r="AQ85"/>
      <c r="AR85"/>
      <c r="AS85"/>
      <c r="AT85"/>
      <c r="AU85"/>
      <c r="AV85"/>
      <c r="AW85"/>
      <c r="AX85"/>
      <c r="AY85"/>
      <c r="AZ85"/>
      <c r="BA85"/>
      <c r="BB85"/>
      <c r="BC85"/>
      <c r="BD85"/>
      <c r="BI85"/>
    </row>
    <row r="86" spans="2:61" s="6" customFormat="1" ht="14.65" hidden="1" customHeight="1">
      <c r="AD86"/>
      <c r="AE86"/>
      <c r="AF86"/>
      <c r="AG86"/>
      <c r="AH86"/>
      <c r="AI86"/>
      <c r="AJ86"/>
      <c r="AK86"/>
      <c r="AL86"/>
      <c r="AM86"/>
      <c r="AN86"/>
      <c r="AO86"/>
      <c r="AP86"/>
      <c r="AQ86"/>
      <c r="AR86"/>
      <c r="AS86"/>
      <c r="AT86"/>
      <c r="AU86"/>
      <c r="AV86"/>
      <c r="AW86"/>
      <c r="AX86"/>
      <c r="AY86"/>
      <c r="AZ86"/>
      <c r="BA86"/>
      <c r="BB86"/>
      <c r="BC86"/>
      <c r="BD86"/>
      <c r="BI86"/>
    </row>
    <row r="87" spans="2:61" s="6" customFormat="1" ht="14.65" hidden="1" customHeight="1">
      <c r="AD87"/>
      <c r="AE87"/>
      <c r="AF87"/>
      <c r="AG87"/>
      <c r="AH87"/>
      <c r="AI87"/>
      <c r="AJ87"/>
      <c r="AK87"/>
      <c r="AL87"/>
      <c r="AM87"/>
      <c r="AN87"/>
      <c r="AO87"/>
      <c r="AP87"/>
      <c r="AQ87"/>
      <c r="AR87"/>
      <c r="AS87"/>
      <c r="AT87"/>
      <c r="AU87"/>
      <c r="AV87"/>
      <c r="AW87"/>
      <c r="AX87"/>
      <c r="AY87"/>
      <c r="AZ87"/>
      <c r="BA87"/>
      <c r="BB87"/>
      <c r="BC87"/>
      <c r="BD87"/>
      <c r="BI87"/>
    </row>
    <row r="88" spans="2:61" s="6" customFormat="1" ht="14.65" hidden="1" customHeight="1">
      <c r="B88" s="44" t="s">
        <v>242</v>
      </c>
      <c r="C88" s="44"/>
      <c r="D88" s="44"/>
      <c r="E88" s="87"/>
      <c r="F88" s="94"/>
      <c r="G88" s="94"/>
      <c r="H88" s="94"/>
      <c r="I88" s="94"/>
      <c r="J88" s="94"/>
      <c r="K88" s="94"/>
      <c r="L88" s="94"/>
      <c r="M88" s="94"/>
      <c r="N88" s="94"/>
      <c r="O88" s="94"/>
      <c r="P88" s="94"/>
      <c r="Q88" s="94"/>
      <c r="R88" s="94"/>
      <c r="S88" s="94"/>
      <c r="T88" s="94"/>
      <c r="U88" s="94"/>
      <c r="V88" s="94"/>
      <c r="W88" s="94"/>
      <c r="X88" s="94"/>
      <c r="Y88" s="94"/>
      <c r="Z88" s="94"/>
      <c r="AA88" s="94"/>
      <c r="AB88" s="94"/>
      <c r="AD88"/>
      <c r="BI88"/>
    </row>
    <row r="89" spans="2:61" s="6" customFormat="1" ht="15" hidden="1">
      <c r="B89" s="1510"/>
      <c r="C89" s="1511"/>
      <c r="D89" s="1511"/>
      <c r="E89" s="1511"/>
      <c r="F89" s="1511"/>
      <c r="G89" s="1511"/>
      <c r="H89" s="1511"/>
      <c r="I89" s="1511"/>
      <c r="J89" s="1511"/>
      <c r="K89" s="1511"/>
      <c r="L89" s="1511"/>
      <c r="M89" s="1511"/>
      <c r="N89" s="1511"/>
      <c r="O89" s="1511"/>
      <c r="P89" s="1511"/>
      <c r="Q89" s="1511"/>
      <c r="R89" s="1511"/>
      <c r="S89" s="1511"/>
      <c r="T89" s="1511"/>
      <c r="U89" s="1511"/>
      <c r="V89" s="1511"/>
      <c r="W89" s="1511"/>
      <c r="X89" s="1511"/>
      <c r="Y89" s="1511"/>
      <c r="Z89" s="1511"/>
      <c r="AA89" s="1511"/>
      <c r="AB89" s="1512"/>
      <c r="AD89"/>
      <c r="BI89"/>
    </row>
    <row r="90" spans="2:61" s="6" customFormat="1" ht="15" hidden="1">
      <c r="B90" s="1513"/>
      <c r="C90" s="1514"/>
      <c r="D90" s="1514"/>
      <c r="E90" s="1514"/>
      <c r="F90" s="1514"/>
      <c r="G90" s="1514"/>
      <c r="H90" s="1514"/>
      <c r="I90" s="1514"/>
      <c r="J90" s="1514"/>
      <c r="K90" s="1514"/>
      <c r="L90" s="1514"/>
      <c r="M90" s="1514"/>
      <c r="N90" s="1514"/>
      <c r="O90" s="1514"/>
      <c r="P90" s="1514"/>
      <c r="Q90" s="1514"/>
      <c r="R90" s="1514"/>
      <c r="S90" s="1514"/>
      <c r="T90" s="1514"/>
      <c r="U90" s="1514"/>
      <c r="V90" s="1514"/>
      <c r="W90" s="1514"/>
      <c r="X90" s="1514"/>
      <c r="Y90" s="1514"/>
      <c r="Z90" s="1514"/>
      <c r="AA90" s="1514"/>
      <c r="AB90" s="1515"/>
      <c r="AD90"/>
      <c r="BI90"/>
    </row>
    <row r="91" spans="2:61" s="6" customFormat="1" ht="15" hidden="1">
      <c r="B91" s="1513"/>
      <c r="C91" s="1514"/>
      <c r="D91" s="1514"/>
      <c r="E91" s="1514"/>
      <c r="F91" s="1514"/>
      <c r="G91" s="1514"/>
      <c r="H91" s="1514"/>
      <c r="I91" s="1514"/>
      <c r="J91" s="1514"/>
      <c r="K91" s="1514"/>
      <c r="L91" s="1514"/>
      <c r="M91" s="1514"/>
      <c r="N91" s="1514"/>
      <c r="O91" s="1514"/>
      <c r="P91" s="1514"/>
      <c r="Q91" s="1514"/>
      <c r="R91" s="1514"/>
      <c r="S91" s="1514"/>
      <c r="T91" s="1514"/>
      <c r="U91" s="1514"/>
      <c r="V91" s="1514"/>
      <c r="W91" s="1514"/>
      <c r="X91" s="1514"/>
      <c r="Y91" s="1514"/>
      <c r="Z91" s="1514"/>
      <c r="AA91" s="1514"/>
      <c r="AB91" s="1515"/>
      <c r="AD91"/>
      <c r="BI91"/>
    </row>
    <row r="92" spans="2:61" s="6" customFormat="1" ht="14.65" hidden="1" customHeight="1">
      <c r="B92" s="1516"/>
      <c r="C92" s="1517"/>
      <c r="D92" s="1517"/>
      <c r="E92" s="1517"/>
      <c r="F92" s="1517"/>
      <c r="G92" s="1517"/>
      <c r="H92" s="1517"/>
      <c r="I92" s="1517"/>
      <c r="J92" s="1517"/>
      <c r="K92" s="1517"/>
      <c r="L92" s="1517"/>
      <c r="M92" s="1517"/>
      <c r="N92" s="1517"/>
      <c r="O92" s="1517"/>
      <c r="P92" s="1517"/>
      <c r="Q92" s="1517"/>
      <c r="R92" s="1517"/>
      <c r="S92" s="1517"/>
      <c r="T92" s="1517"/>
      <c r="U92" s="1517"/>
      <c r="V92" s="1517"/>
      <c r="W92" s="1517"/>
      <c r="X92" s="1517"/>
      <c r="Y92" s="1517"/>
      <c r="Z92" s="1517"/>
      <c r="AA92" s="1517"/>
      <c r="AB92" s="1518"/>
      <c r="AD92"/>
      <c r="BI92"/>
    </row>
    <row r="93" spans="2:61" s="6" customFormat="1" ht="14.65" hidden="1" customHeight="1">
      <c r="BI93"/>
    </row>
    <row r="94" spans="2:61" s="6" customFormat="1" ht="14.65" hidden="1" customHeight="1">
      <c r="BI94"/>
    </row>
    <row r="95" spans="2:61" s="6" customFormat="1" ht="44.25" hidden="1" customHeight="1">
      <c r="B95" s="1534" t="s">
        <v>431</v>
      </c>
      <c r="C95" s="1535"/>
      <c r="D95" s="1535"/>
      <c r="E95" s="1535"/>
      <c r="F95" s="1535"/>
      <c r="G95" s="1535"/>
      <c r="H95" s="1535"/>
      <c r="I95" s="1535"/>
      <c r="J95" s="1535"/>
      <c r="K95" s="1535"/>
      <c r="L95" s="1536"/>
      <c r="M95" s="1537" t="s">
        <v>432</v>
      </c>
      <c r="N95" s="1538"/>
      <c r="O95" s="1538"/>
      <c r="P95" s="1538"/>
      <c r="Q95" s="1538"/>
      <c r="R95" s="1538"/>
      <c r="S95" s="1538"/>
      <c r="T95" s="1538"/>
      <c r="U95" s="1538"/>
      <c r="V95" s="1539"/>
      <c r="W95" s="1537" t="s">
        <v>433</v>
      </c>
      <c r="X95" s="1538"/>
      <c r="Y95" s="1538"/>
      <c r="Z95" s="1538"/>
      <c r="AA95" s="1538"/>
      <c r="AB95" s="1538"/>
      <c r="AC95" s="1538"/>
      <c r="AD95" s="1538"/>
      <c r="AE95" s="1538"/>
      <c r="AF95" s="1539"/>
      <c r="AG95" s="1553" t="s">
        <v>434</v>
      </c>
      <c r="AH95" s="1554"/>
      <c r="AI95" s="1554"/>
      <c r="AJ95" s="1554"/>
      <c r="AK95" s="1554"/>
      <c r="AL95" s="1554"/>
      <c r="AM95" s="1554"/>
      <c r="AN95" s="1554"/>
      <c r="AO95" s="1554"/>
      <c r="AP95" s="1555"/>
      <c r="AQ95" s="1534" t="s">
        <v>435</v>
      </c>
      <c r="AR95" s="1535"/>
      <c r="AS95" s="1535"/>
      <c r="AT95" s="1535"/>
      <c r="AU95" s="1536"/>
      <c r="AV95" s="1549" t="s">
        <v>670</v>
      </c>
      <c r="AW95" s="1550"/>
      <c r="AX95" s="1550"/>
      <c r="AY95" s="1550"/>
      <c r="AZ95" s="1551"/>
      <c r="BA95" s="1549" t="s">
        <v>437</v>
      </c>
      <c r="BB95" s="1550"/>
      <c r="BC95" s="1550"/>
      <c r="BD95" s="1550"/>
      <c r="BE95" s="1551"/>
      <c r="BI95"/>
    </row>
    <row r="96" spans="2:61" s="6" customFormat="1" ht="46.9" hidden="1" customHeight="1">
      <c r="B96" s="1557"/>
      <c r="C96" s="1558"/>
      <c r="D96" s="1558"/>
      <c r="E96" s="1558"/>
      <c r="F96" s="1558"/>
      <c r="G96" s="1558"/>
      <c r="H96" s="1558"/>
      <c r="I96" s="1558"/>
      <c r="J96" s="1558"/>
      <c r="K96" s="1558"/>
      <c r="L96" s="1559"/>
      <c r="M96" s="1543"/>
      <c r="N96" s="1544"/>
      <c r="O96" s="1544"/>
      <c r="P96" s="1544"/>
      <c r="Q96" s="1544"/>
      <c r="R96" s="1544"/>
      <c r="S96" s="1544"/>
      <c r="T96" s="1544"/>
      <c r="U96" s="1544"/>
      <c r="V96" s="1545"/>
      <c r="W96" s="1543"/>
      <c r="X96" s="1544"/>
      <c r="Y96" s="1544"/>
      <c r="Z96" s="1544"/>
      <c r="AA96" s="1544"/>
      <c r="AB96" s="1544"/>
      <c r="AC96" s="1544"/>
      <c r="AD96" s="1544"/>
      <c r="AE96" s="1544"/>
      <c r="AF96" s="1545"/>
      <c r="AG96" s="1543"/>
      <c r="AH96" s="1544"/>
      <c r="AI96" s="1544"/>
      <c r="AJ96" s="1544"/>
      <c r="AK96" s="1544"/>
      <c r="AL96" s="1544"/>
      <c r="AM96" s="1544"/>
      <c r="AN96" s="1544"/>
      <c r="AO96" s="1544"/>
      <c r="AP96" s="1545"/>
      <c r="AQ96" s="1587"/>
      <c r="AR96" s="1588"/>
      <c r="AS96" s="1588"/>
      <c r="AT96" s="1588"/>
      <c r="AU96" s="1589"/>
      <c r="AV96" s="1560"/>
      <c r="AW96" s="1561"/>
      <c r="AX96" s="1561"/>
      <c r="AY96" s="1561"/>
      <c r="AZ96" s="1562"/>
      <c r="BA96" s="1839"/>
      <c r="BB96" s="1840"/>
      <c r="BC96" s="1840"/>
      <c r="BD96" s="1840"/>
      <c r="BE96" s="1840"/>
      <c r="BI96"/>
    </row>
    <row r="97" spans="2:74" s="6" customFormat="1" ht="46.9" hidden="1" customHeight="1">
      <c r="B97" s="1578"/>
      <c r="C97" s="1579"/>
      <c r="D97" s="1579"/>
      <c r="E97" s="1579"/>
      <c r="F97" s="1579"/>
      <c r="G97" s="1579"/>
      <c r="H97" s="1579"/>
      <c r="I97" s="1579"/>
      <c r="J97" s="1579"/>
      <c r="K97" s="1579"/>
      <c r="L97" s="1580"/>
      <c r="M97" s="1584"/>
      <c r="N97" s="1585"/>
      <c r="O97" s="1585"/>
      <c r="P97" s="1585"/>
      <c r="Q97" s="1585"/>
      <c r="R97" s="1585"/>
      <c r="S97" s="1585"/>
      <c r="T97" s="1585"/>
      <c r="U97" s="1585"/>
      <c r="V97" s="1586"/>
      <c r="W97" s="1584"/>
      <c r="X97" s="1585"/>
      <c r="Y97" s="1585"/>
      <c r="Z97" s="1585"/>
      <c r="AA97" s="1585"/>
      <c r="AB97" s="1585"/>
      <c r="AC97" s="1585"/>
      <c r="AD97" s="1585"/>
      <c r="AE97" s="1585"/>
      <c r="AF97" s="1586"/>
      <c r="AG97" s="1584"/>
      <c r="AH97" s="1585"/>
      <c r="AI97" s="1585"/>
      <c r="AJ97" s="1585"/>
      <c r="AK97" s="1585"/>
      <c r="AL97" s="1585"/>
      <c r="AM97" s="1585"/>
      <c r="AN97" s="1585"/>
      <c r="AO97" s="1585"/>
      <c r="AP97" s="1586"/>
      <c r="AQ97" s="1625"/>
      <c r="AR97" s="1626"/>
      <c r="AS97" s="1626"/>
      <c r="AT97" s="1626"/>
      <c r="AU97" s="1627"/>
      <c r="AV97" s="1628"/>
      <c r="AW97" s="1629"/>
      <c r="AX97" s="1629"/>
      <c r="AY97" s="1629"/>
      <c r="AZ97" s="1630"/>
      <c r="BA97" s="1628"/>
      <c r="BB97" s="1629"/>
      <c r="BC97" s="1629"/>
      <c r="BD97" s="1629"/>
      <c r="BE97" s="1630"/>
      <c r="BI97"/>
    </row>
    <row r="98" spans="2:74" s="6" customFormat="1" ht="46.9" hidden="1" customHeight="1">
      <c r="B98" s="1581"/>
      <c r="C98" s="1582"/>
      <c r="D98" s="1582"/>
      <c r="E98" s="1582"/>
      <c r="F98" s="1582"/>
      <c r="G98" s="1582"/>
      <c r="H98" s="1582"/>
      <c r="I98" s="1582"/>
      <c r="J98" s="1582"/>
      <c r="K98" s="1582"/>
      <c r="L98" s="1583"/>
      <c r="M98" s="1543"/>
      <c r="N98" s="1544"/>
      <c r="O98" s="1544"/>
      <c r="P98" s="1544"/>
      <c r="Q98" s="1544"/>
      <c r="R98" s="1544"/>
      <c r="S98" s="1544"/>
      <c r="T98" s="1544"/>
      <c r="U98" s="1544"/>
      <c r="V98" s="1545"/>
      <c r="W98" s="1543"/>
      <c r="X98" s="1544"/>
      <c r="Y98" s="1544"/>
      <c r="Z98" s="1544"/>
      <c r="AA98" s="1544"/>
      <c r="AB98" s="1544"/>
      <c r="AC98" s="1544"/>
      <c r="AD98" s="1544"/>
      <c r="AE98" s="1544"/>
      <c r="AF98" s="1545"/>
      <c r="AG98" s="1543"/>
      <c r="AH98" s="1544"/>
      <c r="AI98" s="1544"/>
      <c r="AJ98" s="1544"/>
      <c r="AK98" s="1544"/>
      <c r="AL98" s="1544"/>
      <c r="AM98" s="1544"/>
      <c r="AN98" s="1544"/>
      <c r="AO98" s="1544"/>
      <c r="AP98" s="1545"/>
      <c r="AQ98" s="1572"/>
      <c r="AR98" s="1573"/>
      <c r="AS98" s="1573"/>
      <c r="AT98" s="1573"/>
      <c r="AU98" s="1574"/>
      <c r="AV98" s="1560"/>
      <c r="AW98" s="1561"/>
      <c r="AX98" s="1561"/>
      <c r="AY98" s="1561"/>
      <c r="AZ98" s="1562"/>
      <c r="BA98" s="1560"/>
      <c r="BB98" s="1561"/>
      <c r="BC98" s="1561"/>
      <c r="BD98" s="1561"/>
      <c r="BE98" s="1562"/>
      <c r="BI98"/>
      <c r="BJ98"/>
      <c r="BK98"/>
      <c r="BL98"/>
      <c r="BM98"/>
      <c r="BN98"/>
      <c r="BO98"/>
      <c r="BP98"/>
      <c r="BQ98"/>
      <c r="BR98"/>
      <c r="BS98"/>
      <c r="BT98"/>
      <c r="BU98"/>
      <c r="BV98"/>
    </row>
    <row r="99" spans="2:74" s="6" customFormat="1" ht="14.65" hidden="1" customHeight="1">
      <c r="B99" s="1619"/>
      <c r="C99" s="1620"/>
      <c r="D99" s="1620"/>
      <c r="E99" s="1620"/>
      <c r="F99" s="1620"/>
      <c r="G99" s="1620"/>
      <c r="H99" s="1620"/>
      <c r="I99" s="1621"/>
      <c r="J99" s="1599"/>
      <c r="K99" s="1600"/>
      <c r="L99" s="1600"/>
      <c r="M99" s="1600"/>
      <c r="N99" s="1600"/>
      <c r="O99" s="1600"/>
      <c r="P99" s="1600"/>
      <c r="Q99" s="1600"/>
      <c r="R99" s="1600"/>
      <c r="S99" s="1600"/>
      <c r="T99" s="1600"/>
      <c r="U99" s="1600"/>
      <c r="V99" s="1600"/>
      <c r="W99" s="1601"/>
      <c r="X99" s="1622"/>
      <c r="Y99" s="1623"/>
      <c r="Z99" s="1623"/>
      <c r="AA99" s="1623"/>
      <c r="AB99" s="1623"/>
      <c r="AC99" s="1623"/>
      <c r="AD99" s="1623"/>
      <c r="AE99" s="1623"/>
      <c r="AF99" s="1623"/>
      <c r="AG99" s="1623"/>
      <c r="AH99" s="1623"/>
      <c r="AI99" s="1624"/>
      <c r="AJ99" s="1599"/>
      <c r="AK99" s="1600"/>
      <c r="AL99" s="1600"/>
      <c r="AM99" s="1600"/>
      <c r="AN99" s="1600"/>
      <c r="AO99" s="1600"/>
      <c r="AP99" s="1600"/>
      <c r="AQ99" s="1600"/>
      <c r="AR99" s="1600"/>
      <c r="AS99" s="1601"/>
      <c r="AT99" s="1599"/>
      <c r="AU99" s="1600"/>
      <c r="AV99" s="1600"/>
      <c r="AW99" s="1601"/>
      <c r="AX99" s="1599"/>
      <c r="AY99" s="1600"/>
      <c r="AZ99" s="1600"/>
      <c r="BA99" s="1601"/>
      <c r="BB99" s="1599"/>
      <c r="BC99" s="1600"/>
      <c r="BD99" s="1600"/>
      <c r="BE99" s="1601"/>
      <c r="BI99"/>
      <c r="BJ99"/>
      <c r="BK99"/>
      <c r="BL99"/>
      <c r="BM99"/>
      <c r="BN99"/>
      <c r="BO99"/>
      <c r="BP99"/>
      <c r="BQ99"/>
      <c r="BR99"/>
      <c r="BS99"/>
      <c r="BT99"/>
      <c r="BU99"/>
      <c r="BV99"/>
    </row>
    <row r="100" spans="2:74" s="6" customFormat="1" ht="39" hidden="1" customHeight="1">
      <c r="B100" s="1615" t="s">
        <v>534</v>
      </c>
      <c r="C100" s="1616"/>
      <c r="D100" s="1616"/>
      <c r="E100" s="1616"/>
      <c r="F100" s="1616"/>
      <c r="G100" s="1616"/>
      <c r="H100" s="1616"/>
      <c r="I100" s="1616"/>
      <c r="J100" s="1616"/>
      <c r="K100" s="1616"/>
      <c r="L100" s="1617"/>
      <c r="M100" s="1537" t="s">
        <v>432</v>
      </c>
      <c r="N100" s="1538"/>
      <c r="O100" s="1538"/>
      <c r="P100" s="1538"/>
      <c r="Q100" s="1538"/>
      <c r="R100" s="1538"/>
      <c r="S100" s="1538"/>
      <c r="T100" s="1538"/>
      <c r="U100" s="1538"/>
      <c r="V100" s="1539"/>
      <c r="W100" s="1537" t="s">
        <v>433</v>
      </c>
      <c r="X100" s="1538"/>
      <c r="Y100" s="1538"/>
      <c r="Z100" s="1538"/>
      <c r="AA100" s="1538"/>
      <c r="AB100" s="1538"/>
      <c r="AC100" s="1538"/>
      <c r="AD100" s="1538"/>
      <c r="AE100" s="1538"/>
      <c r="AF100" s="1539"/>
      <c r="AG100" s="1537" t="s">
        <v>434</v>
      </c>
      <c r="AH100" s="1538"/>
      <c r="AI100" s="1538"/>
      <c r="AJ100" s="1538"/>
      <c r="AK100" s="1538"/>
      <c r="AL100" s="1538"/>
      <c r="AM100" s="1538"/>
      <c r="AN100" s="1538"/>
      <c r="AO100" s="1538"/>
      <c r="AP100" s="1539"/>
      <c r="AQ100" s="1615" t="s">
        <v>435</v>
      </c>
      <c r="AR100" s="1616"/>
      <c r="AS100" s="1616"/>
      <c r="AT100" s="1616"/>
      <c r="AU100" s="1617"/>
      <c r="AV100" s="1841" t="s">
        <v>670</v>
      </c>
      <c r="AW100" s="1842"/>
      <c r="AX100" s="1842"/>
      <c r="AY100" s="1842"/>
      <c r="AZ100" s="1843"/>
      <c r="BA100" s="1841" t="s">
        <v>437</v>
      </c>
      <c r="BB100" s="1842"/>
      <c r="BC100" s="1842"/>
      <c r="BD100" s="1842"/>
      <c r="BE100" s="1843"/>
      <c r="BI100"/>
      <c r="BJ100"/>
      <c r="BK100"/>
      <c r="BL100"/>
      <c r="BM100"/>
      <c r="BN100"/>
      <c r="BO100"/>
      <c r="BP100"/>
      <c r="BQ100"/>
      <c r="BR100"/>
      <c r="BS100"/>
      <c r="BT100"/>
      <c r="BU100"/>
      <c r="BV100"/>
    </row>
    <row r="101" spans="2:74" s="6" customFormat="1" ht="46.9" hidden="1" customHeight="1">
      <c r="B101" s="1581"/>
      <c r="C101" s="1582"/>
      <c r="D101" s="1582"/>
      <c r="E101" s="1582"/>
      <c r="F101" s="1582"/>
      <c r="G101" s="1582"/>
      <c r="H101" s="1582"/>
      <c r="I101" s="1582"/>
      <c r="J101" s="1582"/>
      <c r="K101" s="1582"/>
      <c r="L101" s="1583"/>
      <c r="M101" s="1543"/>
      <c r="N101" s="1544"/>
      <c r="O101" s="1544"/>
      <c r="P101" s="1544"/>
      <c r="Q101" s="1544"/>
      <c r="R101" s="1544"/>
      <c r="S101" s="1544"/>
      <c r="T101" s="1544"/>
      <c r="U101" s="1544"/>
      <c r="V101" s="1545"/>
      <c r="W101" s="1543"/>
      <c r="X101" s="1544"/>
      <c r="Y101" s="1544"/>
      <c r="Z101" s="1544"/>
      <c r="AA101" s="1544"/>
      <c r="AB101" s="1544"/>
      <c r="AC101" s="1544"/>
      <c r="AD101" s="1544"/>
      <c r="AE101" s="1544"/>
      <c r="AF101" s="1545"/>
      <c r="AG101" s="1543"/>
      <c r="AH101" s="1544"/>
      <c r="AI101" s="1544"/>
      <c r="AJ101" s="1544"/>
      <c r="AK101" s="1544"/>
      <c r="AL101" s="1544"/>
      <c r="AM101" s="1544"/>
      <c r="AN101" s="1544"/>
      <c r="AO101" s="1544"/>
      <c r="AP101" s="1545"/>
      <c r="AQ101" s="1587"/>
      <c r="AR101" s="1588"/>
      <c r="AS101" s="1588"/>
      <c r="AT101" s="1588"/>
      <c r="AU101" s="1589"/>
      <c r="AV101" s="1560"/>
      <c r="AW101" s="1561"/>
      <c r="AX101" s="1561"/>
      <c r="AY101" s="1561"/>
      <c r="AZ101" s="1562"/>
      <c r="BA101" s="1839"/>
      <c r="BB101" s="1840"/>
      <c r="BC101" s="1840"/>
      <c r="BD101" s="1840"/>
      <c r="BE101" s="1840"/>
      <c r="BI101"/>
      <c r="BJ101"/>
      <c r="BK101"/>
      <c r="BL101"/>
      <c r="BM101"/>
      <c r="BN101"/>
      <c r="BO101"/>
      <c r="BP101"/>
      <c r="BQ101"/>
      <c r="BR101"/>
      <c r="BS101"/>
      <c r="BT101"/>
      <c r="BU101"/>
      <c r="BV101"/>
    </row>
    <row r="102" spans="2:74" s="6" customFormat="1" ht="46.9" hidden="1" customHeight="1">
      <c r="B102" s="1578"/>
      <c r="C102" s="1579"/>
      <c r="D102" s="1579"/>
      <c r="E102" s="1579"/>
      <c r="F102" s="1579"/>
      <c r="G102" s="1579"/>
      <c r="H102" s="1579"/>
      <c r="I102" s="1579"/>
      <c r="J102" s="1579"/>
      <c r="K102" s="1579"/>
      <c r="L102" s="1580"/>
      <c r="M102" s="1584"/>
      <c r="N102" s="1585"/>
      <c r="O102" s="1585"/>
      <c r="P102" s="1585"/>
      <c r="Q102" s="1585"/>
      <c r="R102" s="1585"/>
      <c r="S102" s="1585"/>
      <c r="T102" s="1585"/>
      <c r="U102" s="1585"/>
      <c r="V102" s="1586"/>
      <c r="W102" s="1584"/>
      <c r="X102" s="1585"/>
      <c r="Y102" s="1585"/>
      <c r="Z102" s="1585"/>
      <c r="AA102" s="1585"/>
      <c r="AB102" s="1585"/>
      <c r="AC102" s="1585"/>
      <c r="AD102" s="1585"/>
      <c r="AE102" s="1585"/>
      <c r="AF102" s="1586"/>
      <c r="AG102" s="1584"/>
      <c r="AH102" s="1585"/>
      <c r="AI102" s="1585"/>
      <c r="AJ102" s="1585"/>
      <c r="AK102" s="1585"/>
      <c r="AL102" s="1585"/>
      <c r="AM102" s="1585"/>
      <c r="AN102" s="1585"/>
      <c r="AO102" s="1585"/>
      <c r="AP102" s="1586"/>
      <c r="AQ102" s="1625"/>
      <c r="AR102" s="1626"/>
      <c r="AS102" s="1626"/>
      <c r="AT102" s="1626"/>
      <c r="AU102" s="1627"/>
      <c r="AV102" s="1628"/>
      <c r="AW102" s="1629"/>
      <c r="AX102" s="1629"/>
      <c r="AY102" s="1629"/>
      <c r="AZ102" s="1630"/>
      <c r="BA102" s="1839"/>
      <c r="BB102" s="1840"/>
      <c r="BC102" s="1840"/>
      <c r="BD102" s="1840"/>
      <c r="BE102" s="1840"/>
      <c r="BI102"/>
      <c r="BJ102"/>
      <c r="BK102"/>
      <c r="BL102"/>
      <c r="BM102"/>
      <c r="BN102"/>
      <c r="BO102"/>
      <c r="BP102"/>
      <c r="BQ102"/>
      <c r="BR102"/>
      <c r="BS102"/>
      <c r="BT102"/>
      <c r="BU102"/>
      <c r="BV102"/>
    </row>
    <row r="103" spans="2:74" s="6" customFormat="1" ht="46.9" hidden="1" customHeight="1">
      <c r="B103" s="1581"/>
      <c r="C103" s="1582"/>
      <c r="D103" s="1582"/>
      <c r="E103" s="1582"/>
      <c r="F103" s="1582"/>
      <c r="G103" s="1582"/>
      <c r="H103" s="1582"/>
      <c r="I103" s="1582"/>
      <c r="J103" s="1582"/>
      <c r="K103" s="1582"/>
      <c r="L103" s="1583"/>
      <c r="M103" s="1543"/>
      <c r="N103" s="1544"/>
      <c r="O103" s="1544"/>
      <c r="P103" s="1544"/>
      <c r="Q103" s="1544"/>
      <c r="R103" s="1544"/>
      <c r="S103" s="1544"/>
      <c r="T103" s="1544"/>
      <c r="U103" s="1544"/>
      <c r="V103" s="1545"/>
      <c r="W103" s="1543"/>
      <c r="X103" s="1544"/>
      <c r="Y103" s="1544"/>
      <c r="Z103" s="1544"/>
      <c r="AA103" s="1544"/>
      <c r="AB103" s="1544"/>
      <c r="AC103" s="1544"/>
      <c r="AD103" s="1544"/>
      <c r="AE103" s="1544"/>
      <c r="AF103" s="1545"/>
      <c r="AG103" s="1543"/>
      <c r="AH103" s="1544"/>
      <c r="AI103" s="1544"/>
      <c r="AJ103" s="1544"/>
      <c r="AK103" s="1544"/>
      <c r="AL103" s="1544"/>
      <c r="AM103" s="1544"/>
      <c r="AN103" s="1544"/>
      <c r="AO103" s="1544"/>
      <c r="AP103" s="1545"/>
      <c r="AQ103" s="1587"/>
      <c r="AR103" s="1588"/>
      <c r="AS103" s="1588"/>
      <c r="AT103" s="1588"/>
      <c r="AU103" s="1589"/>
      <c r="AV103" s="1560"/>
      <c r="AW103" s="1561"/>
      <c r="AX103" s="1561"/>
      <c r="AY103" s="1561"/>
      <c r="AZ103" s="1562"/>
      <c r="BA103" s="1839"/>
      <c r="BB103" s="1840"/>
      <c r="BC103" s="1840"/>
      <c r="BD103" s="1840"/>
      <c r="BE103" s="1840"/>
      <c r="BI103"/>
      <c r="BJ103"/>
      <c r="BK103"/>
      <c r="BL103"/>
      <c r="BM103"/>
      <c r="BN103"/>
      <c r="BO103"/>
      <c r="BP103"/>
      <c r="BQ103"/>
      <c r="BR103"/>
      <c r="BS103"/>
      <c r="BT103"/>
      <c r="BU103"/>
      <c r="BV103"/>
    </row>
    <row r="104" spans="2:74" s="6" customFormat="1" ht="14.65" hidden="1" customHeight="1">
      <c r="B104" s="209"/>
      <c r="C104" s="209"/>
      <c r="D104" s="209"/>
      <c r="E104" s="209"/>
      <c r="F104" s="209"/>
      <c r="G104" s="209"/>
      <c r="H104" s="209"/>
      <c r="I104" s="209"/>
      <c r="J104" s="209"/>
      <c r="K104" s="209"/>
      <c r="L104" s="209"/>
      <c r="M104" s="210"/>
      <c r="N104" s="210"/>
      <c r="O104" s="210"/>
      <c r="P104" s="210"/>
      <c r="Q104" s="210"/>
      <c r="R104" s="210"/>
      <c r="S104" s="210"/>
      <c r="T104" s="210"/>
      <c r="U104" s="210"/>
      <c r="V104" s="210"/>
      <c r="W104" s="210"/>
      <c r="X104" s="210"/>
      <c r="Y104" s="210"/>
      <c r="Z104" s="210"/>
      <c r="AA104" s="210"/>
      <c r="AB104" s="210"/>
      <c r="AC104" s="210"/>
      <c r="AD104" s="210"/>
      <c r="AE104" s="210"/>
      <c r="AF104" s="210"/>
      <c r="AG104" s="210"/>
      <c r="AH104" s="210"/>
      <c r="AI104" s="210"/>
      <c r="AJ104" s="210"/>
      <c r="AK104" s="210"/>
      <c r="AL104" s="210"/>
      <c r="AM104" s="210"/>
      <c r="AN104" s="210"/>
      <c r="AO104" s="210"/>
      <c r="AP104" s="210"/>
      <c r="AQ104" s="211"/>
      <c r="AR104" s="211"/>
      <c r="AS104" s="211"/>
      <c r="AT104" s="211"/>
      <c r="AU104" s="211"/>
      <c r="AV104" s="212"/>
      <c r="AW104" s="212"/>
      <c r="AX104" s="212"/>
      <c r="AY104" s="212"/>
      <c r="AZ104" s="212"/>
      <c r="BA104" s="37"/>
      <c r="BB104" s="37"/>
      <c r="BC104" s="37"/>
      <c r="BD104" s="37"/>
      <c r="BE104" s="37"/>
      <c r="BI104"/>
      <c r="BJ104"/>
      <c r="BK104"/>
      <c r="BL104"/>
      <c r="BM104"/>
      <c r="BN104"/>
      <c r="BO104"/>
      <c r="BP104"/>
      <c r="BQ104"/>
      <c r="BR104"/>
      <c r="BS104"/>
      <c r="BT104"/>
      <c r="BU104"/>
      <c r="BV104"/>
    </row>
    <row r="105" spans="2:74" s="6" customFormat="1" ht="55.5" hidden="1" customHeight="1">
      <c r="B105" s="45" t="s">
        <v>438</v>
      </c>
      <c r="C105" s="46"/>
      <c r="D105" s="11"/>
      <c r="E105" s="11"/>
      <c r="F105" s="11"/>
      <c r="G105" s="11"/>
      <c r="H105" s="11"/>
      <c r="I105" s="11"/>
      <c r="J105" s="11"/>
      <c r="K105" s="11"/>
      <c r="L105" s="11"/>
      <c r="M105" s="11"/>
      <c r="N105" s="11"/>
      <c r="O105" s="11"/>
      <c r="P105" s="11"/>
      <c r="Q105" s="11"/>
      <c r="R105" s="11"/>
      <c r="S105" s="11"/>
      <c r="T105" s="11"/>
      <c r="U105" s="11"/>
      <c r="V105" s="46"/>
      <c r="W105" s="46"/>
      <c r="X105" s="46"/>
      <c r="Y105" s="11"/>
      <c r="Z105" s="11"/>
      <c r="AA105" s="11"/>
      <c r="AB105" s="11"/>
      <c r="AC105" s="11"/>
      <c r="AD105" s="66"/>
      <c r="AE105" s="46"/>
      <c r="AF105" s="46"/>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I105"/>
      <c r="BJ105"/>
      <c r="BK105"/>
      <c r="BL105"/>
      <c r="BM105"/>
      <c r="BN105"/>
      <c r="BO105"/>
      <c r="BP105"/>
      <c r="BQ105"/>
      <c r="BR105"/>
      <c r="BS105"/>
      <c r="BT105"/>
      <c r="BU105"/>
      <c r="BV105"/>
    </row>
    <row r="106" spans="2:74" s="6" customFormat="1" ht="14.65" hidden="1" customHeight="1">
      <c r="B106" s="1569" t="s">
        <v>439</v>
      </c>
      <c r="C106" s="1570"/>
      <c r="D106" s="1570"/>
      <c r="E106" s="1570"/>
      <c r="F106" s="1570"/>
      <c r="G106" s="1570"/>
      <c r="H106" s="1570"/>
      <c r="I106" s="1570"/>
      <c r="J106" s="1570"/>
      <c r="K106" s="1570"/>
      <c r="L106" s="1571"/>
      <c r="M106" s="1569" t="s">
        <v>440</v>
      </c>
      <c r="N106" s="1570"/>
      <c r="O106" s="1570"/>
      <c r="P106" s="1570"/>
      <c r="Q106" s="1570"/>
      <c r="R106" s="1570"/>
      <c r="S106" s="1570"/>
      <c r="T106" s="1570"/>
      <c r="U106" s="1570"/>
      <c r="V106" s="1571"/>
      <c r="W106" s="1569" t="s">
        <v>441</v>
      </c>
      <c r="X106" s="1570"/>
      <c r="Y106" s="1570"/>
      <c r="Z106" s="1570"/>
      <c r="AA106" s="1571"/>
      <c r="AB106" s="1569" t="s">
        <v>442</v>
      </c>
      <c r="AC106" s="1570"/>
      <c r="AD106" s="1570"/>
      <c r="AE106" s="1570"/>
      <c r="AF106" s="1571"/>
      <c r="AG106" s="1569" t="s">
        <v>201</v>
      </c>
      <c r="AH106" s="1570"/>
      <c r="AI106" s="1570"/>
      <c r="AJ106" s="1570"/>
      <c r="AK106" s="1570"/>
      <c r="AL106" s="1570"/>
      <c r="AM106" s="1570"/>
      <c r="AN106" s="1570"/>
      <c r="AO106" s="1570"/>
      <c r="AP106" s="1570"/>
      <c r="AQ106" s="1570"/>
      <c r="AR106" s="1570"/>
      <c r="AS106" s="1570"/>
      <c r="AT106" s="1570"/>
      <c r="AU106" s="1570"/>
      <c r="AV106" s="1570"/>
      <c r="AW106" s="1570"/>
      <c r="AX106" s="1570"/>
      <c r="AY106" s="1570"/>
      <c r="AZ106" s="1570"/>
      <c r="BA106" s="1570"/>
      <c r="BB106" s="1570"/>
      <c r="BC106" s="1570"/>
      <c r="BD106" s="1570"/>
      <c r="BE106" s="1571"/>
      <c r="BI106"/>
      <c r="BJ106"/>
      <c r="BK106"/>
      <c r="BL106"/>
      <c r="BM106"/>
      <c r="BN106"/>
      <c r="BO106"/>
      <c r="BP106"/>
      <c r="BQ106"/>
      <c r="BR106"/>
      <c r="BS106"/>
      <c r="BT106"/>
      <c r="BU106"/>
      <c r="BV106"/>
    </row>
    <row r="107" spans="2:74" s="6" customFormat="1" ht="46.9" hidden="1" customHeight="1">
      <c r="B107" s="1581"/>
      <c r="C107" s="1582"/>
      <c r="D107" s="1582"/>
      <c r="E107" s="1582"/>
      <c r="F107" s="1582"/>
      <c r="G107" s="1582"/>
      <c r="H107" s="1582"/>
      <c r="I107" s="1582"/>
      <c r="J107" s="1582"/>
      <c r="K107" s="1582"/>
      <c r="L107" s="1583"/>
      <c r="M107" s="1543"/>
      <c r="N107" s="1544"/>
      <c r="O107" s="1544"/>
      <c r="P107" s="1544"/>
      <c r="Q107" s="1544"/>
      <c r="R107" s="1544"/>
      <c r="S107" s="1544"/>
      <c r="T107" s="1544"/>
      <c r="U107" s="1544"/>
      <c r="V107" s="1545"/>
      <c r="W107" s="1587"/>
      <c r="X107" s="1588"/>
      <c r="Y107" s="1588"/>
      <c r="Z107" s="1588"/>
      <c r="AA107" s="1589"/>
      <c r="AB107" s="1590"/>
      <c r="AC107" s="1591"/>
      <c r="AD107" s="1591"/>
      <c r="AE107" s="1591"/>
      <c r="AF107" s="1592"/>
      <c r="AG107" s="1543"/>
      <c r="AH107" s="1544"/>
      <c r="AI107" s="1544"/>
      <c r="AJ107" s="1544"/>
      <c r="AK107" s="1544"/>
      <c r="AL107" s="1544"/>
      <c r="AM107" s="1544"/>
      <c r="AN107" s="1544"/>
      <c r="AO107" s="1544"/>
      <c r="AP107" s="1544"/>
      <c r="AQ107" s="1544"/>
      <c r="AR107" s="1544"/>
      <c r="AS107" s="1544"/>
      <c r="AT107" s="1544"/>
      <c r="AU107" s="1544"/>
      <c r="AV107" s="1544"/>
      <c r="AW107" s="1544"/>
      <c r="AX107" s="1544"/>
      <c r="AY107" s="1544"/>
      <c r="AZ107" s="1544"/>
      <c r="BA107" s="1544"/>
      <c r="BB107" s="1544"/>
      <c r="BC107" s="1544"/>
      <c r="BD107" s="1544"/>
      <c r="BE107" s="1545"/>
      <c r="BI107"/>
      <c r="BJ107"/>
      <c r="BK107"/>
      <c r="BL107"/>
      <c r="BM107"/>
      <c r="BN107"/>
      <c r="BO107"/>
      <c r="BP107"/>
      <c r="BQ107"/>
      <c r="BR107"/>
      <c r="BS107"/>
      <c r="BT107"/>
      <c r="BU107"/>
      <c r="BV107"/>
    </row>
    <row r="108" spans="2:74" s="6" customFormat="1" ht="46.9" hidden="1" customHeight="1">
      <c r="B108" s="1578"/>
      <c r="C108" s="1579"/>
      <c r="D108" s="1579"/>
      <c r="E108" s="1579"/>
      <c r="F108" s="1579"/>
      <c r="G108" s="1579"/>
      <c r="H108" s="1579"/>
      <c r="I108" s="1579"/>
      <c r="J108" s="1579"/>
      <c r="K108" s="1579"/>
      <c r="L108" s="1580"/>
      <c r="M108" s="1584"/>
      <c r="N108" s="1585"/>
      <c r="O108" s="1585"/>
      <c r="P108" s="1585"/>
      <c r="Q108" s="1585"/>
      <c r="R108" s="1585"/>
      <c r="S108" s="1585"/>
      <c r="T108" s="1585"/>
      <c r="U108" s="1585"/>
      <c r="V108" s="1586"/>
      <c r="W108" s="1593"/>
      <c r="X108" s="1594"/>
      <c r="Y108" s="1594"/>
      <c r="Z108" s="1594"/>
      <c r="AA108" s="1595"/>
      <c r="AB108" s="1596"/>
      <c r="AC108" s="1597"/>
      <c r="AD108" s="1597"/>
      <c r="AE108" s="1597"/>
      <c r="AF108" s="1598"/>
      <c r="AG108" s="1584"/>
      <c r="AH108" s="1585"/>
      <c r="AI108" s="1585"/>
      <c r="AJ108" s="1585"/>
      <c r="AK108" s="1585"/>
      <c r="AL108" s="1585"/>
      <c r="AM108" s="1585"/>
      <c r="AN108" s="1585"/>
      <c r="AO108" s="1585"/>
      <c r="AP108" s="1585"/>
      <c r="AQ108" s="1585"/>
      <c r="AR108" s="1585"/>
      <c r="AS108" s="1585"/>
      <c r="AT108" s="1585"/>
      <c r="AU108" s="1585"/>
      <c r="AV108" s="1585"/>
      <c r="AW108" s="1585"/>
      <c r="AX108" s="1585"/>
      <c r="AY108" s="1585"/>
      <c r="AZ108" s="1585"/>
      <c r="BA108" s="1585"/>
      <c r="BB108" s="1585"/>
      <c r="BC108" s="1585"/>
      <c r="BD108" s="1585"/>
      <c r="BE108" s="1586"/>
      <c r="BI108"/>
      <c r="BJ108"/>
      <c r="BK108"/>
      <c r="BL108"/>
      <c r="BM108"/>
      <c r="BN108"/>
      <c r="BO108"/>
      <c r="BP108"/>
      <c r="BQ108"/>
      <c r="BR108"/>
      <c r="BS108"/>
      <c r="BT108"/>
      <c r="BU108"/>
      <c r="BV108"/>
    </row>
    <row r="109" spans="2:74" s="6" customFormat="1" ht="46.9" hidden="1" customHeight="1">
      <c r="B109" s="1581"/>
      <c r="C109" s="1582"/>
      <c r="D109" s="1582"/>
      <c r="E109" s="1582"/>
      <c r="F109" s="1582"/>
      <c r="G109" s="1582"/>
      <c r="H109" s="1582"/>
      <c r="I109" s="1582"/>
      <c r="J109" s="1582"/>
      <c r="K109" s="1582"/>
      <c r="L109" s="1583"/>
      <c r="M109" s="1543"/>
      <c r="N109" s="1544"/>
      <c r="O109" s="1544"/>
      <c r="P109" s="1544"/>
      <c r="Q109" s="1544"/>
      <c r="R109" s="1544"/>
      <c r="S109" s="1544"/>
      <c r="T109" s="1544"/>
      <c r="U109" s="1544"/>
      <c r="V109" s="1545"/>
      <c r="W109" s="1572"/>
      <c r="X109" s="1573"/>
      <c r="Y109" s="1573"/>
      <c r="Z109" s="1573"/>
      <c r="AA109" s="1574"/>
      <c r="AB109" s="1590"/>
      <c r="AC109" s="1591"/>
      <c r="AD109" s="1591"/>
      <c r="AE109" s="1591"/>
      <c r="AF109" s="1592"/>
      <c r="AG109" s="1543"/>
      <c r="AH109" s="1544"/>
      <c r="AI109" s="1544"/>
      <c r="AJ109" s="1544"/>
      <c r="AK109" s="1544"/>
      <c r="AL109" s="1544"/>
      <c r="AM109" s="1544"/>
      <c r="AN109" s="1544"/>
      <c r="AO109" s="1544"/>
      <c r="AP109" s="1544"/>
      <c r="AQ109" s="1544"/>
      <c r="AR109" s="1544"/>
      <c r="AS109" s="1544"/>
      <c r="AT109" s="1544"/>
      <c r="AU109" s="1544"/>
      <c r="AV109" s="1544"/>
      <c r="AW109" s="1544"/>
      <c r="AX109" s="1544"/>
      <c r="AY109" s="1544"/>
      <c r="AZ109" s="1544"/>
      <c r="BA109" s="1544"/>
      <c r="BB109" s="1544"/>
      <c r="BC109" s="1544"/>
      <c r="BD109" s="1544"/>
      <c r="BE109" s="1545"/>
      <c r="BI109"/>
      <c r="BJ109"/>
      <c r="BK109"/>
      <c r="BL109"/>
      <c r="BM109"/>
      <c r="BN109"/>
      <c r="BO109"/>
      <c r="BP109"/>
      <c r="BQ109"/>
      <c r="BR109"/>
      <c r="BS109"/>
      <c r="BT109"/>
      <c r="BU109"/>
      <c r="BV109"/>
    </row>
    <row r="110" spans="2:74" s="6" customFormat="1" ht="15" hidden="1">
      <c r="BI110"/>
      <c r="BJ110"/>
      <c r="BK110"/>
      <c r="BL110"/>
      <c r="BM110"/>
      <c r="BN110"/>
      <c r="BO110"/>
      <c r="BP110"/>
      <c r="BQ110"/>
      <c r="BR110"/>
      <c r="BS110"/>
      <c r="BT110"/>
      <c r="BU110"/>
      <c r="BV110"/>
    </row>
    <row r="111" spans="2:74" s="6" customFormat="1" ht="15" hidden="1">
      <c r="BI111"/>
      <c r="BJ111"/>
      <c r="BK111"/>
      <c r="BL111"/>
      <c r="BM111"/>
      <c r="BN111"/>
      <c r="BO111"/>
      <c r="BP111"/>
      <c r="BQ111"/>
      <c r="BR111"/>
      <c r="BS111"/>
      <c r="BT111"/>
      <c r="BU111"/>
      <c r="BV111"/>
    </row>
    <row r="112" spans="2:74" s="6" customFormat="1" ht="15" hidden="1">
      <c r="BI112"/>
      <c r="BJ112"/>
      <c r="BK112"/>
      <c r="BL112"/>
      <c r="BM112"/>
      <c r="BN112"/>
      <c r="BO112"/>
      <c r="BP112"/>
      <c r="BQ112"/>
      <c r="BR112"/>
      <c r="BS112"/>
      <c r="BT112"/>
      <c r="BU112"/>
      <c r="BV112"/>
    </row>
    <row r="113" spans="2:81" ht="14.65" hidden="1" customHeight="1">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I113" s="4" t="s">
        <v>245</v>
      </c>
      <c r="BJ113" s="3"/>
      <c r="BK113" s="3"/>
      <c r="BL113" s="3"/>
      <c r="BM113" s="3"/>
      <c r="BN113" s="3"/>
      <c r="BO113" s="3"/>
      <c r="BP113" s="3"/>
      <c r="BQ113" s="3"/>
      <c r="BR113" s="3"/>
      <c r="BS113" s="3"/>
      <c r="BT113" s="3"/>
      <c r="BU113" s="3"/>
    </row>
    <row r="114" spans="2:81" ht="14.65" hidden="1" customHeight="1" thickBot="1">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I114" s="1" t="s">
        <v>292</v>
      </c>
      <c r="BJ114" s="1526" t="s">
        <v>362</v>
      </c>
      <c r="BK114" s="1526"/>
      <c r="BL114" s="1526"/>
      <c r="BM114" s="1526"/>
      <c r="BN114" s="1526"/>
      <c r="BO114" s="1526"/>
      <c r="BP114" s="1526"/>
      <c r="BQ114" s="1526"/>
      <c r="BR114" s="1526"/>
      <c r="BS114" s="1526"/>
      <c r="BT114" s="1526"/>
      <c r="BU114" s="1526"/>
    </row>
    <row r="115" spans="2:81" ht="14.65" hidden="1" customHeight="1" thickBot="1">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I115" s="54" t="s">
        <v>296</v>
      </c>
      <c r="BJ115" s="1527" t="s">
        <v>684</v>
      </c>
      <c r="BK115" s="1527"/>
      <c r="BL115" s="1527"/>
      <c r="BM115" s="1527"/>
      <c r="BN115" s="1527"/>
      <c r="BO115" s="1527"/>
      <c r="BP115" s="1527"/>
      <c r="BQ115" s="1527"/>
      <c r="BR115" s="1527"/>
      <c r="BS115" s="1527"/>
      <c r="BT115" s="1527"/>
      <c r="BU115" s="1527"/>
      <c r="BW115" s="1490" t="s">
        <v>303</v>
      </c>
      <c r="BX115" s="1491"/>
      <c r="BY115" s="1491"/>
      <c r="BZ115" s="1491"/>
      <c r="CA115" s="1491"/>
      <c r="CB115" s="1491"/>
      <c r="CC115" s="1492"/>
    </row>
    <row r="116" spans="2:81" ht="14.65" hidden="1" customHeight="1" thickBot="1">
      <c r="BI116" s="1" t="s">
        <v>300</v>
      </c>
      <c r="BJ116" s="1527" t="s">
        <v>685</v>
      </c>
      <c r="BK116" s="1527"/>
      <c r="BL116" s="1527"/>
      <c r="BM116" s="1527"/>
      <c r="BN116" s="1527"/>
      <c r="BO116" s="1527"/>
      <c r="BP116" s="1527"/>
      <c r="BQ116" s="1527"/>
      <c r="BR116" s="1527"/>
      <c r="BS116" s="1527"/>
      <c r="BT116" s="1527"/>
      <c r="BU116" s="1527"/>
      <c r="BW116" s="164" t="s">
        <v>314</v>
      </c>
      <c r="BX116" s="164" t="s">
        <v>23</v>
      </c>
      <c r="BY116" s="168" t="s">
        <v>315</v>
      </c>
      <c r="BZ116" s="164" t="s">
        <v>122</v>
      </c>
      <c r="CA116" s="164" t="s">
        <v>316</v>
      </c>
      <c r="CB116" s="164" t="s">
        <v>317</v>
      </c>
      <c r="CC116" s="164" t="s">
        <v>318</v>
      </c>
    </row>
    <row r="117" spans="2:81" ht="14.65" hidden="1" customHeight="1" thickBot="1">
      <c r="BI117" s="2"/>
      <c r="BJ117" s="2"/>
      <c r="BK117" s="2"/>
      <c r="BL117" s="1490" t="s">
        <v>683</v>
      </c>
      <c r="BM117" s="1491"/>
      <c r="BN117" s="1491"/>
      <c r="BO117" s="1491"/>
      <c r="BP117" s="1521"/>
      <c r="BQ117" s="1490" t="s">
        <v>487</v>
      </c>
      <c r="BR117" s="1491"/>
      <c r="BS117" s="1491"/>
      <c r="BT117" s="1491"/>
      <c r="BU117" s="1492"/>
      <c r="BX117" s="666" t="str">
        <f t="shared" ref="BX117:BX124" si="10">TEXT(CONCATENATE(CC117,"/01/20",CB117),"MMM")</f>
        <v>Apr</v>
      </c>
      <c r="BY117" s="728">
        <f>IF(CB117=$CB129,SUMIF($BI117:$BI128,$BX117,$BR117:$BR128),SUMIF($BI117:$BI128,$BX117,$BM117:$BM128))</f>
        <v>0</v>
      </c>
      <c r="BZ117" s="736" t="e">
        <f>IF(IF(CB117=CB129,SUMIF(BI117:BI128,$BX117,BU117:BU128),SUMIF(BI117:BI128,$BX117,BP117:BP128))=0,NA(),IF(CB117=CB129,SUMIF(BI117:BI128,$BX117,BU117:BU128),SUMIF(BI117:BI128,$BX117,BP117:BP128)))</f>
        <v>#N/A</v>
      </c>
      <c r="CA117" s="739" t="e">
        <f>IF(IF(CB117=CB129,SUMIF(BI117:BI128,$BX117,BS117:BS128),SUMIF(BI117:BI128,$BX117,BN117:BN128))=0,NA(),IF(CB117=CB129,SUMIF(BI117:BI128,$BX117,BS117:BS128),SUMIF(BI117:BI128,$BX117,BN117:BN128)))</f>
        <v>#N/A</v>
      </c>
      <c r="CB117" s="730">
        <v>19</v>
      </c>
      <c r="CC117" s="730">
        <f t="shared" ref="CC117:CC124" si="11">IF(CC118-1&lt;1,CC118+11,CC118-1)</f>
        <v>4</v>
      </c>
    </row>
    <row r="118" spans="2:81" ht="14.65" hidden="1" customHeight="1">
      <c r="BI118" s="720" t="s">
        <v>23</v>
      </c>
      <c r="BJ118" s="720" t="s">
        <v>37</v>
      </c>
      <c r="BK118" s="720" t="s">
        <v>304</v>
      </c>
      <c r="BL118" s="721" t="s">
        <v>305</v>
      </c>
      <c r="BM118" s="721" t="s">
        <v>306</v>
      </c>
      <c r="BN118" s="721" t="s">
        <v>679</v>
      </c>
      <c r="BO118" s="135" t="s">
        <v>680</v>
      </c>
      <c r="BP118" s="721" t="s">
        <v>490</v>
      </c>
      <c r="BQ118" s="721" t="s">
        <v>305</v>
      </c>
      <c r="BR118" s="721" t="s">
        <v>681</v>
      </c>
      <c r="BS118" s="721" t="s">
        <v>488</v>
      </c>
      <c r="BT118" s="135" t="s">
        <v>489</v>
      </c>
      <c r="BU118" s="721" t="s">
        <v>682</v>
      </c>
      <c r="BX118" s="666" t="str">
        <f t="shared" si="10"/>
        <v>May</v>
      </c>
      <c r="BY118" s="728">
        <f>IF(CB118=$CB129,SUMIF($BI117:$BI128,$BX118,$BR117:$BR128),SUMIF($BI117:$BI128,$BX118,$BM117:$BM128))</f>
        <v>0</v>
      </c>
      <c r="BZ118" s="736" t="e">
        <f>IF(IF(CB118=CB129,SUMIF(BI117:BI128,$BX118,BU117:BU128),SUMIF(BI117:BI128,$BX118,BP117:BP128))=0,NA(),IF(CB118=CB129,SUMIF(BI117:BI128,$BX118,BU117:BU128),SUMIF(BI117:BI128,$BX118,BP117:BP128)))</f>
        <v>#N/A</v>
      </c>
      <c r="CA118" s="739" t="e">
        <f>IF(IF(CB118=CB129,SUMIF(BI117:BI128,$BX118,BS117:BS128),SUMIF(BI117:BI128,$BX118,BN117:BN128))=0,NA(),IF(CB118=CB129,SUMIF(BI117:BI128,$BX118,BS117:BS128),SUMIF(BI117:BI128,$BX118,BN117:BN128)))</f>
        <v>#N/A</v>
      </c>
      <c r="CB118" s="730">
        <v>19</v>
      </c>
      <c r="CC118" s="730">
        <f t="shared" si="11"/>
        <v>5</v>
      </c>
    </row>
    <row r="119" spans="2:81" ht="14.65" hidden="1" customHeight="1">
      <c r="BI119" s="722" t="s">
        <v>319</v>
      </c>
      <c r="BJ119" s="722">
        <v>1</v>
      </c>
      <c r="BK119" s="722" t="s">
        <v>320</v>
      </c>
      <c r="BL119" s="743"/>
      <c r="BM119" s="725"/>
      <c r="BN119" s="735"/>
      <c r="BO119" s="139">
        <f>IF(SUM(BM119:BM121=0),0,SUM(BL119:BL121)/SUM(BM119:BM121))</f>
        <v>0</v>
      </c>
      <c r="BP119" s="736"/>
      <c r="BQ119" s="758"/>
      <c r="BR119" s="727"/>
      <c r="BS119" s="735">
        <f t="shared" ref="BS119:BS126" si="12">IF(BR119=0,0,BQ119/BR119)</f>
        <v>0</v>
      </c>
      <c r="BT119" s="139">
        <f>IF(SUM(BR119:BR121=0),0,SUM(BQ119:BQ121)/SUM(BR119:BR121))</f>
        <v>0</v>
      </c>
      <c r="BU119" s="736"/>
      <c r="BX119" s="666" t="str">
        <f t="shared" si="10"/>
        <v>Jun</v>
      </c>
      <c r="BY119" s="728">
        <f>IF(CB119=$CB129,SUMIF($BI117:$BI128,$BX119,$BR117:$BR128),SUMIF($BI117:$BI128,$BX119,$BM117:$BM128))</f>
        <v>0</v>
      </c>
      <c r="BZ119" s="736" t="e">
        <f>IF(IF(CB119=CB129,SUMIF(BI117:BI128,$BX119,BU117:BU128),SUMIF(BI117:BI128,$BX119,BP117:BP128))=0,NA(),IF(CB119=CB129,SUMIF(BI117:BI128,$BX119,BU117:BU128),SUMIF(BI117:BI128,$BX119,BP117:BP128)))</f>
        <v>#N/A</v>
      </c>
      <c r="CA119" s="739" t="e">
        <f>IF(IF(CB119=CB129,SUMIF(BI117:BI128,$BX119,BS117:BS128),SUMIF(BI117:BI128,$BX119,BN117:BN128))=0,NA(),IF(CB119=CB129,SUMIF(BI117:BI128,$BX119,BS117:BS128),SUMIF(BI117:BI128,$BX119,BN117:BN128)))</f>
        <v>#N/A</v>
      </c>
      <c r="CB119" s="730">
        <v>19</v>
      </c>
      <c r="CC119" s="730">
        <f t="shared" si="11"/>
        <v>6</v>
      </c>
    </row>
    <row r="120" spans="2:81" ht="14.65" hidden="1" customHeight="1">
      <c r="BI120" s="722" t="s">
        <v>321</v>
      </c>
      <c r="BJ120" s="722">
        <v>2</v>
      </c>
      <c r="BK120" s="722" t="s">
        <v>320</v>
      </c>
      <c r="BL120" s="743"/>
      <c r="BM120" s="725"/>
      <c r="BN120" s="735"/>
      <c r="BP120" s="736"/>
      <c r="BQ120" s="758"/>
      <c r="BR120" s="727"/>
      <c r="BS120" s="735">
        <f t="shared" si="12"/>
        <v>0</v>
      </c>
      <c r="BU120" s="736"/>
      <c r="BX120" s="666" t="str">
        <f t="shared" si="10"/>
        <v>Jul</v>
      </c>
      <c r="BY120" s="728">
        <f>IF(CB120=$CB129,SUMIF($BI117:$BI128,$BX120,$BR117:$BR128),SUMIF($BI117:$BI128,$BX120,$BM117:$BM128))</f>
        <v>0</v>
      </c>
      <c r="BZ120" s="736" t="e">
        <f>IF(IF(CB120=CB129,SUMIF(BI117:BI128,$BX120,BU117:BU128),SUMIF(BI117:BI128,$BX120,BP117:BP128))=0,NA(),IF(CB120=CB129,SUMIF(BI117:BI128,$BX120,BU117:BU128),SUMIF(BI117:BI128,$BX120,BP117:BP128)))</f>
        <v>#N/A</v>
      </c>
      <c r="CA120" s="739" t="e">
        <f>IF(IF(CB120=CB129,SUMIF(BI117:BI128,$BX120,BS117:BS128),SUMIF(BI117:BI128,$BX120,BN117:BN128))=0,NA(),IF(CB120=CB129,SUMIF(BI117:BI128,$BX120,BS117:BS128),SUMIF(BI117:BI128,$BX120,BN117:BN128)))</f>
        <v>#N/A</v>
      </c>
      <c r="CB120" s="730">
        <v>19</v>
      </c>
      <c r="CC120" s="730">
        <f t="shared" si="11"/>
        <v>7</v>
      </c>
    </row>
    <row r="121" spans="2:81" ht="14.65" hidden="1" customHeight="1">
      <c r="BI121" s="722" t="s">
        <v>322</v>
      </c>
      <c r="BJ121" s="722">
        <v>3</v>
      </c>
      <c r="BK121" s="722" t="s">
        <v>320</v>
      </c>
      <c r="BL121" s="743"/>
      <c r="BM121" s="725"/>
      <c r="BN121" s="735"/>
      <c r="BP121" s="736"/>
      <c r="BQ121" s="758"/>
      <c r="BR121" s="727"/>
      <c r="BS121" s="735">
        <f t="shared" si="12"/>
        <v>0</v>
      </c>
      <c r="BU121" s="736"/>
      <c r="BX121" s="666" t="str">
        <f t="shared" si="10"/>
        <v>Aug</v>
      </c>
      <c r="BY121" s="728">
        <f>IF(CB121=$CB129,SUMIF($BI117:$BI128,$BX121,$BR117:$BR128),SUMIF($BI117:$BI128,$BX121,$BM117:$BM128))</f>
        <v>0</v>
      </c>
      <c r="BZ121" s="736" t="e">
        <f>IF(IF(CB121=CB129,SUMIF(BI117:BI128,$BX121,BU117:BU128),SUMIF(BI117:BI128,$BX121,BP117:BP128))=0,NA(),IF(CB121=CB129,SUMIF(BI117:BI128,$BX121,BU117:BU128),SUMIF(BI117:BI128,$BX121,BP117:BP128)))</f>
        <v>#N/A</v>
      </c>
      <c r="CA121" s="739" t="e">
        <f>IF(IF(CB121=CB129,SUMIF(BI117:BI128,$BX121,BS117:BS128),SUMIF(BI117:BI128,$BX121,BN117:BN128))=0,NA(),IF(CB121=CB129,SUMIF(BI117:BI128,$BX121,BS117:BS128),SUMIF(BI117:BI128,$BX121,BN117:BN128)))</f>
        <v>#N/A</v>
      </c>
      <c r="CB121" s="730">
        <v>19</v>
      </c>
      <c r="CC121" s="730">
        <f t="shared" si="11"/>
        <v>8</v>
      </c>
    </row>
    <row r="122" spans="2:81" ht="14.65" hidden="1" customHeight="1">
      <c r="BI122" s="722" t="s">
        <v>323</v>
      </c>
      <c r="BJ122" s="722">
        <v>4</v>
      </c>
      <c r="BK122" s="722" t="s">
        <v>324</v>
      </c>
      <c r="BL122" s="811"/>
      <c r="BM122" s="725"/>
      <c r="BN122" s="735"/>
      <c r="BO122" s="139">
        <f>IF(SUM(BM122:BM124=0),0,SUM(BL122:BL124)/SUM(BM122:BM124))</f>
        <v>0</v>
      </c>
      <c r="BP122" s="736"/>
      <c r="BQ122" s="751"/>
      <c r="BR122" s="727"/>
      <c r="BS122" s="735">
        <f t="shared" si="12"/>
        <v>0</v>
      </c>
      <c r="BT122" s="139">
        <f>IF(SUM(BR122:BR124=0),0,SUM(BQ122:BQ124)/SUM(BR122:BR124))</f>
        <v>0</v>
      </c>
      <c r="BU122" s="736"/>
      <c r="BX122" s="666" t="str">
        <f t="shared" si="10"/>
        <v>Sep</v>
      </c>
      <c r="BY122" s="728">
        <f>IF(CB122=$CB129,SUMIF($BI117:$BI128,$BX122,$BR117:$BR128),SUMIF($BI117:$BI128,$BX122,$BM117:$BM128))</f>
        <v>0</v>
      </c>
      <c r="BZ122" s="736" t="e">
        <f>IF(IF(CB122=CB129,SUMIF(BI117:BI128,$BX122,BU117:BU128),SUMIF(BI117:BI128,$BX122,BP117:BP128))=0,NA(),IF(CB122=CB129,SUMIF(BI117:BI128,$BX122,BU117:BU128),SUMIF(BI117:BI128,$BX122,BP117:BP128)))</f>
        <v>#N/A</v>
      </c>
      <c r="CA122" s="739" t="e">
        <f>IF(IF(CB122=CB129,SUMIF(BI117:BI128,$BX122,BS117:BS128),SUMIF(BI117:BI128,$BX122,BN117:BN128))=0,NA(),IF(CB122=CB129,SUMIF(BI117:BI128,$BX122,BS117:BS128),SUMIF(BI117:BI128,$BX122,BN117:BN128)))</f>
        <v>#N/A</v>
      </c>
      <c r="CB122" s="730">
        <v>19</v>
      </c>
      <c r="CC122" s="730">
        <f t="shared" si="11"/>
        <v>9</v>
      </c>
    </row>
    <row r="123" spans="2:81" ht="14.65" hidden="1" customHeight="1">
      <c r="BI123" s="722" t="s">
        <v>325</v>
      </c>
      <c r="BJ123" s="722">
        <v>5</v>
      </c>
      <c r="BK123" s="722" t="s">
        <v>324</v>
      </c>
      <c r="BL123" s="743"/>
      <c r="BM123" s="725"/>
      <c r="BN123" s="735"/>
      <c r="BP123" s="736"/>
      <c r="BQ123" s="758">
        <v>1.44</v>
      </c>
      <c r="BR123" s="727">
        <v>1.6830000000000001</v>
      </c>
      <c r="BS123" s="735">
        <f t="shared" si="12"/>
        <v>0.85561497326203206</v>
      </c>
      <c r="BU123" s="736"/>
      <c r="BX123" s="666" t="str">
        <f t="shared" si="10"/>
        <v>Oct</v>
      </c>
      <c r="BY123" s="728">
        <f>IF(CB123=$CB129,SUMIF($BI117:$BI128,$BX123,$BR117:$BR128),SUMIF($BI117:$BI128,$BX123,$BM117:$BM128))</f>
        <v>0</v>
      </c>
      <c r="BZ123" s="736" t="e">
        <f>IF(IF(CB123=CB129,SUMIF(BI117:BI128,$BX123,BU117:BU128),SUMIF(BI117:BI128,$BX123,BP117:BP128))=0,NA(),IF(CB123=CB129,SUMIF(BI117:BI128,$BX123,BU117:BU128),SUMIF(BI117:BI128,$BX123,BP117:BP128)))</f>
        <v>#N/A</v>
      </c>
      <c r="CA123" s="739" t="e">
        <f>IF(IF(CB123=CB129,SUMIF(BI117:BI128,$BX123,BS117:BS128),SUMIF(BI117:BI128,$BX123,BN117:BN128))=0,NA(),IF(CB123=CB129,SUMIF(BI117:BI128,$BX123,BS117:BS128),SUMIF(BI117:BI128,$BX123,BN117:BN128)))</f>
        <v>#N/A</v>
      </c>
      <c r="CB123" s="730">
        <v>19</v>
      </c>
      <c r="CC123" s="730">
        <f t="shared" si="11"/>
        <v>10</v>
      </c>
    </row>
    <row r="124" spans="2:81" ht="14.65" hidden="1" customHeight="1">
      <c r="BI124" s="722" t="s">
        <v>326</v>
      </c>
      <c r="BJ124" s="722">
        <v>6</v>
      </c>
      <c r="BK124" s="722" t="s">
        <v>324</v>
      </c>
      <c r="BL124" s="743"/>
      <c r="BM124" s="725"/>
      <c r="BN124" s="735"/>
      <c r="BP124" s="736"/>
      <c r="BQ124" s="758">
        <v>0.27600000000000002</v>
      </c>
      <c r="BR124" s="727">
        <v>0.27700000000000002</v>
      </c>
      <c r="BS124" s="735">
        <f t="shared" si="12"/>
        <v>0.99638989169675085</v>
      </c>
      <c r="BU124" s="736"/>
      <c r="BX124" s="666" t="str">
        <f t="shared" si="10"/>
        <v>Nov</v>
      </c>
      <c r="BY124" s="728">
        <f>IF(CB124=$CB129,SUMIF($BI117:$BI128,$BX124,$BR117:$BR128),SUMIF($BI117:$BI128,$BX124,$BM117:$BM128))</f>
        <v>0</v>
      </c>
      <c r="BZ124" s="736" t="e">
        <f>IF(IF(CB124=CB129,SUMIF(BI117:BI128,$BX124,BU117:BU128),SUMIF(BI117:BI128,$BX124,BP117:BP128))=0,NA(),IF(CB124=CB129,SUMIF(BI117:BI128,$BX124,BU117:BU128),SUMIF(BI117:BI128,$BX124,BP117:BP128)))</f>
        <v>#N/A</v>
      </c>
      <c r="CA124" s="739" t="e">
        <f>IF(IF(CB124=CB129,SUMIF(BI117:BI128,$BX124,BS117:BS128),SUMIF(BI117:BI128,$BX124,BN117:BN128))=0,NA(),IF(CB124=CB129,SUMIF(BI117:BI128,$BX124,BS117:BS128),SUMIF(BI117:BI128,$BX124,BN117:BN128)))</f>
        <v>#N/A</v>
      </c>
      <c r="CB124" s="730">
        <v>19</v>
      </c>
      <c r="CC124" s="730">
        <f t="shared" si="11"/>
        <v>11</v>
      </c>
    </row>
    <row r="125" spans="2:81" ht="14.65" hidden="1" customHeight="1">
      <c r="BI125" s="722" t="s">
        <v>327</v>
      </c>
      <c r="BJ125" s="722">
        <v>7</v>
      </c>
      <c r="BK125" s="722" t="s">
        <v>328</v>
      </c>
      <c r="BL125" s="743"/>
      <c r="BM125" s="725"/>
      <c r="BN125" s="735"/>
      <c r="BO125" s="139">
        <f>IF(SUM(BM125:BM127=0),0,SUM(BL125:BL127)/SUM(BM125:BM127))</f>
        <v>0</v>
      </c>
      <c r="BP125" s="736"/>
      <c r="BQ125" s="758">
        <v>0.34899999999999998</v>
      </c>
      <c r="BR125" s="727">
        <v>0.36799999999999999</v>
      </c>
      <c r="BS125" s="735">
        <f t="shared" si="12"/>
        <v>0.94836956521739124</v>
      </c>
      <c r="BT125" s="139">
        <f>IF(SUM(BR125:BR127=0),0,SUM(BQ125:BQ127)/SUM(BR125:BR127))</f>
        <v>0.95307443365695788</v>
      </c>
      <c r="BU125" s="736"/>
    </row>
    <row r="126" spans="2:81" ht="14.65" hidden="1" customHeight="1">
      <c r="BI126" s="722" t="s">
        <v>329</v>
      </c>
      <c r="BJ126" s="722">
        <v>8</v>
      </c>
      <c r="BK126" s="722" t="s">
        <v>328</v>
      </c>
      <c r="BL126" s="743"/>
      <c r="BM126" s="725"/>
      <c r="BN126" s="735"/>
      <c r="BP126" s="736"/>
      <c r="BQ126" s="758">
        <v>0.24</v>
      </c>
      <c r="BR126" s="727">
        <v>0.25</v>
      </c>
      <c r="BS126" s="735">
        <f t="shared" si="12"/>
        <v>0.96</v>
      </c>
      <c r="BU126" s="736"/>
    </row>
    <row r="127" spans="2:81" ht="14.65" hidden="1" customHeight="1"/>
  </sheetData>
  <mergeCells count="178">
    <mergeCell ref="BI1:BU1"/>
    <mergeCell ref="B2:BE2"/>
    <mergeCell ref="B3:BE3"/>
    <mergeCell ref="H4:J4"/>
    <mergeCell ref="B5:AR5"/>
    <mergeCell ref="B8:AB11"/>
    <mergeCell ref="AE8:BE11"/>
    <mergeCell ref="AP15:AQ15"/>
    <mergeCell ref="AS15:AX15"/>
    <mergeCell ref="AZ15:BE15"/>
    <mergeCell ref="I16:L16"/>
    <mergeCell ref="N16:Q16"/>
    <mergeCell ref="S16:V16"/>
    <mergeCell ref="V14:W14"/>
    <mergeCell ref="B15:G15"/>
    <mergeCell ref="I15:V15"/>
    <mergeCell ref="X15:AB15"/>
    <mergeCell ref="AE15:AJ15"/>
    <mergeCell ref="AL15:AO15"/>
    <mergeCell ref="AN19:AQ19"/>
    <mergeCell ref="AU19:AX19"/>
    <mergeCell ref="BB19:BE19"/>
    <mergeCell ref="BJ21:BU21"/>
    <mergeCell ref="AN22:AQ22"/>
    <mergeCell ref="AU22:AX22"/>
    <mergeCell ref="BB22:BE22"/>
    <mergeCell ref="BJ22:BU22"/>
    <mergeCell ref="AN17:AQ17"/>
    <mergeCell ref="AU17:AX17"/>
    <mergeCell ref="BB17:BE17"/>
    <mergeCell ref="AN18:AQ18"/>
    <mergeCell ref="AU18:AX18"/>
    <mergeCell ref="BB18:BE18"/>
    <mergeCell ref="AN23:AQ23"/>
    <mergeCell ref="AU23:AX23"/>
    <mergeCell ref="BB23:BE23"/>
    <mergeCell ref="BJ23:BU23"/>
    <mergeCell ref="AN24:AQ24"/>
    <mergeCell ref="AU24:AX24"/>
    <mergeCell ref="BB24:BE24"/>
    <mergeCell ref="BL24:BP24"/>
    <mergeCell ref="BQ24:BU24"/>
    <mergeCell ref="BW24:CC24"/>
    <mergeCell ref="B29:AB32"/>
    <mergeCell ref="AE29:BE32"/>
    <mergeCell ref="B35:J37"/>
    <mergeCell ref="K35:P35"/>
    <mergeCell ref="Q35:S37"/>
    <mergeCell ref="T35:AB35"/>
    <mergeCell ref="AC35:BE37"/>
    <mergeCell ref="K36:M37"/>
    <mergeCell ref="N36:P37"/>
    <mergeCell ref="T36:V37"/>
    <mergeCell ref="W36:Y37"/>
    <mergeCell ref="Z36:AB37"/>
    <mergeCell ref="B38:J38"/>
    <mergeCell ref="K38:M38"/>
    <mergeCell ref="N38:P38"/>
    <mergeCell ref="Q38:S38"/>
    <mergeCell ref="T38:V38"/>
    <mergeCell ref="W38:Y38"/>
    <mergeCell ref="Z38:AB38"/>
    <mergeCell ref="AC38:BE38"/>
    <mergeCell ref="B39:J39"/>
    <mergeCell ref="K39:M39"/>
    <mergeCell ref="N39:P39"/>
    <mergeCell ref="Q39:S39"/>
    <mergeCell ref="T39:V39"/>
    <mergeCell ref="W39:Y39"/>
    <mergeCell ref="Z39:AB39"/>
    <mergeCell ref="AC39:BE39"/>
    <mergeCell ref="BL62:BP62"/>
    <mergeCell ref="BQ62:BU62"/>
    <mergeCell ref="BW62:CC62"/>
    <mergeCell ref="B66:AB69"/>
    <mergeCell ref="AE66:BE69"/>
    <mergeCell ref="B89:AB92"/>
    <mergeCell ref="Z40:AB40"/>
    <mergeCell ref="AC40:BE40"/>
    <mergeCell ref="BJ40:BU40"/>
    <mergeCell ref="BL43:BP43"/>
    <mergeCell ref="BQ43:BU43"/>
    <mergeCell ref="BW43:CC43"/>
    <mergeCell ref="B40:J40"/>
    <mergeCell ref="K40:M40"/>
    <mergeCell ref="N40:P40"/>
    <mergeCell ref="Q40:S40"/>
    <mergeCell ref="T40:V40"/>
    <mergeCell ref="W40:Y40"/>
    <mergeCell ref="BA95:BE95"/>
    <mergeCell ref="B96:L96"/>
    <mergeCell ref="M96:V96"/>
    <mergeCell ref="W96:AF96"/>
    <mergeCell ref="AG96:AP96"/>
    <mergeCell ref="AQ96:AU96"/>
    <mergeCell ref="AV96:AZ96"/>
    <mergeCell ref="BA96:BE96"/>
    <mergeCell ref="B95:L95"/>
    <mergeCell ref="M95:V95"/>
    <mergeCell ref="W95:AF95"/>
    <mergeCell ref="AG95:AP95"/>
    <mergeCell ref="AQ95:AU95"/>
    <mergeCell ref="AV95:AZ95"/>
    <mergeCell ref="BA97:BE97"/>
    <mergeCell ref="B98:L98"/>
    <mergeCell ref="M98:V98"/>
    <mergeCell ref="W98:AF98"/>
    <mergeCell ref="AG98:AP98"/>
    <mergeCell ref="AQ98:AU98"/>
    <mergeCell ref="AV98:AZ98"/>
    <mergeCell ref="BA98:BE98"/>
    <mergeCell ref="B97:L97"/>
    <mergeCell ref="M97:V97"/>
    <mergeCell ref="W97:AF97"/>
    <mergeCell ref="AG97:AP97"/>
    <mergeCell ref="AQ97:AU97"/>
    <mergeCell ref="AV97:AZ97"/>
    <mergeCell ref="BB99:BE99"/>
    <mergeCell ref="B100:L100"/>
    <mergeCell ref="M100:V100"/>
    <mergeCell ref="W100:AF100"/>
    <mergeCell ref="AG100:AP100"/>
    <mergeCell ref="AQ100:AU100"/>
    <mergeCell ref="AV100:AZ100"/>
    <mergeCell ref="BA100:BE100"/>
    <mergeCell ref="B99:I99"/>
    <mergeCell ref="J99:W99"/>
    <mergeCell ref="X99:AI99"/>
    <mergeCell ref="AJ99:AS99"/>
    <mergeCell ref="AT99:AW99"/>
    <mergeCell ref="AX99:BA99"/>
    <mergeCell ref="BA101:BE101"/>
    <mergeCell ref="B102:L102"/>
    <mergeCell ref="M102:V102"/>
    <mergeCell ref="W102:AF102"/>
    <mergeCell ref="AG102:AP102"/>
    <mergeCell ref="AQ102:AU102"/>
    <mergeCell ref="AV102:AZ102"/>
    <mergeCell ref="BA102:BE102"/>
    <mergeCell ref="B101:L101"/>
    <mergeCell ref="M101:V101"/>
    <mergeCell ref="W101:AF101"/>
    <mergeCell ref="AG101:AP101"/>
    <mergeCell ref="AQ101:AU101"/>
    <mergeCell ref="AV101:AZ101"/>
    <mergeCell ref="M106:V106"/>
    <mergeCell ref="W106:AA106"/>
    <mergeCell ref="AB106:AF106"/>
    <mergeCell ref="AG106:BE106"/>
    <mergeCell ref="B103:L103"/>
    <mergeCell ref="M103:V103"/>
    <mergeCell ref="W103:AF103"/>
    <mergeCell ref="AG103:AP103"/>
    <mergeCell ref="AQ103:AU103"/>
    <mergeCell ref="AV103:AZ103"/>
    <mergeCell ref="BA103:BE103"/>
    <mergeCell ref="B106:L106"/>
    <mergeCell ref="BJ114:BU114"/>
    <mergeCell ref="BJ115:BU115"/>
    <mergeCell ref="BW115:CC115"/>
    <mergeCell ref="BJ116:BU116"/>
    <mergeCell ref="BL117:BP117"/>
    <mergeCell ref="BQ117:BU117"/>
    <mergeCell ref="B109:L109"/>
    <mergeCell ref="M109:V109"/>
    <mergeCell ref="W109:AA109"/>
    <mergeCell ref="AB109:AF109"/>
    <mergeCell ref="AG109:BE109"/>
    <mergeCell ref="B107:L107"/>
    <mergeCell ref="M107:V107"/>
    <mergeCell ref="W107:AA107"/>
    <mergeCell ref="AB107:AF107"/>
    <mergeCell ref="AG107:BE107"/>
    <mergeCell ref="B108:L108"/>
    <mergeCell ref="M108:V108"/>
    <mergeCell ref="W108:AA108"/>
    <mergeCell ref="AB108:AF108"/>
    <mergeCell ref="AG108:BE108"/>
  </mergeCells>
  <conditionalFormatting sqref="T38">
    <cfRule type="cellIs" dxfId="260" priority="172" operator="greaterThanOrEqual">
      <formula>$Q38</formula>
    </cfRule>
    <cfRule type="cellIs" dxfId="259" priority="173" operator="lessThan">
      <formula>$Q38*0.9</formula>
    </cfRule>
    <cfRule type="cellIs" dxfId="258" priority="174" operator="lessThan">
      <formula>$Q38</formula>
    </cfRule>
  </conditionalFormatting>
  <conditionalFormatting sqref="W38">
    <cfRule type="cellIs" dxfId="257" priority="169" operator="greaterThanOrEqual">
      <formula>$Q38</formula>
    </cfRule>
    <cfRule type="cellIs" dxfId="256" priority="170" operator="lessThan">
      <formula>$Q38*0.9</formula>
    </cfRule>
    <cfRule type="cellIs" dxfId="255" priority="171" operator="lessThan">
      <formula>$Q38</formula>
    </cfRule>
  </conditionalFormatting>
  <conditionalFormatting sqref="Z38">
    <cfRule type="cellIs" dxfId="254" priority="166" operator="greaterThanOrEqual">
      <formula>$Q38</formula>
    </cfRule>
    <cfRule type="cellIs" dxfId="253" priority="167" operator="lessThan">
      <formula>$Q38*0.9</formula>
    </cfRule>
    <cfRule type="cellIs" dxfId="252" priority="168" operator="lessThan">
      <formula>$Q38</formula>
    </cfRule>
  </conditionalFormatting>
  <conditionalFormatting sqref="T39">
    <cfRule type="cellIs" dxfId="251" priority="160" operator="greaterThanOrEqual">
      <formula>$Q39</formula>
    </cfRule>
    <cfRule type="cellIs" dxfId="250" priority="161" operator="lessThan">
      <formula>$Q39*0.9</formula>
    </cfRule>
    <cfRule type="cellIs" dxfId="249" priority="162" operator="lessThan">
      <formula>$Q39</formula>
    </cfRule>
  </conditionalFormatting>
  <conditionalFormatting sqref="W39">
    <cfRule type="cellIs" dxfId="248" priority="157" operator="greaterThanOrEqual">
      <formula>$Q39</formula>
    </cfRule>
    <cfRule type="cellIs" dxfId="247" priority="158" operator="lessThan">
      <formula>$Q39*0.9</formula>
    </cfRule>
    <cfRule type="cellIs" dxfId="246" priority="159" operator="lessThan">
      <formula>$Q39</formula>
    </cfRule>
  </conditionalFormatting>
  <conditionalFormatting sqref="Z39">
    <cfRule type="cellIs" dxfId="245" priority="154" operator="greaterThanOrEqual">
      <formula>$Q39</formula>
    </cfRule>
    <cfRule type="cellIs" dxfId="244" priority="155" operator="lessThan">
      <formula>$Q39*0.9</formula>
    </cfRule>
    <cfRule type="cellIs" dxfId="243" priority="156" operator="lessThan">
      <formula>$Q39</formula>
    </cfRule>
  </conditionalFormatting>
  <conditionalFormatting sqref="T40">
    <cfRule type="cellIs" dxfId="242" priority="143" stopIfTrue="1" operator="greaterThan">
      <formula>$Q40*1.1</formula>
    </cfRule>
    <cfRule type="cellIs" dxfId="241" priority="144" operator="greaterThan">
      <formula>$Q40</formula>
    </cfRule>
    <cfRule type="cellIs" dxfId="240" priority="145" operator="lessThan">
      <formula>$Q40</formula>
    </cfRule>
  </conditionalFormatting>
  <conditionalFormatting sqref="W40">
    <cfRule type="cellIs" dxfId="239" priority="140" stopIfTrue="1" operator="greaterThan">
      <formula>$Q40*1.1</formula>
    </cfRule>
    <cfRule type="cellIs" dxfId="238" priority="141" operator="greaterThan">
      <formula>$Q40</formula>
    </cfRule>
    <cfRule type="cellIs" dxfId="237" priority="142" operator="lessThan">
      <formula>$Q40</formula>
    </cfRule>
  </conditionalFormatting>
  <conditionalFormatting sqref="Z40">
    <cfRule type="cellIs" dxfId="236" priority="137" stopIfTrue="1" operator="greaterThan">
      <formula>$Q40*1.1</formula>
    </cfRule>
    <cfRule type="cellIs" dxfId="235" priority="138" operator="greaterThan">
      <formula>$Q40</formula>
    </cfRule>
    <cfRule type="cellIs" dxfId="234" priority="139" operator="lessThan">
      <formula>$Q40</formula>
    </cfRule>
  </conditionalFormatting>
  <conditionalFormatting sqref="A15:A19 AC15:AD15 A26:A29 F28 BF17:BH29 AC17:AD19 BF15:BH15 U24:AB24 A7:A11 BF8:BH11 A12:BH14 AC16:AG16 AI16:BH16 AJ17 AI22 F24 H20:H24 J24:L24 AC20:AH20 AC7:BH7 H28:AD28">
    <cfRule type="cellIs" dxfId="233" priority="136" operator="equal">
      <formula>"XXX"</formula>
    </cfRule>
  </conditionalFormatting>
  <conditionalFormatting sqref="AE28:AG28 AI28:BE28 AY22:BA24 AR22:AT24 AK22:AM24">
    <cfRule type="cellIs" dxfId="232" priority="135" operator="equal">
      <formula>"XXX"</formula>
    </cfRule>
  </conditionalFormatting>
  <conditionalFormatting sqref="AI65:BE65 AE65:AG65">
    <cfRule type="cellIs" dxfId="231" priority="129" operator="equal">
      <formula>"XXX"</formula>
    </cfRule>
  </conditionalFormatting>
  <conditionalFormatting sqref="AJ22">
    <cfRule type="cellIs" dxfId="230" priority="133" operator="equal">
      <formula>"XXX"</formula>
    </cfRule>
  </conditionalFormatting>
  <conditionalFormatting sqref="BB17:BE18 BB22:BE22 BB23">
    <cfRule type="cellIs" dxfId="229" priority="132" operator="lessThan">
      <formula>0</formula>
    </cfRule>
  </conditionalFormatting>
  <conditionalFormatting sqref="A62:A66 AD65">
    <cfRule type="cellIs" dxfId="228" priority="131" operator="equal">
      <formula>"XXX"</formula>
    </cfRule>
  </conditionalFormatting>
  <conditionalFormatting sqref="F65:AB65 B65:D65">
    <cfRule type="cellIs" dxfId="227" priority="130" operator="equal">
      <formula>"XXX"</formula>
    </cfRule>
  </conditionalFormatting>
  <conditionalFormatting sqref="F88:AB88 B88:D88">
    <cfRule type="cellIs" dxfId="226" priority="128" operator="equal">
      <formula>"XXX"</formula>
    </cfRule>
  </conditionalFormatting>
  <conditionalFormatting sqref="B41:H42 AB41:AC43">
    <cfRule type="cellIs" dxfId="225" priority="108" operator="equal">
      <formula>"XXX"</formula>
    </cfRule>
  </conditionalFormatting>
  <conditionalFormatting sqref="AU17:AX18 AU22:AX23">
    <cfRule type="cellIs" dxfId="224" priority="109" operator="lessThan">
      <formula>0</formula>
    </cfRule>
  </conditionalFormatting>
  <conditionalFormatting sqref="AC41:BE42">
    <cfRule type="cellIs" dxfId="223" priority="107" operator="equal">
      <formula>"XXX"</formula>
    </cfRule>
  </conditionalFormatting>
  <conditionalFormatting sqref="B43:H43">
    <cfRule type="cellIs" dxfId="222" priority="106" operator="equal">
      <formula>"XXX"</formula>
    </cfRule>
  </conditionalFormatting>
  <conditionalFormatting sqref="AC43:BE43">
    <cfRule type="cellIs" dxfId="221" priority="105" operator="equal">
      <formula>"XXX"</formula>
    </cfRule>
  </conditionalFormatting>
  <conditionalFormatting sqref="AB43">
    <cfRule type="cellIs" dxfId="220" priority="104" operator="equal">
      <formula>"XXX"</formula>
    </cfRule>
  </conditionalFormatting>
  <conditionalFormatting sqref="BW64:BX76">
    <cfRule type="cellIs" dxfId="219" priority="93" operator="equal">
      <formula>"XXX"</formula>
    </cfRule>
  </conditionalFormatting>
  <conditionalFormatting sqref="AE88:BE93">
    <cfRule type="cellIs" dxfId="218" priority="103" operator="equal">
      <formula>"XXX"</formula>
    </cfRule>
  </conditionalFormatting>
  <conditionalFormatting sqref="I41:AA43">
    <cfRule type="cellIs" dxfId="217" priority="102" operator="equal">
      <formula>"XXX"</formula>
    </cfRule>
  </conditionalFormatting>
  <conditionalFormatting sqref="BH38:BH41">
    <cfRule type="cellIs" dxfId="216" priority="101" operator="equal">
      <formula>"XXX"</formula>
    </cfRule>
  </conditionalFormatting>
  <conditionalFormatting sqref="BH35">
    <cfRule type="cellIs" dxfId="215" priority="100" operator="equal">
      <formula>"XXX"</formula>
    </cfRule>
  </conditionalFormatting>
  <conditionalFormatting sqref="BH36">
    <cfRule type="cellIs" dxfId="214" priority="99" operator="equal">
      <formula>"XXX"</formula>
    </cfRule>
  </conditionalFormatting>
  <conditionalFormatting sqref="BH37">
    <cfRule type="cellIs" dxfId="213" priority="98" operator="equal">
      <formula>"XXX"</formula>
    </cfRule>
  </conditionalFormatting>
  <conditionalFormatting sqref="BW1:BX3 BY1:CC23 BW17:BX23 BX15:BX16">
    <cfRule type="cellIs" dxfId="212" priority="97" operator="equal">
      <formula>"XXX"</formula>
    </cfRule>
  </conditionalFormatting>
  <conditionalFormatting sqref="BW40:BX42 BW59:BW61 BY39:CC42 BX58:CC61">
    <cfRule type="cellIs" dxfId="211" priority="96" operator="equal">
      <formula>"XXX"</formula>
    </cfRule>
  </conditionalFormatting>
  <conditionalFormatting sqref="BW26:BX38">
    <cfRule type="cellIs" dxfId="210" priority="95" operator="equal">
      <formula>"XXX"</formula>
    </cfRule>
  </conditionalFormatting>
  <conditionalFormatting sqref="BW45:BX57">
    <cfRule type="cellIs" dxfId="209" priority="94" operator="equal">
      <formula>"XXX"</formula>
    </cfRule>
  </conditionalFormatting>
  <conditionalFormatting sqref="I24">
    <cfRule type="cellIs" dxfId="208" priority="92" operator="equal">
      <formula>"XXX"</formula>
    </cfRule>
  </conditionalFormatting>
  <conditionalFormatting sqref="I24">
    <cfRule type="cellIs" dxfId="207" priority="91" operator="equal">
      <formula>$A$1</formula>
    </cfRule>
  </conditionalFormatting>
  <conditionalFormatting sqref="AD66:AD69">
    <cfRule type="cellIs" dxfId="206" priority="82" operator="equal">
      <formula>"XXX"</formula>
    </cfRule>
  </conditionalFormatting>
  <conditionalFormatting sqref="AC38:BE38">
    <cfRule type="cellIs" dxfId="205" priority="75" operator="equal">
      <formula>"XXX"</formula>
    </cfRule>
  </conditionalFormatting>
  <conditionalFormatting sqref="AC40:BE40">
    <cfRule type="cellIs" dxfId="204" priority="73" operator="equal">
      <formula>"XXX"</formula>
    </cfRule>
  </conditionalFormatting>
  <conditionalFormatting sqref="AC39:BE39">
    <cfRule type="cellIs" dxfId="203" priority="74" operator="equal">
      <formula>"XXX"</formula>
    </cfRule>
  </conditionalFormatting>
  <conditionalFormatting sqref="B7:AB7">
    <cfRule type="cellIs" dxfId="202" priority="79" operator="equal">
      <formula>"XXX"</formula>
    </cfRule>
  </conditionalFormatting>
  <conditionalFormatting sqref="B104:BE105 BA103:BE103">
    <cfRule type="cellIs" dxfId="201" priority="69" operator="equal">
      <formula>"XXX"</formula>
    </cfRule>
  </conditionalFormatting>
  <conditionalFormatting sqref="B95:BE95 B97:BE100">
    <cfRule type="cellIs" dxfId="200" priority="68" operator="equal">
      <formula>"XXX"</formula>
    </cfRule>
  </conditionalFormatting>
  <conditionalFormatting sqref="B101:L101">
    <cfRule type="cellIs" dxfId="199" priority="64" operator="equal">
      <formula>"XXX"</formula>
    </cfRule>
  </conditionalFormatting>
  <conditionalFormatting sqref="B106:L107">
    <cfRule type="cellIs" dxfId="198" priority="62" operator="equal">
      <formula>"XXX"</formula>
    </cfRule>
  </conditionalFormatting>
  <conditionalFormatting sqref="B108:L108">
    <cfRule type="cellIs" dxfId="197" priority="63" operator="equal">
      <formula>"XXX"</formula>
    </cfRule>
  </conditionalFormatting>
  <conditionalFormatting sqref="M96:AF96 AQ96:AZ96">
    <cfRule type="cellIs" dxfId="196" priority="61" operator="equal">
      <formula>"XXX"</formula>
    </cfRule>
  </conditionalFormatting>
  <conditionalFormatting sqref="B66">
    <cfRule type="cellIs" dxfId="195" priority="72" operator="equal">
      <formula>"XXX"</formula>
    </cfRule>
  </conditionalFormatting>
  <conditionalFormatting sqref="AE66">
    <cfRule type="cellIs" dxfId="194" priority="71" operator="equal">
      <formula>"XXX"</formula>
    </cfRule>
  </conditionalFormatting>
  <conditionalFormatting sqref="B89">
    <cfRule type="cellIs" dxfId="193" priority="70" operator="equal">
      <formula>"XXX"</formula>
    </cfRule>
  </conditionalFormatting>
  <conditionalFormatting sqref="B96:L96">
    <cfRule type="cellIs" dxfId="192" priority="66" operator="equal">
      <formula>"XXX"</formula>
    </cfRule>
  </conditionalFormatting>
  <conditionalFormatting sqref="B102:L102">
    <cfRule type="cellIs" dxfId="191" priority="65" operator="equal">
      <formula>"XXX"</formula>
    </cfRule>
  </conditionalFormatting>
  <conditionalFormatting sqref="AG106:BE107">
    <cfRule type="cellIs" dxfId="190" priority="46" operator="equal">
      <formula>"XXX"</formula>
    </cfRule>
  </conditionalFormatting>
  <conditionalFormatting sqref="B103:AZ103">
    <cfRule type="cellIs" dxfId="189" priority="67" operator="equal">
      <formula>"XXX"</formula>
    </cfRule>
  </conditionalFormatting>
  <conditionalFormatting sqref="BA96:BE96">
    <cfRule type="cellIs" dxfId="188" priority="57" operator="equal">
      <formula>"XXX"</formula>
    </cfRule>
  </conditionalFormatting>
  <conditionalFormatting sqref="BA96">
    <cfRule type="cellIs" dxfId="187" priority="58" operator="equal">
      <formula>"Paused"</formula>
    </cfRule>
    <cfRule type="cellIs" dxfId="186" priority="59" operator="equal">
      <formula>"Open Issue"</formula>
    </cfRule>
    <cfRule type="cellIs" dxfId="185" priority="60" operator="equal">
      <formula>"On Track"</formula>
    </cfRule>
  </conditionalFormatting>
  <conditionalFormatting sqref="AG96:AP96">
    <cfRule type="cellIs" dxfId="184" priority="56" operator="equal">
      <formula>"XXX"</formula>
    </cfRule>
  </conditionalFormatting>
  <conditionalFormatting sqref="BA101:BE102">
    <cfRule type="cellIs" dxfId="183" priority="52" operator="equal">
      <formula>"XXX"</formula>
    </cfRule>
  </conditionalFormatting>
  <conditionalFormatting sqref="BA101:BA102">
    <cfRule type="cellIs" dxfId="182" priority="53" operator="equal">
      <formula>"Paused"</formula>
    </cfRule>
    <cfRule type="cellIs" dxfId="181" priority="54" operator="equal">
      <formula>"Open Issue"</formula>
    </cfRule>
    <cfRule type="cellIs" dxfId="180" priority="55" operator="equal">
      <formula>"On Track"</formula>
    </cfRule>
  </conditionalFormatting>
  <conditionalFormatting sqref="M101:AZ101">
    <cfRule type="cellIs" dxfId="179" priority="50" operator="equal">
      <formula>"XXX"</formula>
    </cfRule>
  </conditionalFormatting>
  <conditionalFormatting sqref="M102:AZ102">
    <cfRule type="cellIs" dxfId="178" priority="51" operator="equal">
      <formula>"XXX"</formula>
    </cfRule>
  </conditionalFormatting>
  <conditionalFormatting sqref="M108:AF108">
    <cfRule type="cellIs" dxfId="177" priority="49" operator="equal">
      <formula>"XXX"</formula>
    </cfRule>
  </conditionalFormatting>
  <conditionalFormatting sqref="M106:AF107">
    <cfRule type="cellIs" dxfId="176" priority="48" operator="equal">
      <formula>"XXX"</formula>
    </cfRule>
  </conditionalFormatting>
  <conditionalFormatting sqref="AG108:BE108">
    <cfRule type="cellIs" dxfId="175" priority="47" operator="equal">
      <formula>"XXX"</formula>
    </cfRule>
  </conditionalFormatting>
  <conditionalFormatting sqref="K35:AB35 Q36:AB37">
    <cfRule type="cellIs" dxfId="174" priority="45" operator="equal">
      <formula>"XXX"</formula>
    </cfRule>
  </conditionalFormatting>
  <conditionalFormatting sqref="K36:P37">
    <cfRule type="cellIs" dxfId="173" priority="44" operator="equal">
      <formula>"XXX"</formula>
    </cfRule>
  </conditionalFormatting>
  <conditionalFormatting sqref="BJ16">
    <cfRule type="expression" dxfId="172" priority="43">
      <formula>(AND(BJ$5=$BX$5,LEN(BJ$16)=0))</formula>
    </cfRule>
  </conditionalFormatting>
  <conditionalFormatting sqref="BJ16:BV16">
    <cfRule type="expression" dxfId="171" priority="42">
      <formula>(AND(BJ$5=$BX$5,LEN(BJ$16)=0))</formula>
    </cfRule>
  </conditionalFormatting>
  <conditionalFormatting sqref="Z16:Z21">
    <cfRule type="cellIs" dxfId="170" priority="41" operator="equal">
      <formula>"XXX"</formula>
    </cfRule>
  </conditionalFormatting>
  <conditionalFormatting sqref="Y16:Y18 Y21">
    <cfRule type="cellIs" dxfId="169" priority="40" operator="equal">
      <formula>"XXX"</formula>
    </cfRule>
  </conditionalFormatting>
  <conditionalFormatting sqref="Y19:Y20">
    <cfRule type="cellIs" dxfId="168" priority="39" operator="equal">
      <formula>"XXX"</formula>
    </cfRule>
  </conditionalFormatting>
  <conditionalFormatting sqref="Y22:Y23">
    <cfRule type="cellIs" dxfId="167" priority="38" operator="equal">
      <formula>"XXX"</formula>
    </cfRule>
  </conditionalFormatting>
  <conditionalFormatting sqref="F22">
    <cfRule type="cellIs" dxfId="166" priority="31" operator="equal">
      <formula>"XXX"</formula>
    </cfRule>
  </conditionalFormatting>
  <conditionalFormatting sqref="G22:G23">
    <cfRule type="cellIs" dxfId="165" priority="30" operator="equal">
      <formula>"XXX"</formula>
    </cfRule>
  </conditionalFormatting>
  <conditionalFormatting sqref="G22:G23">
    <cfRule type="cellIs" dxfId="164" priority="29" operator="notEqual">
      <formula>0</formula>
    </cfRule>
  </conditionalFormatting>
  <conditionalFormatting sqref="G25">
    <cfRule type="cellIs" dxfId="163" priority="28" operator="equal">
      <formula>"XXX"</formula>
    </cfRule>
  </conditionalFormatting>
  <conditionalFormatting sqref="G25">
    <cfRule type="cellIs" dxfId="162" priority="27" operator="notEqual">
      <formula>0</formula>
    </cfRule>
  </conditionalFormatting>
  <conditionalFormatting sqref="G26">
    <cfRule type="cellIs" dxfId="161" priority="26" operator="equal">
      <formula>"XXX"</formula>
    </cfRule>
  </conditionalFormatting>
  <conditionalFormatting sqref="G26">
    <cfRule type="expression" dxfId="160" priority="24">
      <formula>$G$25=0</formula>
    </cfRule>
    <cfRule type="cellIs" dxfId="159" priority="25" operator="notEqual">
      <formula>0</formula>
    </cfRule>
  </conditionalFormatting>
  <conditionalFormatting sqref="I26">
    <cfRule type="cellIs" dxfId="158" priority="23" operator="equal">
      <formula>"XXX"</formula>
    </cfRule>
  </conditionalFormatting>
  <conditionalFormatting sqref="I26">
    <cfRule type="cellIs" dxfId="157" priority="22" operator="equal">
      <formula>$A$1</formula>
    </cfRule>
  </conditionalFormatting>
  <conditionalFormatting sqref="I25">
    <cfRule type="cellIs" dxfId="156" priority="21" operator="equal">
      <formula>$A$1</formula>
    </cfRule>
  </conditionalFormatting>
  <conditionalFormatting sqref="I27">
    <cfRule type="cellIs" dxfId="155" priority="20" operator="equal">
      <formula>"XXX"</formula>
    </cfRule>
  </conditionalFormatting>
  <conditionalFormatting sqref="I27">
    <cfRule type="cellIs" dxfId="154" priority="19" operator="equal">
      <formula>$A$1</formula>
    </cfRule>
  </conditionalFormatting>
  <conditionalFormatting sqref="BW117:BX124">
    <cfRule type="cellIs" dxfId="153" priority="15" operator="equal">
      <formula>"XXX"</formula>
    </cfRule>
  </conditionalFormatting>
  <conditionalFormatting sqref="AC8:AD11">
    <cfRule type="cellIs" dxfId="152" priority="8" operator="equal">
      <formula>"XXX"</formula>
    </cfRule>
  </conditionalFormatting>
  <conditionalFormatting sqref="AE8">
    <cfRule type="cellIs" dxfId="151" priority="7" operator="equal">
      <formula>"XXX"</formula>
    </cfRule>
  </conditionalFormatting>
  <conditionalFormatting sqref="AC29:AD32">
    <cfRule type="cellIs" dxfId="150" priority="5" operator="equal">
      <formula>"XXX"</formula>
    </cfRule>
  </conditionalFormatting>
  <conditionalFormatting sqref="AE29">
    <cfRule type="cellIs" dxfId="149" priority="4" operator="equal">
      <formula>"XXX"</formula>
    </cfRule>
  </conditionalFormatting>
  <conditionalFormatting sqref="B8">
    <cfRule type="cellIs" dxfId="148" priority="2" operator="equal">
      <formula>"XXX"</formula>
    </cfRule>
  </conditionalFormatting>
  <conditionalFormatting sqref="B29">
    <cfRule type="cellIs" dxfId="147" priority="1" operator="equal">
      <formula>"XXX"</formula>
    </cfRule>
  </conditionalFormatting>
  <dataValidations count="5">
    <dataValidation type="whole" operator="lessThan" allowBlank="1" showInputMessage="1" showErrorMessage="1" errorTitle="Negative Value" error="This value must be entered as a negative number." sqref="BJ7:BV7 BJ9:BV9 BJ11:BV11" xr:uid="{00000000-0002-0000-2200-000000000000}">
      <formula1>0</formula1>
    </dataValidation>
    <dataValidation type="whole" operator="greaterThanOrEqual" allowBlank="1" showInputMessage="1" showErrorMessage="1" errorTitle="Positive Value" error="This value must be entered as a positive number." sqref="BJ10:BV10 BJ12:BV14 BJ8:BV8 BJ6:BV6" xr:uid="{00000000-0002-0000-2200-000001000000}">
      <formula1>0</formula1>
    </dataValidation>
    <dataValidation type="list" allowBlank="1" showInputMessage="1" showErrorMessage="1" sqref="BA96:BE96 BA101:BE102" xr:uid="{00000000-0002-0000-2200-000002000000}">
      <formula1>"Not Started, On Track, Open Issue, Paused, Completed"</formula1>
    </dataValidation>
    <dataValidation type="list" allowBlank="1" showInputMessage="1" showErrorMessage="1" sqref="AV96:AZ98 AV101:AZ103" xr:uid="{00000000-0002-0000-2200-000003000000}">
      <formula1>"Grow the Top Line, Capture Cost &amp; Productivity, Lead Our People, Deliver Financial Commitments"</formula1>
    </dataValidation>
    <dataValidation type="list" allowBlank="1" showInputMessage="1" showErrorMessage="1" sqref="BA97:BE98" xr:uid="{00000000-0002-0000-2200-000004000000}">
      <formula1>"PMBOK Initiate, PMBOK Plan, PMBOK Execute, PMBOK Monitor/ Control, PMBOK Close, DMAIC Define, DMAIC Measure, DMAIC Analyze, DMAIC Improve, DMAIC Control, Placeholder, Paused"</formula1>
    </dataValidation>
  </dataValidations>
  <printOptions horizontalCentered="1"/>
  <pageMargins left="0.25" right="0.25" top="0.25" bottom="0.5" header="0.3" footer="0.3"/>
  <pageSetup scale="66" orientation="landscape" r:id="rId1"/>
  <headerFooter>
    <oddFooter>&amp;R&amp;F | &amp;A
Printed &amp;D @ &amp;T
&amp;P</oddFooter>
  </headerFooter>
  <rowBreaks count="2" manualBreakCount="2">
    <brk id="41" max="57" man="1"/>
    <brk id="90"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134" operator="equal" id="{710E4ECE-28FC-4A5B-A9E7-4F140D6CF1E5}">
            <xm:f>AR!$A$1</xm:f>
            <x14:dxf>
              <font>
                <color theme="0"/>
              </font>
            </x14:dxf>
          </x14:cfRule>
          <xm:sqref>J24:J27</xm:sqref>
        </x14:conditionalFormatting>
      </x14:conditionalFormattings>
    </ext>
  </extLs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tabColor rgb="FF00B050"/>
  </sheetPr>
  <dimension ref="A1:CC125"/>
  <sheetViews>
    <sheetView showGridLines="0" zoomScaleNormal="100" workbookViewId="0">
      <selection activeCell="I22" sqref="I22:V23"/>
    </sheetView>
  </sheetViews>
  <sheetFormatPr defaultColWidth="3.28515625" defaultRowHeight="14.65" customHeight="1"/>
  <cols>
    <col min="1" max="6" width="3.28515625" style="37"/>
    <col min="7" max="7" width="3.5703125" style="37" bestFit="1" customWidth="1"/>
    <col min="8" max="10" width="3.28515625" style="37"/>
    <col min="11" max="11" width="3.42578125" style="37" bestFit="1" customWidth="1"/>
    <col min="12" max="12" width="3.28515625" style="37"/>
    <col min="13" max="13" width="3.42578125" style="37" bestFit="1" customWidth="1"/>
    <col min="14" max="15" width="3.28515625" style="37"/>
    <col min="16" max="16" width="3.42578125" style="37" bestFit="1" customWidth="1"/>
    <col min="17" max="20" width="3.28515625" style="37"/>
    <col min="21" max="22" width="3.42578125" style="37" bestFit="1" customWidth="1"/>
    <col min="23" max="26" width="3.28515625" style="37"/>
    <col min="27" max="27" width="3.42578125" style="37" bestFit="1" customWidth="1"/>
    <col min="28" max="59" width="3.28515625" style="37"/>
    <col min="60" max="60" width="4.7109375" style="37" bestFit="1" customWidth="1"/>
    <col min="61" max="73" width="12.7109375" customWidth="1"/>
    <col min="74" max="74" width="10.140625" customWidth="1"/>
    <col min="75" max="75" width="15.7109375" style="6" customWidth="1"/>
    <col min="76" max="76" width="8.5703125" style="6" customWidth="1"/>
    <col min="77" max="77" width="11.28515625" style="6" customWidth="1"/>
    <col min="78" max="78" width="8.28515625" style="6" customWidth="1"/>
    <col min="79" max="79" width="9.7109375" style="6" customWidth="1"/>
    <col min="80" max="80" width="4.7109375" style="6" customWidth="1"/>
    <col min="81" max="81" width="5.28515625" style="6" customWidth="1"/>
    <col min="82" max="16384" width="3.28515625" style="37"/>
  </cols>
  <sheetData>
    <row r="1" spans="2:76" ht="14.65" customHeight="1">
      <c r="BI1" s="1525" t="s">
        <v>686</v>
      </c>
      <c r="BJ1" s="1525"/>
      <c r="BK1" s="1525"/>
      <c r="BL1" s="1525"/>
      <c r="BM1" s="1525"/>
      <c r="BN1" s="1525"/>
      <c r="BO1" s="1525"/>
      <c r="BP1" s="1525"/>
      <c r="BQ1" s="1525"/>
      <c r="BR1" s="1525"/>
      <c r="BS1" s="1525"/>
      <c r="BT1" s="1525"/>
      <c r="BU1" s="1525"/>
    </row>
    <row r="2" spans="2:76" s="6" customFormat="1" ht="14.65" customHeight="1">
      <c r="B2" s="1494" t="s">
        <v>109</v>
      </c>
      <c r="C2" s="1494"/>
      <c r="D2" s="1494"/>
      <c r="E2" s="1494"/>
      <c r="F2" s="1494"/>
      <c r="G2" s="1494"/>
      <c r="H2" s="1494"/>
      <c r="I2" s="1494"/>
      <c r="J2" s="1494"/>
      <c r="K2" s="1494"/>
      <c r="L2" s="1494"/>
      <c r="M2" s="1494"/>
      <c r="N2" s="1494"/>
      <c r="O2" s="1494"/>
      <c r="P2" s="1494"/>
      <c r="Q2" s="1494"/>
      <c r="R2" s="1494"/>
      <c r="S2" s="1494"/>
      <c r="T2" s="1494"/>
      <c r="U2" s="1494"/>
      <c r="V2" s="1494"/>
      <c r="W2" s="1494"/>
      <c r="X2" s="1494"/>
      <c r="Y2" s="1494"/>
      <c r="Z2" s="1494"/>
      <c r="AA2" s="1494"/>
      <c r="AB2" s="1494"/>
      <c r="AC2" s="1494"/>
      <c r="AD2" s="1494"/>
      <c r="AE2" s="1494"/>
      <c r="AF2" s="1494"/>
      <c r="AG2" s="1494"/>
      <c r="AH2" s="1494"/>
      <c r="AI2" s="1494"/>
      <c r="AJ2" s="1494"/>
      <c r="AK2" s="1494"/>
      <c r="AL2" s="1494"/>
      <c r="AM2" s="1494"/>
      <c r="AN2" s="1494"/>
      <c r="AO2" s="1494"/>
      <c r="AP2" s="1494"/>
      <c r="AQ2" s="1494"/>
      <c r="AR2" s="1494"/>
      <c r="AS2" s="1494"/>
      <c r="AT2" s="1494"/>
      <c r="AU2" s="1494"/>
      <c r="AV2" s="1494"/>
      <c r="AW2" s="1494"/>
      <c r="AX2" s="1494"/>
      <c r="AY2" s="1494"/>
      <c r="AZ2" s="1494"/>
      <c r="BA2" s="1494"/>
      <c r="BB2" s="1494"/>
      <c r="BC2" s="1494"/>
      <c r="BD2" s="1494"/>
      <c r="BE2" s="1494"/>
      <c r="BI2" s="68" t="s">
        <v>218</v>
      </c>
      <c r="BJ2"/>
      <c r="BK2"/>
      <c r="BL2"/>
      <c r="BM2"/>
      <c r="BN2"/>
      <c r="BO2"/>
      <c r="BP2"/>
      <c r="BQ2"/>
      <c r="BR2"/>
      <c r="BS2"/>
      <c r="BT2"/>
      <c r="BU2"/>
      <c r="BV2"/>
    </row>
    <row r="3" spans="2:76" s="6" customFormat="1" ht="14.65" customHeight="1">
      <c r="B3" s="1495" t="s">
        <v>110</v>
      </c>
      <c r="C3" s="1495"/>
      <c r="D3" s="1495"/>
      <c r="E3" s="1495"/>
      <c r="F3" s="1495"/>
      <c r="G3" s="1495"/>
      <c r="H3" s="1495"/>
      <c r="I3" s="1495"/>
      <c r="J3" s="1495"/>
      <c r="K3" s="1495"/>
      <c r="L3" s="1495"/>
      <c r="M3" s="1495"/>
      <c r="N3" s="1495"/>
      <c r="O3" s="1495"/>
      <c r="P3" s="1495"/>
      <c r="Q3" s="1495"/>
      <c r="R3" s="1495"/>
      <c r="S3" s="1495"/>
      <c r="T3" s="1495"/>
      <c r="U3" s="1495"/>
      <c r="V3" s="1495"/>
      <c r="W3" s="1495"/>
      <c r="X3" s="1495"/>
      <c r="Y3" s="1495"/>
      <c r="Z3" s="1495"/>
      <c r="AA3" s="1495"/>
      <c r="AB3" s="1495"/>
      <c r="AC3" s="1495"/>
      <c r="AD3" s="1495"/>
      <c r="AE3" s="1495"/>
      <c r="AF3" s="1495"/>
      <c r="AG3" s="1495"/>
      <c r="AH3" s="1495"/>
      <c r="AI3" s="1495"/>
      <c r="AJ3" s="1495"/>
      <c r="AK3" s="1495"/>
      <c r="AL3" s="1495"/>
      <c r="AM3" s="1495"/>
      <c r="AN3" s="1495"/>
      <c r="AO3" s="1495"/>
      <c r="AP3" s="1495"/>
      <c r="AQ3" s="1495"/>
      <c r="AR3" s="1495"/>
      <c r="AS3" s="1495"/>
      <c r="AT3" s="1495"/>
      <c r="AU3" s="1495"/>
      <c r="AV3" s="1495"/>
      <c r="AW3" s="1495"/>
      <c r="AX3" s="1495"/>
      <c r="AY3" s="1495"/>
      <c r="AZ3" s="1495"/>
      <c r="BA3" s="1495"/>
      <c r="BB3" s="1495"/>
      <c r="BC3" s="1495"/>
      <c r="BD3" s="1495"/>
      <c r="BE3" s="1495"/>
      <c r="BI3" s="4" t="s">
        <v>261</v>
      </c>
      <c r="BJ3"/>
      <c r="BK3"/>
      <c r="BL3"/>
      <c r="BM3"/>
      <c r="BN3"/>
      <c r="BO3"/>
      <c r="BP3"/>
      <c r="BQ3"/>
      <c r="BR3"/>
      <c r="BS3"/>
      <c r="BT3"/>
      <c r="BU3"/>
      <c r="BV3"/>
    </row>
    <row r="4" spans="2:76" ht="14.65" customHeight="1">
      <c r="B4" s="36"/>
      <c r="C4" s="35"/>
      <c r="D4" s="34"/>
      <c r="E4" s="33"/>
      <c r="F4" s="33"/>
      <c r="G4" s="33"/>
      <c r="H4" s="1611"/>
      <c r="I4" s="1611"/>
      <c r="J4" s="1611"/>
      <c r="K4" s="32"/>
      <c r="L4" s="32"/>
      <c r="M4" s="32"/>
      <c r="N4" s="32"/>
      <c r="O4" s="32"/>
      <c r="P4" s="58"/>
      <c r="Q4" s="31"/>
      <c r="BI4" s="74" t="s">
        <v>23</v>
      </c>
      <c r="BJ4" s="74" t="s">
        <v>504</v>
      </c>
      <c r="BK4" s="74" t="s">
        <v>505</v>
      </c>
      <c r="BL4" s="74" t="s">
        <v>506</v>
      </c>
      <c r="BM4" s="74" t="s">
        <v>507</v>
      </c>
      <c r="BN4" s="74" t="s">
        <v>508</v>
      </c>
      <c r="BO4" s="74" t="s">
        <v>509</v>
      </c>
      <c r="BP4" s="74" t="s">
        <v>510</v>
      </c>
      <c r="BQ4" s="74" t="s">
        <v>511</v>
      </c>
      <c r="BR4" s="74" t="s">
        <v>512</v>
      </c>
      <c r="BS4" s="74" t="s">
        <v>513</v>
      </c>
      <c r="BT4" s="74" t="s">
        <v>514</v>
      </c>
      <c r="BU4" s="74" t="s">
        <v>515</v>
      </c>
      <c r="BV4" s="74" t="s">
        <v>516</v>
      </c>
      <c r="BX4" s="151" t="s">
        <v>262</v>
      </c>
    </row>
    <row r="5" spans="2:76" ht="14.65" customHeight="1">
      <c r="B5" s="1612" t="str">
        <f>MyCC!BI1</f>
        <v xml:space="preserve"> MyStaffing Contact Center</v>
      </c>
      <c r="C5" s="1613"/>
      <c r="D5" s="1613"/>
      <c r="E5" s="1613"/>
      <c r="F5" s="1613"/>
      <c r="G5" s="1613"/>
      <c r="H5" s="1613"/>
      <c r="I5" s="1613"/>
      <c r="J5" s="1613"/>
      <c r="K5" s="1613"/>
      <c r="L5" s="1613"/>
      <c r="M5" s="1613"/>
      <c r="N5" s="1613"/>
      <c r="O5" s="1613"/>
      <c r="P5" s="1613"/>
      <c r="Q5" s="1613"/>
      <c r="R5" s="1613"/>
      <c r="S5" s="1613"/>
      <c r="T5" s="1613"/>
      <c r="U5" s="1613"/>
      <c r="V5" s="1613"/>
      <c r="W5" s="1613"/>
      <c r="X5" s="1613"/>
      <c r="Y5" s="1613"/>
      <c r="Z5" s="1613"/>
      <c r="AA5" s="1613"/>
      <c r="AB5" s="1613"/>
      <c r="AC5" s="1613"/>
      <c r="AD5" s="1613"/>
      <c r="AE5" s="1613"/>
      <c r="AF5" s="1613"/>
      <c r="AG5" s="1613"/>
      <c r="AH5" s="1613"/>
      <c r="AI5" s="1613"/>
      <c r="AJ5" s="1613"/>
      <c r="AK5" s="1613"/>
      <c r="AL5" s="1613"/>
      <c r="AM5" s="1613"/>
      <c r="AN5" s="1613"/>
      <c r="AO5" s="1613"/>
      <c r="AP5" s="1613"/>
      <c r="AQ5" s="1613"/>
      <c r="AR5" s="1613"/>
      <c r="AS5" s="731"/>
      <c r="AT5" s="731"/>
      <c r="AU5" s="731"/>
      <c r="AV5" s="731"/>
      <c r="AW5" s="731"/>
      <c r="AX5" s="731"/>
      <c r="AY5" s="731"/>
      <c r="AZ5" s="731"/>
      <c r="BA5" s="731"/>
      <c r="BB5" s="731"/>
      <c r="BC5" s="731"/>
      <c r="BD5" s="731"/>
      <c r="BE5" s="732" t="str">
        <f>Cover!M34</f>
        <v>OCT FY-24</v>
      </c>
      <c r="BI5" s="74" t="s">
        <v>37</v>
      </c>
      <c r="BJ5" s="74">
        <v>-1</v>
      </c>
      <c r="BK5" s="74">
        <v>1</v>
      </c>
      <c r="BL5" s="74">
        <v>2</v>
      </c>
      <c r="BM5" s="74">
        <v>3</v>
      </c>
      <c r="BN5" s="74">
        <v>4</v>
      </c>
      <c r="BO5" s="74">
        <v>5</v>
      </c>
      <c r="BP5" s="74">
        <v>6</v>
      </c>
      <c r="BQ5" s="74">
        <v>7</v>
      </c>
      <c r="BR5" s="74">
        <v>8</v>
      </c>
      <c r="BS5" s="74">
        <v>9</v>
      </c>
      <c r="BT5" s="74">
        <v>10</v>
      </c>
      <c r="BU5" s="74">
        <v>11</v>
      </c>
      <c r="BV5" s="74">
        <v>12</v>
      </c>
      <c r="BX5" s="68">
        <f>Cover!M36</f>
        <v>1</v>
      </c>
    </row>
    <row r="6" spans="2:76" ht="14.65" customHeight="1">
      <c r="BI6" s="68" t="s">
        <v>263</v>
      </c>
      <c r="BJ6" s="717">
        <v>11</v>
      </c>
      <c r="BK6" s="718">
        <f>BJ14-BJ13</f>
        <v>12</v>
      </c>
      <c r="BL6" s="718">
        <f>BK14-BK13</f>
        <v>12</v>
      </c>
      <c r="BM6" s="718">
        <f>BL14-BL13</f>
        <v>12</v>
      </c>
      <c r="BN6" s="718">
        <f>BM14-BM13</f>
        <v>12</v>
      </c>
      <c r="BO6" s="718">
        <f>BN14-BN13</f>
        <v>12</v>
      </c>
      <c r="BP6" s="718">
        <f t="shared" ref="BP6:BV6" si="0">BO14-BO13</f>
        <v>12</v>
      </c>
      <c r="BQ6" s="718">
        <f t="shared" si="0"/>
        <v>12</v>
      </c>
      <c r="BR6" s="718">
        <f t="shared" si="0"/>
        <v>12</v>
      </c>
      <c r="BS6" s="718">
        <f t="shared" si="0"/>
        <v>12</v>
      </c>
      <c r="BT6" s="718">
        <f t="shared" si="0"/>
        <v>12</v>
      </c>
      <c r="BU6" s="718">
        <f t="shared" si="0"/>
        <v>12</v>
      </c>
      <c r="BV6" s="718">
        <f t="shared" si="0"/>
        <v>12</v>
      </c>
      <c r="BX6" s="68"/>
    </row>
    <row r="7" spans="2:76" s="6" customFormat="1" ht="14.65" customHeight="1">
      <c r="B7" s="45" t="s">
        <v>687</v>
      </c>
      <c r="C7" s="11"/>
      <c r="D7" s="11"/>
      <c r="E7" s="11"/>
      <c r="F7" s="11"/>
      <c r="G7" s="11"/>
      <c r="H7" s="11"/>
      <c r="I7" s="11"/>
      <c r="J7" s="11"/>
      <c r="K7" s="11"/>
      <c r="L7" s="11"/>
      <c r="M7" s="11"/>
      <c r="N7" s="11"/>
      <c r="O7" s="11"/>
      <c r="P7" s="11"/>
      <c r="Q7" s="11"/>
      <c r="R7" s="11"/>
      <c r="S7" s="11"/>
      <c r="T7" s="11"/>
      <c r="U7" s="11"/>
      <c r="V7" s="11"/>
      <c r="W7" s="11"/>
      <c r="X7" s="11"/>
      <c r="Y7" s="11"/>
      <c r="Z7" s="11"/>
      <c r="AA7" s="11"/>
      <c r="AB7" s="11"/>
      <c r="AE7" s="45" t="s">
        <v>265</v>
      </c>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I7" s="68" t="s">
        <v>266</v>
      </c>
      <c r="BJ7" s="717"/>
      <c r="BK7" s="717"/>
      <c r="BL7" s="717"/>
      <c r="BM7" s="717"/>
      <c r="BN7" s="717"/>
      <c r="BO7" s="717"/>
      <c r="BP7" s="717"/>
      <c r="BQ7" s="717"/>
      <c r="BR7" s="717"/>
      <c r="BS7" s="717"/>
      <c r="BT7" s="717"/>
      <c r="BU7" s="717"/>
      <c r="BV7" s="717"/>
      <c r="BX7" s="68"/>
    </row>
    <row r="8" spans="2:76" s="6" customFormat="1" ht="14.65" customHeight="1">
      <c r="B8" s="1510" t="s">
        <v>688</v>
      </c>
      <c r="C8" s="1511"/>
      <c r="D8" s="1511"/>
      <c r="E8" s="1511"/>
      <c r="F8" s="1511"/>
      <c r="G8" s="1511"/>
      <c r="H8" s="1511"/>
      <c r="I8" s="1511"/>
      <c r="J8" s="1511"/>
      <c r="K8" s="1511"/>
      <c r="L8" s="1511"/>
      <c r="M8" s="1511"/>
      <c r="N8" s="1511"/>
      <c r="O8" s="1511"/>
      <c r="P8" s="1511"/>
      <c r="Q8" s="1511"/>
      <c r="R8" s="1511"/>
      <c r="S8" s="1511"/>
      <c r="T8" s="1511"/>
      <c r="U8" s="1511"/>
      <c r="V8" s="1511"/>
      <c r="W8" s="1511"/>
      <c r="X8" s="1511"/>
      <c r="Y8" s="1511"/>
      <c r="Z8" s="1511"/>
      <c r="AA8" s="1511"/>
      <c r="AB8" s="1512"/>
      <c r="AE8" s="1510" t="s">
        <v>689</v>
      </c>
      <c r="AF8" s="1511"/>
      <c r="AG8" s="1511"/>
      <c r="AH8" s="1511"/>
      <c r="AI8" s="1511"/>
      <c r="AJ8" s="1511"/>
      <c r="AK8" s="1511"/>
      <c r="AL8" s="1511"/>
      <c r="AM8" s="1511"/>
      <c r="AN8" s="1511"/>
      <c r="AO8" s="1511"/>
      <c r="AP8" s="1511"/>
      <c r="AQ8" s="1511"/>
      <c r="AR8" s="1511"/>
      <c r="AS8" s="1511"/>
      <c r="AT8" s="1511"/>
      <c r="AU8" s="1511"/>
      <c r="AV8" s="1511"/>
      <c r="AW8" s="1511"/>
      <c r="AX8" s="1511"/>
      <c r="AY8" s="1511"/>
      <c r="AZ8" s="1511"/>
      <c r="BA8" s="1511"/>
      <c r="BB8" s="1511"/>
      <c r="BC8" s="1511"/>
      <c r="BD8" s="1511"/>
      <c r="BE8" s="1512"/>
      <c r="BI8" s="68" t="s">
        <v>269</v>
      </c>
      <c r="BJ8" s="717">
        <v>1</v>
      </c>
      <c r="BK8" s="717"/>
      <c r="BL8" s="717"/>
      <c r="BM8" s="717"/>
      <c r="BN8" s="717"/>
      <c r="BO8" s="717"/>
      <c r="BP8" s="717"/>
      <c r="BQ8" s="717"/>
      <c r="BR8" s="717"/>
      <c r="BS8" s="717"/>
      <c r="BT8" s="717"/>
      <c r="BU8" s="717"/>
      <c r="BV8" s="717"/>
      <c r="BX8" s="68"/>
    </row>
    <row r="9" spans="2:76" s="6" customFormat="1" ht="14.65" customHeight="1">
      <c r="B9" s="1513"/>
      <c r="C9" s="1514"/>
      <c r="D9" s="1514"/>
      <c r="E9" s="1514"/>
      <c r="F9" s="1514"/>
      <c r="G9" s="1514"/>
      <c r="H9" s="1514"/>
      <c r="I9" s="1514"/>
      <c r="J9" s="1514"/>
      <c r="K9" s="1514"/>
      <c r="L9" s="1514"/>
      <c r="M9" s="1514"/>
      <c r="N9" s="1514"/>
      <c r="O9" s="1514"/>
      <c r="P9" s="1514"/>
      <c r="Q9" s="1514"/>
      <c r="R9" s="1514"/>
      <c r="S9" s="1514"/>
      <c r="T9" s="1514"/>
      <c r="U9" s="1514"/>
      <c r="V9" s="1514"/>
      <c r="W9" s="1514"/>
      <c r="X9" s="1514"/>
      <c r="Y9" s="1514"/>
      <c r="Z9" s="1514"/>
      <c r="AA9" s="1514"/>
      <c r="AB9" s="1515"/>
      <c r="AE9" s="1513"/>
      <c r="AF9" s="1514"/>
      <c r="AG9" s="1514"/>
      <c r="AH9" s="1514"/>
      <c r="AI9" s="1514"/>
      <c r="AJ9" s="1514"/>
      <c r="AK9" s="1514"/>
      <c r="AL9" s="1514"/>
      <c r="AM9" s="1514"/>
      <c r="AN9" s="1514"/>
      <c r="AO9" s="1514"/>
      <c r="AP9" s="1514"/>
      <c r="AQ9" s="1514"/>
      <c r="AR9" s="1514"/>
      <c r="AS9" s="1514"/>
      <c r="AT9" s="1514"/>
      <c r="AU9" s="1514"/>
      <c r="AV9" s="1514"/>
      <c r="AW9" s="1514"/>
      <c r="AX9" s="1514"/>
      <c r="AY9" s="1514"/>
      <c r="AZ9" s="1514"/>
      <c r="BA9" s="1514"/>
      <c r="BB9" s="1514"/>
      <c r="BC9" s="1514"/>
      <c r="BD9" s="1514"/>
      <c r="BE9" s="1515"/>
      <c r="BI9" s="68" t="s">
        <v>270</v>
      </c>
      <c r="BJ9" s="717"/>
      <c r="BK9" s="717"/>
      <c r="BL9" s="717"/>
      <c r="BM9" s="717"/>
      <c r="BN9" s="717"/>
      <c r="BO9" s="717"/>
      <c r="BP9" s="717"/>
      <c r="BQ9" s="717"/>
      <c r="BR9" s="717"/>
      <c r="BS9" s="717"/>
      <c r="BT9" s="717"/>
      <c r="BU9" s="717"/>
      <c r="BV9" s="717"/>
      <c r="BX9" s="68"/>
    </row>
    <row r="10" spans="2:76" s="6" customFormat="1" ht="14.65" customHeight="1">
      <c r="B10" s="1513"/>
      <c r="C10" s="1514"/>
      <c r="D10" s="1514"/>
      <c r="E10" s="1514"/>
      <c r="F10" s="1514"/>
      <c r="G10" s="1514"/>
      <c r="H10" s="1514"/>
      <c r="I10" s="1514"/>
      <c r="J10" s="1514"/>
      <c r="K10" s="1514"/>
      <c r="L10" s="1514"/>
      <c r="M10" s="1514"/>
      <c r="N10" s="1514"/>
      <c r="O10" s="1514"/>
      <c r="P10" s="1514"/>
      <c r="Q10" s="1514"/>
      <c r="R10" s="1514"/>
      <c r="S10" s="1514"/>
      <c r="T10" s="1514"/>
      <c r="U10" s="1514"/>
      <c r="V10" s="1514"/>
      <c r="W10" s="1514"/>
      <c r="X10" s="1514"/>
      <c r="Y10" s="1514"/>
      <c r="Z10" s="1514"/>
      <c r="AA10" s="1514"/>
      <c r="AB10" s="1515"/>
      <c r="AE10" s="1513"/>
      <c r="AF10" s="1514"/>
      <c r="AG10" s="1514"/>
      <c r="AH10" s="1514"/>
      <c r="AI10" s="1514"/>
      <c r="AJ10" s="1514"/>
      <c r="AK10" s="1514"/>
      <c r="AL10" s="1514"/>
      <c r="AM10" s="1514"/>
      <c r="AN10" s="1514"/>
      <c r="AO10" s="1514"/>
      <c r="AP10" s="1514"/>
      <c r="AQ10" s="1514"/>
      <c r="AR10" s="1514"/>
      <c r="AS10" s="1514"/>
      <c r="AT10" s="1514"/>
      <c r="AU10" s="1514"/>
      <c r="AV10" s="1514"/>
      <c r="AW10" s="1514"/>
      <c r="AX10" s="1514"/>
      <c r="AY10" s="1514"/>
      <c r="AZ10" s="1514"/>
      <c r="BA10" s="1514"/>
      <c r="BB10" s="1514"/>
      <c r="BC10" s="1514"/>
      <c r="BD10" s="1514"/>
      <c r="BE10" s="1515"/>
      <c r="BI10" s="68" t="s">
        <v>271</v>
      </c>
      <c r="BJ10" s="717"/>
      <c r="BK10" s="717"/>
      <c r="BL10" s="717"/>
      <c r="BM10" s="717"/>
      <c r="BN10" s="717"/>
      <c r="BO10" s="717"/>
      <c r="BP10" s="717"/>
      <c r="BQ10" s="717"/>
      <c r="BR10" s="717"/>
      <c r="BS10" s="717"/>
      <c r="BT10" s="717"/>
      <c r="BU10" s="717"/>
      <c r="BV10" s="717"/>
      <c r="BX10" s="68"/>
    </row>
    <row r="11" spans="2:76" s="6" customFormat="1" ht="14.65" customHeight="1">
      <c r="B11" s="1516"/>
      <c r="C11" s="1517"/>
      <c r="D11" s="1517"/>
      <c r="E11" s="1517"/>
      <c r="F11" s="1517"/>
      <c r="G11" s="1517"/>
      <c r="H11" s="1517"/>
      <c r="I11" s="1517"/>
      <c r="J11" s="1517"/>
      <c r="K11" s="1517"/>
      <c r="L11" s="1517"/>
      <c r="M11" s="1517"/>
      <c r="N11" s="1517"/>
      <c r="O11" s="1517"/>
      <c r="P11" s="1517"/>
      <c r="Q11" s="1517"/>
      <c r="R11" s="1517"/>
      <c r="S11" s="1517"/>
      <c r="T11" s="1517"/>
      <c r="U11" s="1517"/>
      <c r="V11" s="1517"/>
      <c r="W11" s="1517"/>
      <c r="X11" s="1517"/>
      <c r="Y11" s="1517"/>
      <c r="Z11" s="1517"/>
      <c r="AA11" s="1517"/>
      <c r="AB11" s="1518"/>
      <c r="AE11" s="1516"/>
      <c r="AF11" s="1517"/>
      <c r="AG11" s="1517"/>
      <c r="AH11" s="1517"/>
      <c r="AI11" s="1517"/>
      <c r="AJ11" s="1517"/>
      <c r="AK11" s="1517"/>
      <c r="AL11" s="1517"/>
      <c r="AM11" s="1517"/>
      <c r="AN11" s="1517"/>
      <c r="AO11" s="1517"/>
      <c r="AP11" s="1517"/>
      <c r="AQ11" s="1517"/>
      <c r="AR11" s="1517"/>
      <c r="AS11" s="1517"/>
      <c r="AT11" s="1517"/>
      <c r="AU11" s="1517"/>
      <c r="AV11" s="1517"/>
      <c r="AW11" s="1517"/>
      <c r="AX11" s="1517"/>
      <c r="AY11" s="1517"/>
      <c r="AZ11" s="1517"/>
      <c r="BA11" s="1517"/>
      <c r="BB11" s="1517"/>
      <c r="BC11" s="1517"/>
      <c r="BD11" s="1517"/>
      <c r="BE11" s="1518"/>
      <c r="BI11" s="68" t="s">
        <v>272</v>
      </c>
      <c r="BJ11" s="717"/>
      <c r="BK11" s="717"/>
      <c r="BL11" s="717"/>
      <c r="BM11" s="717"/>
      <c r="BN11" s="717"/>
      <c r="BO11" s="717"/>
      <c r="BP11" s="717"/>
      <c r="BQ11" s="717"/>
      <c r="BR11" s="717"/>
      <c r="BS11" s="717"/>
      <c r="BT11" s="717"/>
      <c r="BU11" s="717"/>
      <c r="BV11" s="717"/>
      <c r="BX11" s="68"/>
    </row>
    <row r="12" spans="2:76" s="6" customFormat="1" ht="14.65" customHeight="1">
      <c r="BI12" s="68" t="s">
        <v>273</v>
      </c>
      <c r="BJ12" s="717"/>
      <c r="BK12" s="717"/>
      <c r="BL12" s="717"/>
      <c r="BM12" s="717"/>
      <c r="BN12" s="717"/>
      <c r="BO12" s="717"/>
      <c r="BP12" s="717"/>
      <c r="BQ12" s="717"/>
      <c r="BR12" s="717"/>
      <c r="BS12" s="717"/>
      <c r="BT12" s="717"/>
      <c r="BU12" s="717"/>
      <c r="BV12" s="717"/>
      <c r="BX12" s="68"/>
    </row>
    <row r="13" spans="2:76" s="6" customFormat="1" ht="14.65" customHeight="1">
      <c r="B13" s="45" t="s">
        <v>14</v>
      </c>
      <c r="C13" s="46"/>
      <c r="D13" s="46"/>
      <c r="E13" s="46"/>
      <c r="F13" s="11"/>
      <c r="G13" s="11"/>
      <c r="H13" s="11"/>
      <c r="I13" s="11"/>
      <c r="J13" s="11"/>
      <c r="K13" s="11"/>
      <c r="L13" s="11"/>
      <c r="M13" s="11"/>
      <c r="N13" s="11"/>
      <c r="O13" s="11"/>
      <c r="P13" s="11"/>
      <c r="Q13" s="11"/>
      <c r="R13" s="11"/>
      <c r="S13" s="11"/>
      <c r="T13" s="11"/>
      <c r="U13" s="11"/>
      <c r="V13" s="11"/>
      <c r="W13" s="11"/>
      <c r="X13" s="11"/>
      <c r="Y13" s="11"/>
      <c r="Z13" s="11"/>
      <c r="AA13" s="11"/>
      <c r="AB13" s="11"/>
      <c r="AE13" s="60" t="s">
        <v>59</v>
      </c>
      <c r="AF13" s="61"/>
      <c r="AG13" s="62"/>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I13" s="68" t="s">
        <v>274</v>
      </c>
      <c r="BJ13" s="717"/>
      <c r="BK13" s="717"/>
      <c r="BL13" s="717"/>
      <c r="BM13" s="717"/>
      <c r="BN13" s="717"/>
      <c r="BO13" s="717"/>
      <c r="BP13" s="717"/>
      <c r="BQ13" s="717"/>
      <c r="BR13" s="717"/>
      <c r="BS13" s="717"/>
      <c r="BT13" s="717"/>
      <c r="BU13" s="717"/>
      <c r="BV13" s="717"/>
      <c r="BX13" s="68"/>
    </row>
    <row r="14" spans="2:76" s="6" customFormat="1" ht="14.65" customHeight="1">
      <c r="B14" s="64"/>
      <c r="C14" s="64"/>
      <c r="D14" s="64"/>
      <c r="E14" s="64"/>
      <c r="F14" s="64"/>
      <c r="G14" s="64"/>
      <c r="H14" s="64"/>
      <c r="I14" s="67"/>
      <c r="J14" s="67"/>
      <c r="K14" s="88"/>
      <c r="L14" s="64"/>
      <c r="M14" s="64"/>
      <c r="N14" s="65"/>
      <c r="O14" s="64"/>
      <c r="P14" s="64"/>
      <c r="Q14" s="64"/>
      <c r="R14" s="64"/>
      <c r="S14" s="64"/>
      <c r="T14" s="64"/>
      <c r="U14" s="64"/>
      <c r="V14" s="1529"/>
      <c r="W14" s="1529"/>
      <c r="X14" s="64"/>
      <c r="Y14" s="64"/>
      <c r="Z14" s="64"/>
      <c r="AA14" s="64"/>
      <c r="AB14" s="64"/>
      <c r="AE14" s="89"/>
      <c r="AF14" s="64"/>
      <c r="AG14" s="64"/>
      <c r="AH14" s="64"/>
      <c r="AI14" s="64"/>
      <c r="AJ14" s="64"/>
      <c r="AK14" s="90"/>
      <c r="AL14" s="90"/>
      <c r="AM14" s="90"/>
      <c r="AN14" s="90"/>
      <c r="AO14" s="91"/>
      <c r="AP14" s="92"/>
      <c r="AQ14" s="92"/>
      <c r="AR14" s="92"/>
      <c r="AS14" s="90"/>
      <c r="AT14" s="91"/>
      <c r="AU14" s="90"/>
      <c r="AV14" s="90"/>
      <c r="AW14" s="90"/>
      <c r="AX14" s="64"/>
      <c r="AY14" s="64"/>
      <c r="AZ14" s="64"/>
      <c r="BA14" s="64"/>
      <c r="BB14" s="64"/>
      <c r="BC14" s="64"/>
      <c r="BD14" s="64"/>
      <c r="BE14" s="64"/>
      <c r="BI14" s="68" t="s">
        <v>41</v>
      </c>
      <c r="BJ14" s="143">
        <f t="shared" ref="BJ14:BV14" si="1">SUM(BJ6:BJ13)</f>
        <v>12</v>
      </c>
      <c r="BK14" s="143">
        <f t="shared" si="1"/>
        <v>12</v>
      </c>
      <c r="BL14" s="143">
        <f t="shared" si="1"/>
        <v>12</v>
      </c>
      <c r="BM14" s="143">
        <f t="shared" si="1"/>
        <v>12</v>
      </c>
      <c r="BN14" s="143">
        <f t="shared" si="1"/>
        <v>12</v>
      </c>
      <c r="BO14" s="143">
        <f t="shared" si="1"/>
        <v>12</v>
      </c>
      <c r="BP14" s="143">
        <f t="shared" si="1"/>
        <v>12</v>
      </c>
      <c r="BQ14" s="143">
        <f t="shared" si="1"/>
        <v>12</v>
      </c>
      <c r="BR14" s="143">
        <f t="shared" si="1"/>
        <v>12</v>
      </c>
      <c r="BS14" s="143">
        <f t="shared" si="1"/>
        <v>12</v>
      </c>
      <c r="BT14" s="143">
        <f t="shared" si="1"/>
        <v>12</v>
      </c>
      <c r="BU14" s="143">
        <f t="shared" si="1"/>
        <v>12</v>
      </c>
      <c r="BV14" s="143">
        <f t="shared" si="1"/>
        <v>12</v>
      </c>
      <c r="BX14" s="68"/>
    </row>
    <row r="15" spans="2:76" s="6" customFormat="1" ht="14.65" customHeight="1">
      <c r="B15" s="1519" t="s">
        <v>185</v>
      </c>
      <c r="C15" s="1519"/>
      <c r="D15" s="1519"/>
      <c r="E15" s="1519"/>
      <c r="F15" s="1519"/>
      <c r="G15" s="1519"/>
      <c r="I15" s="1519" t="s">
        <v>275</v>
      </c>
      <c r="J15" s="1531"/>
      <c r="K15" s="1531"/>
      <c r="L15" s="1531"/>
      <c r="M15" s="1531"/>
      <c r="N15" s="1531"/>
      <c r="O15" s="1531"/>
      <c r="P15" s="1531"/>
      <c r="Q15" s="1531"/>
      <c r="R15" s="1531"/>
      <c r="S15" s="1531"/>
      <c r="T15" s="1531"/>
      <c r="U15" s="1531"/>
      <c r="V15" s="1531"/>
      <c r="W15" s="172"/>
      <c r="X15" s="1532" t="s">
        <v>360</v>
      </c>
      <c r="Y15" s="1136"/>
      <c r="Z15" s="1136"/>
      <c r="AA15" s="1136"/>
      <c r="AB15" s="1136"/>
      <c r="AE15" s="1519" t="s">
        <v>277</v>
      </c>
      <c r="AF15" s="1519"/>
      <c r="AG15" s="1519"/>
      <c r="AH15" s="1519"/>
      <c r="AI15" s="1519"/>
      <c r="AJ15" s="1519"/>
      <c r="AK15" s="68"/>
      <c r="AL15" s="1129" t="s">
        <v>62</v>
      </c>
      <c r="AM15" s="1129"/>
      <c r="AN15" s="1129"/>
      <c r="AO15" s="1129"/>
      <c r="AP15" s="1519" t="str">
        <f>CONCATENATE(Cover!M36,"+",12-Cover!M36)</f>
        <v>1+11</v>
      </c>
      <c r="AQ15" s="1519"/>
      <c r="AR15" s="68"/>
      <c r="AS15" s="1519" t="s">
        <v>278</v>
      </c>
      <c r="AT15" s="1519"/>
      <c r="AU15" s="1519"/>
      <c r="AV15" s="1519"/>
      <c r="AW15" s="1519"/>
      <c r="AX15" s="1519"/>
      <c r="AY15" s="68"/>
      <c r="AZ15" s="1519" t="s">
        <v>279</v>
      </c>
      <c r="BA15" s="1519"/>
      <c r="BB15" s="1519"/>
      <c r="BC15" s="1519"/>
      <c r="BD15" s="1519"/>
      <c r="BE15" s="1519"/>
      <c r="BI15"/>
      <c r="BJ15"/>
      <c r="BK15"/>
      <c r="BL15"/>
      <c r="BM15"/>
      <c r="BN15"/>
      <c r="BO15"/>
      <c r="BP15"/>
      <c r="BQ15"/>
      <c r="BR15"/>
      <c r="BS15"/>
      <c r="BT15"/>
      <c r="BU15"/>
    </row>
    <row r="16" spans="2:76" s="6" customFormat="1" ht="14.65" customHeight="1">
      <c r="E16" s="78" t="s">
        <v>263</v>
      </c>
      <c r="G16" s="77">
        <f>SUMIF(BJ4:BV4,BE5,BJ6:BV6)</f>
        <v>0</v>
      </c>
      <c r="I16" s="1522" t="s">
        <v>280</v>
      </c>
      <c r="J16" s="1523"/>
      <c r="K16" s="1523"/>
      <c r="L16" s="1524"/>
      <c r="N16" s="1522" t="s">
        <v>281</v>
      </c>
      <c r="O16" s="1523"/>
      <c r="P16" s="1523"/>
      <c r="Q16" s="1524"/>
      <c r="S16" s="1522" t="s">
        <v>282</v>
      </c>
      <c r="T16" s="1523"/>
      <c r="U16" s="1523"/>
      <c r="V16" s="1524"/>
      <c r="X16" s="183" t="s">
        <v>361</v>
      </c>
      <c r="Y16" s="235"/>
      <c r="Z16" s="236"/>
      <c r="AA16" s="183"/>
      <c r="AB16" s="183"/>
      <c r="AE16" s="68"/>
      <c r="AF16" s="68"/>
      <c r="AG16" s="68"/>
      <c r="AI16" s="68"/>
      <c r="AJ16" s="103" t="s">
        <v>61</v>
      </c>
      <c r="AK16" s="68"/>
      <c r="AL16" s="68"/>
      <c r="AM16" s="68"/>
      <c r="AN16" s="68"/>
      <c r="AO16" s="68"/>
      <c r="AP16" s="68"/>
      <c r="AQ16" s="68"/>
      <c r="AR16" s="68"/>
      <c r="AS16" s="68"/>
      <c r="AT16" s="68"/>
      <c r="AU16" s="68"/>
      <c r="AV16" s="68"/>
      <c r="AW16" s="68"/>
      <c r="AX16" s="68"/>
      <c r="AY16" s="68"/>
      <c r="AZ16" s="68"/>
      <c r="BA16" s="68"/>
      <c r="BB16" s="68"/>
      <c r="BC16" s="68"/>
      <c r="BD16" s="68"/>
      <c r="BE16" s="68"/>
      <c r="BI16" s="68" t="s">
        <v>284</v>
      </c>
      <c r="BJ16" s="719"/>
      <c r="BK16" s="719">
        <v>3</v>
      </c>
      <c r="BL16" s="719"/>
      <c r="BM16" s="719"/>
      <c r="BN16" s="719"/>
      <c r="BO16" s="719"/>
      <c r="BP16" s="719"/>
      <c r="BQ16" s="719"/>
      <c r="BR16" s="719"/>
      <c r="BS16" s="719"/>
      <c r="BT16" s="719"/>
      <c r="BU16" s="719"/>
      <c r="BV16" s="719"/>
    </row>
    <row r="17" spans="2:81" s="6" customFormat="1" ht="14.65" customHeight="1">
      <c r="E17" s="78" t="s">
        <v>285</v>
      </c>
      <c r="G17" s="77">
        <f>V20</f>
        <v>0</v>
      </c>
      <c r="I17" s="79"/>
      <c r="J17" s="78" t="s">
        <v>266</v>
      </c>
      <c r="K17" s="77">
        <f>SUMIF(BJ4:BV4,BE5,BJ7:BV7)</f>
        <v>0</v>
      </c>
      <c r="L17" s="80"/>
      <c r="N17" s="79"/>
      <c r="O17" s="78" t="s">
        <v>286</v>
      </c>
      <c r="P17" s="77">
        <f>SUMIF(BJ4:BV4,BE5,BJ9:BV9)</f>
        <v>0</v>
      </c>
      <c r="Q17" s="80"/>
      <c r="S17" s="79"/>
      <c r="T17" s="78" t="s">
        <v>286</v>
      </c>
      <c r="U17" s="77">
        <f>SUMIF(BJ4:BV4,BE5,BJ11:BV11)</f>
        <v>0</v>
      </c>
      <c r="V17" s="85"/>
      <c r="X17" s="183" t="s">
        <v>287</v>
      </c>
      <c r="Y17" s="235"/>
      <c r="Z17" s="236"/>
      <c r="AA17" s="183">
        <f>SUMIF(Admin4!$B$5:$B$298,"18804",Admin4!$C$5:$C$298)</f>
        <v>0</v>
      </c>
      <c r="AB17" s="183"/>
      <c r="AE17" s="68"/>
      <c r="AF17" s="68"/>
      <c r="AG17" s="68"/>
      <c r="AI17" s="68"/>
      <c r="AJ17" s="97" t="s">
        <v>63</v>
      </c>
      <c r="AK17" s="68"/>
      <c r="AL17" s="68"/>
      <c r="AM17" s="68"/>
      <c r="AN17" s="1530" t="e">
        <f>SUMIF(Admin3!C8:O8,BE5,Admin3!#REF!)</f>
        <v>#REF!</v>
      </c>
      <c r="AO17" s="1530"/>
      <c r="AP17" s="1530"/>
      <c r="AQ17" s="1530"/>
      <c r="AR17" s="68"/>
      <c r="AS17" s="68"/>
      <c r="AT17" s="68"/>
      <c r="AU17" s="1530" t="e">
        <f>SUMIF(Admin3!C8:O8,BE5,Admin3!#REF!)-SUMIF(Admin3!C8:O8,BE5,Admin3!#REF!)</f>
        <v>#REF!</v>
      </c>
      <c r="AV17" s="1530"/>
      <c r="AW17" s="1530"/>
      <c r="AX17" s="1530"/>
      <c r="AY17" s="68"/>
      <c r="AZ17" s="68"/>
      <c r="BA17" s="68"/>
      <c r="BB17" s="1530" t="e">
        <f>SUMIF(Admin3!C8:O8,BE5,Admin3!#REF!)-SUMIF(Admin3!C8:O8,BE5,Admin3!#REF!)</f>
        <v>#REF!</v>
      </c>
      <c r="BC17" s="1530"/>
      <c r="BD17" s="1530"/>
      <c r="BE17" s="1530"/>
      <c r="BI17"/>
      <c r="BJ17"/>
      <c r="BK17"/>
      <c r="BL17"/>
      <c r="BM17"/>
      <c r="BN17"/>
      <c r="BO17"/>
      <c r="BP17"/>
      <c r="BQ17"/>
      <c r="BR17"/>
      <c r="BS17"/>
      <c r="BT17"/>
      <c r="BU17"/>
      <c r="BV17"/>
    </row>
    <row r="18" spans="2:81" s="6" customFormat="1" ht="14.65" customHeight="1">
      <c r="E18" s="78" t="s">
        <v>240</v>
      </c>
      <c r="G18" s="77">
        <f>SUMIF(BJ4:BV4,BE5,BJ13:BV13)</f>
        <v>0</v>
      </c>
      <c r="I18" s="81"/>
      <c r="J18" s="82" t="s">
        <v>288</v>
      </c>
      <c r="K18" s="83">
        <f>SUMIF(BJ4:BV4,BE5,BJ8:BV8)</f>
        <v>0</v>
      </c>
      <c r="L18" s="84"/>
      <c r="N18" s="81"/>
      <c r="O18" s="82" t="s">
        <v>289</v>
      </c>
      <c r="P18" s="83">
        <f>SUMIF(BJ4:BV4,BE5,BJ10:BV10)</f>
        <v>0</v>
      </c>
      <c r="Q18" s="84"/>
      <c r="S18" s="81"/>
      <c r="T18" s="82" t="s">
        <v>289</v>
      </c>
      <c r="U18" s="83">
        <f>SUMIF(BJ4:BV4,BE5,BJ12:BV12)</f>
        <v>0</v>
      </c>
      <c r="V18" s="86"/>
      <c r="X18" s="183"/>
      <c r="Y18" s="235"/>
      <c r="Z18" s="236"/>
      <c r="AA18" s="183"/>
      <c r="AB18" s="183"/>
      <c r="AE18" s="68"/>
      <c r="AF18" s="68"/>
      <c r="AG18" s="68"/>
      <c r="AH18" s="68"/>
      <c r="AI18" s="94"/>
      <c r="AJ18" s="97" t="s">
        <v>64</v>
      </c>
      <c r="AK18" s="68"/>
      <c r="AL18" s="68"/>
      <c r="AM18" s="68"/>
      <c r="AN18" s="1530" t="e">
        <f>SUMIF(Admin3!C8:O8,BE5,Admin3!#REF!)</f>
        <v>#REF!</v>
      </c>
      <c r="AO18" s="1530"/>
      <c r="AP18" s="1530"/>
      <c r="AQ18" s="1530"/>
      <c r="AR18" s="68"/>
      <c r="AS18" s="68"/>
      <c r="AT18" s="68"/>
      <c r="AU18" s="1530" t="e">
        <f>SUMIF(Admin3!C8:O8,BE5,Admin3!#REF!)-SUMIF(Admin3!C8:O8,BE5,Admin3!#REF!)</f>
        <v>#REF!</v>
      </c>
      <c r="AV18" s="1530"/>
      <c r="AW18" s="1530"/>
      <c r="AX18" s="1530"/>
      <c r="AY18" s="68"/>
      <c r="AZ18" s="68"/>
      <c r="BA18" s="68"/>
      <c r="BB18" s="1530" t="e">
        <f>SUMIF(Admin3!C8:O8,BE5,Admin3!#REF!)-SUMIF(Admin3!C8:O8,BE5,Admin3!#REF!)</f>
        <v>#REF!</v>
      </c>
      <c r="BC18" s="1530"/>
      <c r="BD18" s="1530"/>
      <c r="BE18" s="1530"/>
      <c r="BI18"/>
      <c r="BJ18"/>
      <c r="BK18"/>
      <c r="BL18"/>
      <c r="BM18"/>
      <c r="BN18"/>
      <c r="BO18"/>
      <c r="BP18"/>
      <c r="BQ18"/>
      <c r="BR18"/>
      <c r="BS18"/>
      <c r="BT18"/>
      <c r="BU18"/>
      <c r="BV18"/>
    </row>
    <row r="19" spans="2:81" s="6" customFormat="1" ht="14.65" customHeight="1" thickBot="1">
      <c r="E19" s="78" t="s">
        <v>41</v>
      </c>
      <c r="G19" s="93">
        <f>SUM(G16:G18)</f>
        <v>0</v>
      </c>
      <c r="I19" s="94"/>
      <c r="J19" s="94"/>
      <c r="K19" s="94"/>
      <c r="L19" s="94"/>
      <c r="M19" s="94"/>
      <c r="N19" s="94"/>
      <c r="O19" s="94"/>
      <c r="P19" s="94"/>
      <c r="Q19" s="94"/>
      <c r="R19" s="94"/>
      <c r="S19" s="94"/>
      <c r="T19" s="94"/>
      <c r="U19" s="94"/>
      <c r="V19" s="94"/>
      <c r="W19" s="94"/>
      <c r="X19" s="183" t="s">
        <v>290</v>
      </c>
      <c r="Y19" s="235"/>
      <c r="Z19" s="236"/>
      <c r="AA19" s="237"/>
      <c r="AB19" s="237"/>
      <c r="AE19" s="68"/>
      <c r="AF19" s="68"/>
      <c r="AG19" s="68"/>
      <c r="AH19" s="68"/>
      <c r="AJ19" s="97" t="s">
        <v>65</v>
      </c>
      <c r="AN19" s="1533" t="e">
        <f>SUM(AN17:AQ18)</f>
        <v>#REF!</v>
      </c>
      <c r="AO19" s="1533"/>
      <c r="AP19" s="1533"/>
      <c r="AQ19" s="1533"/>
      <c r="AU19" s="1533" t="e">
        <f>SUM(AU17:AX18)</f>
        <v>#REF!</v>
      </c>
      <c r="AV19" s="1533"/>
      <c r="AW19" s="1533"/>
      <c r="AX19" s="1533"/>
      <c r="BB19" s="1533" t="e">
        <f>SUM(BB17:BE18)</f>
        <v>#REF!</v>
      </c>
      <c r="BC19" s="1533"/>
      <c r="BD19" s="1533"/>
      <c r="BE19" s="1533"/>
      <c r="BI19"/>
      <c r="BJ19"/>
      <c r="BK19"/>
      <c r="BL19"/>
      <c r="BM19"/>
      <c r="BN19"/>
      <c r="BO19"/>
      <c r="BP19"/>
      <c r="BQ19"/>
      <c r="BR19"/>
      <c r="BS19"/>
      <c r="BT19"/>
      <c r="BU19"/>
      <c r="BV19"/>
    </row>
    <row r="20" spans="2:81" s="6" customFormat="1" ht="14.65" customHeight="1" thickTop="1" thickBot="1">
      <c r="B20" s="44"/>
      <c r="C20" s="44"/>
      <c r="D20" s="44"/>
      <c r="E20" s="78" t="s">
        <v>39</v>
      </c>
      <c r="G20" s="77">
        <f t="array" ref="G20">SUM(IF((Admin2!$C$6:$O$6=BE5)*(Admin2!$Q$9:$Q$83=BI2)*(Admin2!$B$9:$B$83="Annual Plan"),Admin2!$C$9:$O$83,0))</f>
        <v>0</v>
      </c>
      <c r="H20" s="94"/>
      <c r="I20" s="6" t="s">
        <v>284</v>
      </c>
      <c r="K20" s="94"/>
      <c r="L20" s="94"/>
      <c r="M20" s="144">
        <f>SUMIF(BJ4:BV4,BE5,BJ16:BV16)</f>
        <v>0</v>
      </c>
      <c r="T20" s="145" t="s">
        <v>291</v>
      </c>
      <c r="U20" s="94"/>
      <c r="V20" s="144">
        <f>SUM(K17:K18,P17:P18,U17:U18)</f>
        <v>0</v>
      </c>
      <c r="X20" s="183" t="s">
        <v>287</v>
      </c>
      <c r="Y20" s="235"/>
      <c r="Z20" s="236"/>
      <c r="AA20" s="183">
        <f>SUMIF(Admin4!$B$5:$B$298,"18804",Admin4!$D$5:$D$298)</f>
        <v>0</v>
      </c>
      <c r="AB20" s="183"/>
      <c r="AC20" s="94"/>
      <c r="AD20" s="94"/>
      <c r="AE20" s="65"/>
      <c r="AF20" s="65"/>
      <c r="AG20" s="65"/>
      <c r="AH20" s="65"/>
      <c r="BI20" s="4" t="s">
        <v>245</v>
      </c>
      <c r="BJ20" s="3"/>
      <c r="BK20" s="3"/>
      <c r="BL20" s="3"/>
      <c r="BM20" s="3"/>
      <c r="BN20" s="3"/>
      <c r="BO20" s="3"/>
      <c r="BP20" s="3"/>
      <c r="BQ20" s="3"/>
      <c r="BR20" s="3"/>
      <c r="BS20" s="3"/>
      <c r="BT20" s="3"/>
      <c r="BU20" s="3"/>
      <c r="BV20"/>
    </row>
    <row r="21" spans="2:81" s="6" customFormat="1" ht="14.65" customHeight="1" thickTop="1" thickBot="1">
      <c r="B21" s="44"/>
      <c r="C21" s="44"/>
      <c r="D21" s="44"/>
      <c r="E21" s="78" t="s">
        <v>40</v>
      </c>
      <c r="F21" s="94"/>
      <c r="G21" s="93">
        <f t="array" ref="G21">SUM(IF((Admin2!$C$6:$O$6=BE5)*(Admin2!$Q$9:$Q$83=BI2)*(Admin2!$B$9:$B$83="Forecast"),Admin2!$C$9:$O$83,0))</f>
        <v>0</v>
      </c>
      <c r="H21" s="94"/>
      <c r="X21" s="183"/>
      <c r="Y21" s="235"/>
      <c r="Z21" s="236"/>
      <c r="AA21" s="183"/>
      <c r="AB21" s="183"/>
      <c r="AE21" s="64"/>
      <c r="AF21" s="64"/>
      <c r="AG21" s="64"/>
      <c r="AH21" s="64"/>
      <c r="AI21" s="68"/>
      <c r="AJ21" s="103" t="s">
        <v>23</v>
      </c>
      <c r="AK21" s="68"/>
      <c r="AL21" s="68"/>
      <c r="AM21" s="68"/>
      <c r="AN21" s="68"/>
      <c r="AO21" s="68"/>
      <c r="AP21" s="68"/>
      <c r="AQ21" s="68"/>
      <c r="AR21" s="68"/>
      <c r="AS21" s="68"/>
      <c r="AT21" s="68"/>
      <c r="AU21" s="68"/>
      <c r="AV21" s="68"/>
      <c r="AW21" s="68"/>
      <c r="AX21" s="68"/>
      <c r="AY21" s="68"/>
      <c r="AZ21" s="68"/>
      <c r="BA21" s="68"/>
      <c r="BB21" s="68"/>
      <c r="BC21" s="68"/>
      <c r="BD21" s="68"/>
      <c r="BE21" s="68"/>
      <c r="BI21" s="1" t="s">
        <v>292</v>
      </c>
      <c r="BJ21" s="1526" t="s">
        <v>690</v>
      </c>
      <c r="BK21" s="1526"/>
      <c r="BL21" s="1526"/>
      <c r="BM21" s="1526"/>
      <c r="BN21" s="1526"/>
      <c r="BO21" s="1526"/>
      <c r="BP21" s="1526"/>
      <c r="BQ21" s="1526"/>
      <c r="BR21" s="1526"/>
      <c r="BS21" s="1526"/>
      <c r="BT21" s="1526"/>
      <c r="BU21" s="1526"/>
      <c r="BV21"/>
    </row>
    <row r="22" spans="2:81" s="6" customFormat="1" ht="14.65" customHeight="1" thickTop="1" thickBot="1">
      <c r="B22" s="44"/>
      <c r="C22" s="44"/>
      <c r="D22" s="44"/>
      <c r="E22" s="78" t="s">
        <v>294</v>
      </c>
      <c r="F22" s="94"/>
      <c r="G22" s="93">
        <f>$G$20-$G$19</f>
        <v>0</v>
      </c>
      <c r="H22" s="94"/>
      <c r="I22" s="236"/>
      <c r="J22" s="236"/>
      <c r="K22" s="236"/>
      <c r="L22" s="236"/>
      <c r="M22" s="236"/>
      <c r="N22" s="236"/>
      <c r="O22" s="236"/>
      <c r="P22" s="236"/>
      <c r="Q22" s="236"/>
      <c r="R22" s="236"/>
      <c r="S22" s="236"/>
      <c r="T22" s="236"/>
      <c r="U22" s="236"/>
      <c r="V22" s="236"/>
      <c r="W22" s="94"/>
      <c r="X22" s="183" t="s">
        <v>295</v>
      </c>
      <c r="Y22" s="235"/>
      <c r="Z22" s="236"/>
      <c r="AA22" s="237"/>
      <c r="AB22" s="238"/>
      <c r="AE22" s="64"/>
      <c r="AF22" s="64"/>
      <c r="AG22" s="64"/>
      <c r="AH22" s="64"/>
      <c r="AI22" s="68"/>
      <c r="AJ22" s="97" t="s">
        <v>63</v>
      </c>
      <c r="AK22" s="68"/>
      <c r="AL22" s="68"/>
      <c r="AM22" s="68"/>
      <c r="AN22" s="1530" t="e">
        <f>SUMIF(Admin3!C8:O8,BE5,Admin3!#REF!)</f>
        <v>#REF!</v>
      </c>
      <c r="AO22" s="1530"/>
      <c r="AP22" s="1530"/>
      <c r="AQ22" s="1530"/>
      <c r="AR22" s="68"/>
      <c r="AS22" s="68"/>
      <c r="AT22" s="68"/>
      <c r="AU22" s="1530" t="e">
        <f>SUMIF(Admin3!C8:O8,BE5,Admin3!#REF!)-SUMIF(Admin3!C8:O8,BE5,Admin3!#REF!)</f>
        <v>#REF!</v>
      </c>
      <c r="AV22" s="1530"/>
      <c r="AW22" s="1530"/>
      <c r="AX22" s="1530"/>
      <c r="AY22" s="68"/>
      <c r="AZ22" s="68"/>
      <c r="BA22" s="68"/>
      <c r="BB22" s="1530" t="e">
        <f>SUMIF(Admin3!C8:O8,BE5,Admin3!#REF!)-SUMIF(Admin3!C8:O8,BE5,Admin3!#REF!)</f>
        <v>#REF!</v>
      </c>
      <c r="BC22" s="1530"/>
      <c r="BD22" s="1530"/>
      <c r="BE22" s="1530"/>
      <c r="BI22" s="54" t="s">
        <v>296</v>
      </c>
      <c r="BJ22" s="1527" t="s">
        <v>691</v>
      </c>
      <c r="BK22" s="1527"/>
      <c r="BL22" s="1527"/>
      <c r="BM22" s="1527"/>
      <c r="BN22" s="1527"/>
      <c r="BO22" s="1527"/>
      <c r="BP22" s="1527"/>
      <c r="BQ22" s="1527"/>
      <c r="BR22" s="1527"/>
      <c r="BS22" s="1527"/>
      <c r="BT22" s="1527"/>
      <c r="BU22" s="1527"/>
      <c r="BV22"/>
    </row>
    <row r="23" spans="2:81" s="6" customFormat="1" ht="14.65" customHeight="1" thickTop="1" thickBot="1">
      <c r="B23" s="44"/>
      <c r="C23" s="44"/>
      <c r="D23" s="44"/>
      <c r="E23" s="78" t="s">
        <v>298</v>
      </c>
      <c r="F23" s="94"/>
      <c r="G23" s="93">
        <f>$G$21-$G$19</f>
        <v>0</v>
      </c>
      <c r="H23" s="94"/>
      <c r="I23" s="236"/>
      <c r="J23" s="236"/>
      <c r="K23" s="236"/>
      <c r="L23" s="236"/>
      <c r="M23" s="236"/>
      <c r="N23" s="236"/>
      <c r="O23" s="236"/>
      <c r="P23" s="236"/>
      <c r="Q23" s="236"/>
      <c r="R23" s="236"/>
      <c r="S23" s="236"/>
      <c r="T23" s="236"/>
      <c r="U23" s="236"/>
      <c r="V23" s="236"/>
      <c r="W23" s="94"/>
      <c r="X23" s="183" t="s">
        <v>299</v>
      </c>
      <c r="Y23" s="235"/>
      <c r="Z23" s="236"/>
      <c r="AA23" s="183">
        <f>SUMIF(Admin4!$L$5:$L$298,"18804",Admin4!$N$5:$N$298)</f>
        <v>0</v>
      </c>
      <c r="AB23" s="238"/>
      <c r="AE23" s="64"/>
      <c r="AF23" s="64"/>
      <c r="AG23" s="64"/>
      <c r="AH23" s="64"/>
      <c r="AI23" s="64"/>
      <c r="AJ23" s="97" t="s">
        <v>64</v>
      </c>
      <c r="AK23" s="68"/>
      <c r="AL23" s="68"/>
      <c r="AM23" s="68"/>
      <c r="AN23" s="1530" t="e">
        <f>SUMIF(Admin3!C8:O8,BE5,Admin3!#REF!)</f>
        <v>#REF!</v>
      </c>
      <c r="AO23" s="1530"/>
      <c r="AP23" s="1530"/>
      <c r="AQ23" s="1530"/>
      <c r="AR23" s="68"/>
      <c r="AS23" s="68"/>
      <c r="AT23" s="68"/>
      <c r="AU23" s="1530" t="e">
        <f>SUMIF(Admin3!C8:O8,BE5,Admin3!#REF!)-SUMIF(Admin3!C8:O8,BE5,Admin3!#REF!)</f>
        <v>#REF!</v>
      </c>
      <c r="AV23" s="1530"/>
      <c r="AW23" s="1530"/>
      <c r="AX23" s="1530"/>
      <c r="AY23" s="68"/>
      <c r="AZ23" s="68"/>
      <c r="BA23" s="68"/>
      <c r="BB23" s="1530" t="e">
        <f>SUMIF(Admin3!C8:O8,BE5,Admin3!#REF!)-SUMIF(Admin3!C8:O8,BE5,Admin3!#REF!)</f>
        <v>#REF!</v>
      </c>
      <c r="BC23" s="1530"/>
      <c r="BD23" s="1530"/>
      <c r="BE23" s="1530"/>
      <c r="BI23" s="1" t="s">
        <v>300</v>
      </c>
      <c r="BJ23" s="1527" t="s">
        <v>692</v>
      </c>
      <c r="BK23" s="1527"/>
      <c r="BL23" s="1527"/>
      <c r="BM23" s="1527"/>
      <c r="BN23" s="1527"/>
      <c r="BO23" s="1527"/>
      <c r="BP23" s="1527"/>
      <c r="BQ23" s="1527"/>
      <c r="BR23" s="1527"/>
      <c r="BS23" s="1527"/>
      <c r="BT23" s="1527"/>
      <c r="BU23" s="1527"/>
      <c r="BV23"/>
    </row>
    <row r="24" spans="2:81" s="6" customFormat="1" ht="14.65" customHeight="1" thickTop="1" thickBot="1">
      <c r="B24" s="44"/>
      <c r="C24" s="44"/>
      <c r="D24" s="44"/>
      <c r="E24" s="78"/>
      <c r="F24" s="94"/>
      <c r="G24" s="78"/>
      <c r="H24" s="94"/>
      <c r="I24" s="96"/>
      <c r="J24" s="96"/>
      <c r="K24" s="94"/>
      <c r="L24" s="94"/>
      <c r="U24" s="94"/>
      <c r="V24" s="94"/>
      <c r="W24" s="94"/>
      <c r="X24" s="239"/>
      <c r="Y24" s="239"/>
      <c r="Z24" s="240"/>
      <c r="AA24" s="239"/>
      <c r="AB24" s="241"/>
      <c r="AE24" s="64"/>
      <c r="AF24" s="64"/>
      <c r="AG24" s="64"/>
      <c r="AH24" s="64"/>
      <c r="AI24" s="64"/>
      <c r="AJ24" s="97" t="s">
        <v>65</v>
      </c>
      <c r="AK24" s="68"/>
      <c r="AL24" s="68"/>
      <c r="AM24" s="68"/>
      <c r="AN24" s="1533" t="e">
        <f>SUM(AN22:AQ23)</f>
        <v>#REF!</v>
      </c>
      <c r="AO24" s="1533"/>
      <c r="AP24" s="1533"/>
      <c r="AQ24" s="1533"/>
      <c r="AR24" s="68"/>
      <c r="AS24" s="68"/>
      <c r="AT24" s="68"/>
      <c r="AU24" s="1533" t="e">
        <f>SUM(AU22:AX23)</f>
        <v>#REF!</v>
      </c>
      <c r="AV24" s="1533"/>
      <c r="AW24" s="1533"/>
      <c r="AX24" s="1533"/>
      <c r="AY24" s="68"/>
      <c r="AZ24" s="68"/>
      <c r="BA24" s="68"/>
      <c r="BB24" s="1533" t="e">
        <f>SUM(BB22:BE23)</f>
        <v>#REF!</v>
      </c>
      <c r="BC24" s="1533"/>
      <c r="BD24" s="1533"/>
      <c r="BE24" s="1533"/>
      <c r="BI24" s="2"/>
      <c r="BJ24" s="2"/>
      <c r="BK24" s="2"/>
      <c r="BL24" s="1490" t="s">
        <v>487</v>
      </c>
      <c r="BM24" s="1491"/>
      <c r="BN24" s="1491"/>
      <c r="BO24" s="1491"/>
      <c r="BP24" s="1521"/>
      <c r="BQ24" s="1490" t="s">
        <v>522</v>
      </c>
      <c r="BR24" s="1491"/>
      <c r="BS24" s="1491"/>
      <c r="BT24" s="1491"/>
      <c r="BU24" s="1492"/>
      <c r="BV24"/>
      <c r="BW24" s="1490" t="s">
        <v>303</v>
      </c>
      <c r="BX24" s="1491"/>
      <c r="BY24" s="1491"/>
      <c r="BZ24" s="1491"/>
      <c r="CA24" s="1491"/>
      <c r="CB24" s="1491"/>
      <c r="CC24" s="1492"/>
    </row>
    <row r="25" spans="2:81" s="6" customFormat="1" ht="14.65" customHeight="1" thickTop="1">
      <c r="B25" s="44"/>
      <c r="C25" s="44"/>
      <c r="D25" s="44"/>
      <c r="E25" s="78"/>
      <c r="F25" s="94"/>
      <c r="G25" s="95">
        <f>G26-SUM($G$16:$G$17)</f>
        <v>0</v>
      </c>
      <c r="H25" s="94"/>
      <c r="I25" s="96" t="str">
        <f>IF(G25&lt;&gt;0,"There is a variance in reported ending EEs.","")</f>
        <v/>
      </c>
      <c r="J25" s="96"/>
      <c r="K25" s="94"/>
      <c r="L25" s="94"/>
      <c r="U25" s="94"/>
      <c r="V25" s="94"/>
      <c r="W25" s="94"/>
      <c r="X25" s="239"/>
      <c r="Y25" s="239"/>
      <c r="Z25" s="240"/>
      <c r="AA25" s="239"/>
      <c r="AB25" s="241"/>
      <c r="AE25" s="64"/>
      <c r="AF25" s="64"/>
      <c r="AG25" s="64"/>
      <c r="AH25" s="64"/>
      <c r="AI25" s="64"/>
      <c r="AJ25" s="97"/>
      <c r="AK25" s="68"/>
      <c r="AL25" s="68"/>
      <c r="AM25" s="68"/>
      <c r="AN25" s="221"/>
      <c r="AO25" s="221"/>
      <c r="AP25" s="221"/>
      <c r="AQ25" s="221"/>
      <c r="AR25" s="68"/>
      <c r="AS25" s="68"/>
      <c r="AT25" s="68"/>
      <c r="AU25" s="221"/>
      <c r="AV25" s="221"/>
      <c r="AW25" s="221"/>
      <c r="AX25" s="221"/>
      <c r="AY25" s="68"/>
      <c r="AZ25" s="68"/>
      <c r="BA25" s="68"/>
      <c r="BB25" s="221"/>
      <c r="BC25" s="221"/>
      <c r="BD25" s="221"/>
      <c r="BE25" s="221"/>
      <c r="BI25" s="720" t="s">
        <v>23</v>
      </c>
      <c r="BJ25" s="720" t="s">
        <v>37</v>
      </c>
      <c r="BK25" s="720" t="s">
        <v>304</v>
      </c>
      <c r="BL25" s="721" t="s">
        <v>305</v>
      </c>
      <c r="BM25" s="721" t="s">
        <v>306</v>
      </c>
      <c r="BN25" s="721" t="s">
        <v>488</v>
      </c>
      <c r="BO25" s="135" t="s">
        <v>489</v>
      </c>
      <c r="BP25" s="721" t="s">
        <v>490</v>
      </c>
      <c r="BQ25" s="721" t="s">
        <v>305</v>
      </c>
      <c r="BR25" s="721" t="s">
        <v>523</v>
      </c>
      <c r="BS25" s="721" t="s">
        <v>524</v>
      </c>
      <c r="BT25" s="135" t="s">
        <v>525</v>
      </c>
      <c r="BU25" s="721" t="s">
        <v>526</v>
      </c>
      <c r="BV25"/>
      <c r="BW25" s="164" t="s">
        <v>314</v>
      </c>
      <c r="BX25" s="164" t="s">
        <v>23</v>
      </c>
      <c r="BY25" s="168" t="s">
        <v>315</v>
      </c>
      <c r="BZ25" s="164" t="s">
        <v>122</v>
      </c>
      <c r="CA25" s="164" t="s">
        <v>316</v>
      </c>
      <c r="CB25" s="164" t="s">
        <v>317</v>
      </c>
      <c r="CC25" s="164" t="s">
        <v>318</v>
      </c>
    </row>
    <row r="26" spans="2:81" s="6" customFormat="1" ht="15.75" customHeight="1">
      <c r="B26" s="44"/>
      <c r="C26" s="44"/>
      <c r="D26" s="44"/>
      <c r="E26" s="78"/>
      <c r="F26" s="94"/>
      <c r="G26" s="95">
        <f t="array" ref="G26">SUM(IF((Admin2!$C$6:$O$6=$BE$5)*(Admin2!$Q$9:$Q$83=$BI$2)*(Admin2!$B$9:$B$83="Ending EEs"),Admin2!$C$9:$O$83,0))</f>
        <v>0</v>
      </c>
      <c r="H26" s="94"/>
      <c r="I26" s="96" t="str">
        <f>IF(G26&lt;&gt;0,"Ending headcount per Kronos/HCMS.","")</f>
        <v/>
      </c>
      <c r="J26" s="96"/>
      <c r="K26" s="94"/>
      <c r="L26" s="94"/>
      <c r="U26" s="94"/>
      <c r="V26" s="94"/>
      <c r="W26" s="94"/>
      <c r="X26" s="94"/>
      <c r="Y26" s="94"/>
      <c r="Z26" s="97"/>
      <c r="AA26" s="94"/>
      <c r="AB26" s="98"/>
      <c r="AE26" s="64"/>
      <c r="AF26" s="64"/>
      <c r="AG26" s="64"/>
      <c r="AH26" s="64"/>
      <c r="AI26" s="64"/>
      <c r="AJ26" s="97"/>
      <c r="AK26" s="68"/>
      <c r="AL26" s="68"/>
      <c r="AM26" s="68"/>
      <c r="AN26" s="221"/>
      <c r="AO26" s="221"/>
      <c r="AP26" s="221"/>
      <c r="AQ26" s="221"/>
      <c r="AR26" s="68"/>
      <c r="AS26" s="68"/>
      <c r="AT26" s="68"/>
      <c r="AU26" s="221"/>
      <c r="AV26" s="221"/>
      <c r="AW26" s="221"/>
      <c r="AX26" s="221"/>
      <c r="AY26" s="68"/>
      <c r="AZ26" s="68"/>
      <c r="BA26" s="68"/>
      <c r="BB26" s="221"/>
      <c r="BC26" s="221"/>
      <c r="BD26" s="221"/>
      <c r="BE26" s="221"/>
      <c r="BI26" s="722" t="s">
        <v>319</v>
      </c>
      <c r="BJ26" s="722">
        <v>1</v>
      </c>
      <c r="BK26" s="722" t="s">
        <v>320</v>
      </c>
      <c r="BL26" s="743"/>
      <c r="BM26" s="725"/>
      <c r="BN26" s="735"/>
      <c r="BO26" s="139">
        <f>IF(SUM(BM26:BM28=0),0,SUM(BL26:BL28)/SUM(BM26:BM28))</f>
        <v>0</v>
      </c>
      <c r="BP26" s="736"/>
      <c r="BQ26" s="758"/>
      <c r="BR26" s="727"/>
      <c r="BS26" s="735"/>
      <c r="BT26" s="139">
        <f>IF(SUM(BR26:BR28=0),0,SUM(BQ26:BQ28)/SUM(BR26:BR28))</f>
        <v>0</v>
      </c>
      <c r="BU26" s="736"/>
      <c r="BV26"/>
      <c r="BX26" s="666" t="str">
        <f t="shared" ref="BX26:BX37" si="2">TEXT(CONCATENATE(CC26,"/01/20",CB26),"MMM")</f>
        <v>May</v>
      </c>
      <c r="BY26" s="728">
        <f>IF(CB26=$CB38,SUMIF($BI26:$BI37,$BX26,$BR26:$BR37),SUMIF($BI26:$BI37,$BX26,$BM26:$BM37))</f>
        <v>1.2070000000000001</v>
      </c>
      <c r="BZ26" s="736" t="e">
        <f>IF(IF(CB26=CB38,SUMIF(BI26:BI37,$BX26,BU26:BU37),SUMIF(BI26:BI37,$BX26,BP26:BP37))=0,NA(),IF(CB26=CB38,SUMIF(BI26:BI37,$BX26,BU26:BU37),SUMIF(BI26:BI37,$BX26,BP26:BP37)))</f>
        <v>#N/A</v>
      </c>
      <c r="CA26" s="739">
        <f>IF(IF(CB26=CB38,SUMIF(BI26:BI37,$BX26,BS26:BS37),SUMIF(BI26:BI37,$BX26,BN26:BN37))=0,NA(),IF(CB26=CB38,SUMIF(BI26:BI37,$BX26,BS26:BS37),SUMIF(BI26:BI37,$BX26,BN26:BN37)))</f>
        <v>2.5462962962962961E-4</v>
      </c>
      <c r="CB26" s="730">
        <v>20</v>
      </c>
      <c r="CC26" s="730">
        <f t="shared" ref="CC26:CC36" si="3">IF(CC27-1&lt;1,CC27+11,CC27-1)</f>
        <v>5</v>
      </c>
    </row>
    <row r="27" spans="2:81" s="6" customFormat="1" ht="15.75" customHeight="1">
      <c r="B27" s="44"/>
      <c r="C27" s="44"/>
      <c r="D27" s="44"/>
      <c r="E27" s="78"/>
      <c r="F27" s="94"/>
      <c r="G27" s="186"/>
      <c r="H27" s="190"/>
      <c r="I27" s="242"/>
      <c r="J27" s="242"/>
      <c r="K27" s="190"/>
      <c r="L27" s="190"/>
      <c r="M27" s="182"/>
      <c r="N27" s="182"/>
      <c r="O27" s="182"/>
      <c r="P27" s="182"/>
      <c r="Q27" s="182"/>
      <c r="R27" s="182"/>
      <c r="S27" s="182"/>
      <c r="U27" s="94"/>
      <c r="V27" s="94"/>
      <c r="W27" s="94"/>
      <c r="X27" s="94"/>
      <c r="Y27" s="94"/>
      <c r="Z27" s="97"/>
      <c r="AA27" s="94"/>
      <c r="AB27" s="98"/>
      <c r="AE27" s="64"/>
      <c r="AF27" s="64"/>
      <c r="AG27" s="64"/>
      <c r="AH27" s="64"/>
      <c r="AI27" s="64"/>
      <c r="AJ27" s="97"/>
      <c r="AK27" s="68"/>
      <c r="AL27" s="68"/>
      <c r="AM27" s="68"/>
      <c r="AN27" s="221"/>
      <c r="AO27" s="221"/>
      <c r="AP27" s="221"/>
      <c r="AQ27" s="221"/>
      <c r="AR27" s="68"/>
      <c r="AS27" s="68"/>
      <c r="AT27" s="68"/>
      <c r="AU27" s="221"/>
      <c r="AV27" s="221"/>
      <c r="AW27" s="221"/>
      <c r="AX27" s="221"/>
      <c r="AY27" s="68"/>
      <c r="AZ27" s="68"/>
      <c r="BA27" s="68"/>
      <c r="BB27" s="221"/>
      <c r="BC27" s="221"/>
      <c r="BD27" s="221"/>
      <c r="BE27" s="221"/>
      <c r="BI27" s="722" t="s">
        <v>321</v>
      </c>
      <c r="BJ27" s="722">
        <v>2</v>
      </c>
      <c r="BK27" s="722" t="s">
        <v>320</v>
      </c>
      <c r="BL27" s="743"/>
      <c r="BM27" s="725"/>
      <c r="BN27" s="735"/>
      <c r="BO27"/>
      <c r="BP27" s="736"/>
      <c r="BQ27" s="758"/>
      <c r="BR27" s="727"/>
      <c r="BS27" s="735"/>
      <c r="BT27"/>
      <c r="BU27" s="736"/>
      <c r="BV27"/>
      <c r="BX27" s="666" t="str">
        <f t="shared" si="2"/>
        <v>Jun</v>
      </c>
      <c r="BY27" s="728">
        <f>IF(CB27=$CB38,SUMIF($BI26:$BI37,$BX27,$BR26:$BR37),SUMIF($BI26:$BI37,$BX27,$BM26:$BM37))</f>
        <v>0</v>
      </c>
      <c r="BZ27" s="736" t="e">
        <f>IF(IF(CB27=CB38,SUMIF(BI26:BI37,$BX27,BU26:BU37),SUMIF(BI26:BI37,$BX27,BP26:BP37))=0,NA(),IF(CB27=CB38,SUMIF(BI26:BI37,$BX27,BU26:BU37),SUMIF(BI26:BI37,$BX27,BP26:BP37)))</f>
        <v>#N/A</v>
      </c>
      <c r="CA27" s="739" t="e">
        <f>IF(IF(CB27=CB38,SUMIF(BI26:BI37,$BX27,BS26:BS37),SUMIF(BI26:BI37,$BX27,BN26:BN37))=0,NA(),IF(CB27=CB38,SUMIF(BI26:BI37,$BX27,BS26:BS37),SUMIF(BI26:BI37,$BX27,BN26:BN37)))</f>
        <v>#N/A</v>
      </c>
      <c r="CB27" s="730">
        <v>20</v>
      </c>
      <c r="CC27" s="730">
        <f t="shared" si="3"/>
        <v>6</v>
      </c>
    </row>
    <row r="28" spans="2:81" s="6" customFormat="1" ht="15.75" customHeight="1">
      <c r="B28" s="44" t="s">
        <v>242</v>
      </c>
      <c r="C28" s="44"/>
      <c r="D28" s="44"/>
      <c r="E28" s="87"/>
      <c r="F28" s="94"/>
      <c r="G28" s="94"/>
      <c r="H28" s="94"/>
      <c r="I28" s="94"/>
      <c r="J28" s="94"/>
      <c r="K28" s="94"/>
      <c r="L28" s="94"/>
      <c r="M28" s="94"/>
      <c r="N28" s="94"/>
      <c r="O28" s="94"/>
      <c r="P28" s="94"/>
      <c r="Q28" s="94"/>
      <c r="R28" s="94"/>
      <c r="S28" s="94"/>
      <c r="T28" s="94"/>
      <c r="U28" s="94"/>
      <c r="V28" s="94"/>
      <c r="W28" s="94"/>
      <c r="X28" s="94"/>
      <c r="Y28" s="94"/>
      <c r="Z28" s="94"/>
      <c r="AA28" s="94"/>
      <c r="AB28" s="94"/>
      <c r="AE28" s="44" t="s">
        <v>242</v>
      </c>
      <c r="AF28" s="44"/>
      <c r="AG28" s="44"/>
      <c r="AH28" s="87"/>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I28" s="722" t="s">
        <v>322</v>
      </c>
      <c r="BJ28" s="722">
        <v>3</v>
      </c>
      <c r="BK28" s="722" t="s">
        <v>320</v>
      </c>
      <c r="BL28" s="743"/>
      <c r="BM28" s="725"/>
      <c r="BN28" s="735"/>
      <c r="BO28"/>
      <c r="BP28" s="736"/>
      <c r="BQ28" s="758"/>
      <c r="BR28" s="727"/>
      <c r="BS28" s="735"/>
      <c r="BT28"/>
      <c r="BU28" s="736"/>
      <c r="BV28"/>
      <c r="BX28" s="666" t="str">
        <f t="shared" si="2"/>
        <v>Jul</v>
      </c>
      <c r="BY28" s="728">
        <f>IF(CB28=$CB38,SUMIF($BI26:$BI37,$BX28,$BR26:$BR37),SUMIF($BI26:$BI37,$BX28,$BM26:$BM37))</f>
        <v>0</v>
      </c>
      <c r="BZ28" s="736" t="e">
        <f>IF(IF(CB28=CB38,SUMIF(BI26:BI37,$BX28,BU26:BU37),SUMIF(BI26:BI37,$BX28,BP26:BP37))=0,NA(),IF(CB28=CB38,SUMIF(BI26:BI37,$BX28,BU26:BU37),SUMIF(BI26:BI37,$BX28,BP26:BP37)))</f>
        <v>#N/A</v>
      </c>
      <c r="CA28" s="739" t="e">
        <f>IF(IF(CB28=CB38,SUMIF(BI26:BI37,$BX28,BS26:BS37),SUMIF(BI26:BI37,$BX28,BN26:BN37))=0,NA(),IF(CB28=CB38,SUMIF(BI26:BI37,$BX28,BS26:BS37),SUMIF(BI26:BI37,$BX28,BN26:BN37)))</f>
        <v>#N/A</v>
      </c>
      <c r="CB28" s="730">
        <v>20</v>
      </c>
      <c r="CC28" s="730">
        <f t="shared" si="3"/>
        <v>7</v>
      </c>
    </row>
    <row r="29" spans="2:81" s="6" customFormat="1" ht="15.75" customHeight="1">
      <c r="B29" s="1510" t="s">
        <v>693</v>
      </c>
      <c r="C29" s="1511"/>
      <c r="D29" s="1511"/>
      <c r="E29" s="1511"/>
      <c r="F29" s="1511"/>
      <c r="G29" s="1511"/>
      <c r="H29" s="1511"/>
      <c r="I29" s="1511"/>
      <c r="J29" s="1511"/>
      <c r="K29" s="1511"/>
      <c r="L29" s="1511"/>
      <c r="M29" s="1511"/>
      <c r="N29" s="1511"/>
      <c r="O29" s="1511"/>
      <c r="P29" s="1511"/>
      <c r="Q29" s="1511"/>
      <c r="R29" s="1511"/>
      <c r="S29" s="1511"/>
      <c r="T29" s="1511"/>
      <c r="U29" s="1511"/>
      <c r="V29" s="1511"/>
      <c r="W29" s="1511"/>
      <c r="X29" s="1511"/>
      <c r="Y29" s="1511"/>
      <c r="Z29" s="1511"/>
      <c r="AA29" s="1511"/>
      <c r="AB29" s="1512"/>
      <c r="AE29" s="1510"/>
      <c r="AF29" s="1511"/>
      <c r="AG29" s="1511"/>
      <c r="AH29" s="1511"/>
      <c r="AI29" s="1511"/>
      <c r="AJ29" s="1511"/>
      <c r="AK29" s="1511"/>
      <c r="AL29" s="1511"/>
      <c r="AM29" s="1511"/>
      <c r="AN29" s="1511"/>
      <c r="AO29" s="1511"/>
      <c r="AP29" s="1511"/>
      <c r="AQ29" s="1511"/>
      <c r="AR29" s="1511"/>
      <c r="AS29" s="1511"/>
      <c r="AT29" s="1511"/>
      <c r="AU29" s="1511"/>
      <c r="AV29" s="1511"/>
      <c r="AW29" s="1511"/>
      <c r="AX29" s="1511"/>
      <c r="AY29" s="1511"/>
      <c r="AZ29" s="1511"/>
      <c r="BA29" s="1511"/>
      <c r="BB29" s="1511"/>
      <c r="BC29" s="1511"/>
      <c r="BD29" s="1511"/>
      <c r="BE29" s="1512"/>
      <c r="BI29" s="722" t="s">
        <v>323</v>
      </c>
      <c r="BJ29" s="722">
        <v>4</v>
      </c>
      <c r="BK29" s="722" t="s">
        <v>324</v>
      </c>
      <c r="BL29" s="811"/>
      <c r="BM29" s="725"/>
      <c r="BN29" s="735"/>
      <c r="BO29" s="139">
        <f>IF(SUM(BM29:BM31=0),0,SUM(BL29:BL31)/SUM(BM29:BM31))</f>
        <v>0</v>
      </c>
      <c r="BP29" s="736"/>
      <c r="BQ29" s="751"/>
      <c r="BR29" s="727"/>
      <c r="BS29" s="735"/>
      <c r="BT29" s="139">
        <f>IF(SUM(BR29:BR31=0),0,SUM(BQ29:BQ31)/SUM(BR29:BR31))</f>
        <v>0</v>
      </c>
      <c r="BU29" s="736"/>
      <c r="BV29"/>
      <c r="BX29" s="666" t="str">
        <f t="shared" si="2"/>
        <v>Aug</v>
      </c>
      <c r="BY29" s="728">
        <f>IF(CB29=$CB38,SUMIF($BI26:$BI37,$BX29,$BR26:$BR37),SUMIF($BI26:$BI37,$BX29,$BM26:$BM37))</f>
        <v>0</v>
      </c>
      <c r="BZ29" s="736" t="e">
        <f>IF(IF(CB29=CB38,SUMIF(BI26:BI37,$BX29,BU26:BU37),SUMIF(BI26:BI37,$BX29,BP26:BP37))=0,NA(),IF(CB29=CB38,SUMIF(BI26:BI37,$BX29,BU26:BU37),SUMIF(BI26:BI37,$BX29,BP26:BP37)))</f>
        <v>#N/A</v>
      </c>
      <c r="CA29" s="739" t="e">
        <f>IF(IF(CB29=CB38,SUMIF(BI26:BI37,$BX29,BS26:BS37),SUMIF(BI26:BI37,$BX29,BN26:BN37))=0,NA(),IF(CB29=CB38,SUMIF(BI26:BI37,$BX29,BS26:BS37),SUMIF(BI26:BI37,$BX29,BN26:BN37)))</f>
        <v>#N/A</v>
      </c>
      <c r="CB29" s="730">
        <v>20</v>
      </c>
      <c r="CC29" s="730">
        <f t="shared" si="3"/>
        <v>8</v>
      </c>
    </row>
    <row r="30" spans="2:81" ht="14.65" customHeight="1">
      <c r="B30" s="1513"/>
      <c r="C30" s="1514"/>
      <c r="D30" s="1514"/>
      <c r="E30" s="1514"/>
      <c r="F30" s="1514"/>
      <c r="G30" s="1514"/>
      <c r="H30" s="1514"/>
      <c r="I30" s="1514"/>
      <c r="J30" s="1514"/>
      <c r="K30" s="1514"/>
      <c r="L30" s="1514"/>
      <c r="M30" s="1514"/>
      <c r="N30" s="1514"/>
      <c r="O30" s="1514"/>
      <c r="P30" s="1514"/>
      <c r="Q30" s="1514"/>
      <c r="R30" s="1514"/>
      <c r="S30" s="1514"/>
      <c r="T30" s="1514"/>
      <c r="U30" s="1514"/>
      <c r="V30" s="1514"/>
      <c r="W30" s="1514"/>
      <c r="X30" s="1514"/>
      <c r="Y30" s="1514"/>
      <c r="Z30" s="1514"/>
      <c r="AA30" s="1514"/>
      <c r="AB30" s="1515"/>
      <c r="AC30" s="6"/>
      <c r="AD30" s="6"/>
      <c r="AE30" s="1513"/>
      <c r="AF30" s="1514"/>
      <c r="AG30" s="1514"/>
      <c r="AH30" s="1514"/>
      <c r="AI30" s="1514"/>
      <c r="AJ30" s="1514"/>
      <c r="AK30" s="1514"/>
      <c r="AL30" s="1514"/>
      <c r="AM30" s="1514"/>
      <c r="AN30" s="1514"/>
      <c r="AO30" s="1514"/>
      <c r="AP30" s="1514"/>
      <c r="AQ30" s="1514"/>
      <c r="AR30" s="1514"/>
      <c r="AS30" s="1514"/>
      <c r="AT30" s="1514"/>
      <c r="AU30" s="1514"/>
      <c r="AV30" s="1514"/>
      <c r="AW30" s="1514"/>
      <c r="AX30" s="1514"/>
      <c r="AY30" s="1514"/>
      <c r="AZ30" s="1514"/>
      <c r="BA30" s="1514"/>
      <c r="BB30" s="1514"/>
      <c r="BC30" s="1514"/>
      <c r="BD30" s="1514"/>
      <c r="BE30" s="1515"/>
      <c r="BI30" s="722" t="s">
        <v>325</v>
      </c>
      <c r="BJ30" s="722">
        <v>5</v>
      </c>
      <c r="BK30" s="722" t="s">
        <v>324</v>
      </c>
      <c r="BL30" s="743"/>
      <c r="BM30" s="725"/>
      <c r="BN30" s="735"/>
      <c r="BP30" s="736"/>
      <c r="BQ30" s="758"/>
      <c r="BR30" s="727">
        <v>6.6890000000000001</v>
      </c>
      <c r="BS30" s="815">
        <v>1.5277777777777779E-3</v>
      </c>
      <c r="BU30" s="736"/>
      <c r="BX30" s="666" t="str">
        <f t="shared" si="2"/>
        <v>Sep</v>
      </c>
      <c r="BY30" s="728">
        <f>IF(CB30=$CB38,SUMIF($BI26:$BI37,$BX30,$BR26:$BR37),SUMIF($BI26:$BI37,$BX30,$BM26:$BM37))</f>
        <v>0</v>
      </c>
      <c r="BZ30" s="736" t="e">
        <f>IF(IF(CB30=CB38,SUMIF(BI26:BI37,$BX30,BU26:BU37),SUMIF(BI26:BI37,$BX30,BP26:BP37))=0,NA(),IF(CB30=CB38,SUMIF(BI26:BI37,$BX30,BU26:BU37),SUMIF(BI26:BI37,$BX30,BP26:BP37)))</f>
        <v>#N/A</v>
      </c>
      <c r="CA30" s="739" t="e">
        <f>IF(IF(CB30=CB38,SUMIF(BI26:BI37,$BX30,BS26:BS37),SUMIF(BI26:BI37,$BX30,BN26:BN37))=0,NA(),IF(CB30=CB38,SUMIF(BI26:BI37,$BX30,BS26:BS37),SUMIF(BI26:BI37,$BX30,BN26:BN37)))</f>
        <v>#N/A</v>
      </c>
      <c r="CB30" s="730">
        <v>20</v>
      </c>
      <c r="CC30" s="730">
        <f t="shared" si="3"/>
        <v>9</v>
      </c>
    </row>
    <row r="31" spans="2:81" ht="14.65" customHeight="1">
      <c r="B31" s="1513"/>
      <c r="C31" s="1514"/>
      <c r="D31" s="1514"/>
      <c r="E31" s="1514"/>
      <c r="F31" s="1514"/>
      <c r="G31" s="1514"/>
      <c r="H31" s="1514"/>
      <c r="I31" s="1514"/>
      <c r="J31" s="1514"/>
      <c r="K31" s="1514"/>
      <c r="L31" s="1514"/>
      <c r="M31" s="1514"/>
      <c r="N31" s="1514"/>
      <c r="O31" s="1514"/>
      <c r="P31" s="1514"/>
      <c r="Q31" s="1514"/>
      <c r="R31" s="1514"/>
      <c r="S31" s="1514"/>
      <c r="T31" s="1514"/>
      <c r="U31" s="1514"/>
      <c r="V31" s="1514"/>
      <c r="W31" s="1514"/>
      <c r="X31" s="1514"/>
      <c r="Y31" s="1514"/>
      <c r="Z31" s="1514"/>
      <c r="AA31" s="1514"/>
      <c r="AB31" s="1515"/>
      <c r="AC31" s="6"/>
      <c r="AD31" s="6"/>
      <c r="AE31" s="1513"/>
      <c r="AF31" s="1514"/>
      <c r="AG31" s="1514"/>
      <c r="AH31" s="1514"/>
      <c r="AI31" s="1514"/>
      <c r="AJ31" s="1514"/>
      <c r="AK31" s="1514"/>
      <c r="AL31" s="1514"/>
      <c r="AM31" s="1514"/>
      <c r="AN31" s="1514"/>
      <c r="AO31" s="1514"/>
      <c r="AP31" s="1514"/>
      <c r="AQ31" s="1514"/>
      <c r="AR31" s="1514"/>
      <c r="AS31" s="1514"/>
      <c r="AT31" s="1514"/>
      <c r="AU31" s="1514"/>
      <c r="AV31" s="1514"/>
      <c r="AW31" s="1514"/>
      <c r="AX31" s="1514"/>
      <c r="AY31" s="1514"/>
      <c r="AZ31" s="1514"/>
      <c r="BA31" s="1514"/>
      <c r="BB31" s="1514"/>
      <c r="BC31" s="1514"/>
      <c r="BD31" s="1514"/>
      <c r="BE31" s="1515"/>
      <c r="BI31" s="722" t="s">
        <v>326</v>
      </c>
      <c r="BJ31" s="722">
        <v>6</v>
      </c>
      <c r="BK31" s="722" t="s">
        <v>324</v>
      </c>
      <c r="BL31" s="743"/>
      <c r="BM31" s="725"/>
      <c r="BN31" s="735"/>
      <c r="BP31" s="736"/>
      <c r="BQ31" s="758"/>
      <c r="BR31" s="727">
        <v>4.3419999999999996</v>
      </c>
      <c r="BS31" s="815">
        <v>2.5347222222222221E-3</v>
      </c>
      <c r="BU31" s="736"/>
      <c r="BX31" s="666" t="str">
        <f t="shared" si="2"/>
        <v>Oct</v>
      </c>
      <c r="BY31" s="728">
        <f>IF(CB31=$CB38,SUMIF($BI26:$BI37,$BX31,$BR26:$BR37),SUMIF($BI26:$BI37,$BX31,$BM26:$BM37))</f>
        <v>0</v>
      </c>
      <c r="BZ31" s="736" t="e">
        <f>IF(IF(CB31=CB38,SUMIF(BI26:BI37,$BX31,BU26:BU37),SUMIF(BI26:BI37,$BX31,BP26:BP37))=0,NA(),IF(CB31=CB38,SUMIF(BI26:BI37,$BX31,BU26:BU37),SUMIF(BI26:BI37,$BX31,BP26:BP37)))</f>
        <v>#N/A</v>
      </c>
      <c r="CA31" s="739" t="e">
        <f>IF(IF(CB31=CB38,SUMIF(BI26:BI37,$BX31,BS26:BS37),SUMIF(BI26:BI37,$BX31,BN26:BN37))=0,NA(),IF(CB31=CB38,SUMIF(BI26:BI37,$BX31,BS26:BS37),SUMIF(BI26:BI37,$BX31,BN26:BN37)))</f>
        <v>#N/A</v>
      </c>
      <c r="CB31" s="730">
        <v>20</v>
      </c>
      <c r="CC31" s="730">
        <f t="shared" si="3"/>
        <v>10</v>
      </c>
    </row>
    <row r="32" spans="2:81" ht="14.65" customHeight="1">
      <c r="B32" s="1516"/>
      <c r="C32" s="1517"/>
      <c r="D32" s="1517"/>
      <c r="E32" s="1517"/>
      <c r="F32" s="1517"/>
      <c r="G32" s="1517"/>
      <c r="H32" s="1517"/>
      <c r="I32" s="1517"/>
      <c r="J32" s="1517"/>
      <c r="K32" s="1517"/>
      <c r="L32" s="1517"/>
      <c r="M32" s="1517"/>
      <c r="N32" s="1517"/>
      <c r="O32" s="1517"/>
      <c r="P32" s="1517"/>
      <c r="Q32" s="1517"/>
      <c r="R32" s="1517"/>
      <c r="S32" s="1517"/>
      <c r="T32" s="1517"/>
      <c r="U32" s="1517"/>
      <c r="V32" s="1517"/>
      <c r="W32" s="1517"/>
      <c r="X32" s="1517"/>
      <c r="Y32" s="1517"/>
      <c r="Z32" s="1517"/>
      <c r="AA32" s="1517"/>
      <c r="AB32" s="1518"/>
      <c r="AC32" s="6"/>
      <c r="AD32" s="6"/>
      <c r="AE32" s="1516"/>
      <c r="AF32" s="1517"/>
      <c r="AG32" s="1517"/>
      <c r="AH32" s="1517"/>
      <c r="AI32" s="1517"/>
      <c r="AJ32" s="1517"/>
      <c r="AK32" s="1517"/>
      <c r="AL32" s="1517"/>
      <c r="AM32" s="1517"/>
      <c r="AN32" s="1517"/>
      <c r="AO32" s="1517"/>
      <c r="AP32" s="1517"/>
      <c r="AQ32" s="1517"/>
      <c r="AR32" s="1517"/>
      <c r="AS32" s="1517"/>
      <c r="AT32" s="1517"/>
      <c r="AU32" s="1517"/>
      <c r="AV32" s="1517"/>
      <c r="AW32" s="1517"/>
      <c r="AX32" s="1517"/>
      <c r="AY32" s="1517"/>
      <c r="AZ32" s="1517"/>
      <c r="BA32" s="1517"/>
      <c r="BB32" s="1517"/>
      <c r="BC32" s="1517"/>
      <c r="BD32" s="1517"/>
      <c r="BE32" s="1518"/>
      <c r="BI32" s="722" t="s">
        <v>327</v>
      </c>
      <c r="BJ32" s="722">
        <v>7</v>
      </c>
      <c r="BK32" s="722" t="s">
        <v>328</v>
      </c>
      <c r="BL32" s="743"/>
      <c r="BM32" s="725"/>
      <c r="BN32" s="735"/>
      <c r="BO32" s="139">
        <f>IF(SUM(BM32:BM34=0),0,SUM(BL32:BL34)/SUM(BM32:BM34))</f>
        <v>0</v>
      </c>
      <c r="BP32" s="736"/>
      <c r="BQ32" s="758"/>
      <c r="BR32" s="727">
        <v>1.367</v>
      </c>
      <c r="BS32" s="816">
        <v>5.0925925925925921E-4</v>
      </c>
      <c r="BT32" s="139">
        <f>IF(SUM(BR32:BR34=0),0,SUM(BQ32:BQ34)/SUM(BR32:BR34))</f>
        <v>0</v>
      </c>
      <c r="BU32" s="736"/>
      <c r="BX32" s="666" t="str">
        <f t="shared" si="2"/>
        <v>Nov</v>
      </c>
      <c r="BY32" s="728">
        <f>IF(CB32=$CB38,SUMIF($BI26:$BI37,$BX32,$BR26:$BR37),SUMIF($BI26:$BI37,$BX32,$BM26:$BM37))</f>
        <v>0</v>
      </c>
      <c r="BZ32" s="736" t="e">
        <f>IF(IF(CB32=CB38,SUMIF(BI26:BI37,$BX32,BU26:BU37),SUMIF(BI26:BI37,$BX32,BP26:BP37))=0,NA(),IF(CB32=CB38,SUMIF(BI26:BI37,$BX32,BU26:BU37),SUMIF(BI26:BI37,$BX32,BP26:BP37)))</f>
        <v>#N/A</v>
      </c>
      <c r="CA32" s="739" t="e">
        <f>IF(IF(CB32=CB38,SUMIF(BI26:BI37,$BX32,BS26:BS37),SUMIF(BI26:BI37,$BX32,BN26:BN37))=0,NA(),IF(CB32=CB38,SUMIF(BI26:BI37,$BX32,BS26:BS37),SUMIF(BI26:BI37,$BX32,BN26:BN37)))</f>
        <v>#N/A</v>
      </c>
      <c r="CB32" s="730">
        <v>20</v>
      </c>
      <c r="CC32" s="730">
        <f t="shared" si="3"/>
        <v>11</v>
      </c>
    </row>
    <row r="33" spans="1:81" ht="14.65" customHeight="1">
      <c r="BI33" s="722" t="s">
        <v>329</v>
      </c>
      <c r="BJ33" s="722">
        <v>8</v>
      </c>
      <c r="BK33" s="722" t="s">
        <v>328</v>
      </c>
      <c r="BL33" s="743"/>
      <c r="BM33" s="725"/>
      <c r="BN33" s="735"/>
      <c r="BP33" s="736"/>
      <c r="BQ33" s="758"/>
      <c r="BR33" s="727">
        <v>1.2070000000000001</v>
      </c>
      <c r="BS33" s="816">
        <v>2.5462962962962961E-4</v>
      </c>
      <c r="BU33" s="736"/>
      <c r="BX33" s="666" t="str">
        <f t="shared" si="2"/>
        <v>Dec</v>
      </c>
      <c r="BY33" s="728">
        <f>IF(CB33=$CB38,SUMIF($BI26:$BI37,$BX33,$BR26:$BR37),SUMIF($BI26:$BI37,$BX33,$BM26:$BM37))</f>
        <v>0</v>
      </c>
      <c r="BZ33" s="736" t="e">
        <f>IF(IF(CB33=CB38,SUMIF(BI26:BI37,$BX33,BU26:BU37),SUMIF(BI26:BI37,$BX33,BP26:BP37))=0,NA(),IF(CB33=CB38,SUMIF(BI26:BI37,$BX33,BU26:BU37),SUMIF(BI26:BI37,$BX33,BP26:BP37)))</f>
        <v>#N/A</v>
      </c>
      <c r="CA33" s="739" t="e">
        <f>IF(IF(CB33=CB38,SUMIF(BI26:BI37,$BX33,BS26:BS37),SUMIF(BI26:BI37,$BX33,BN26:BN37))=0,NA(),IF(CB33=CB38,SUMIF(BI26:BI37,$BX33,BS26:BS37),SUMIF(BI26:BI37,$BX33,BN26:BN37)))</f>
        <v>#N/A</v>
      </c>
      <c r="CB33" s="730">
        <v>20</v>
      </c>
      <c r="CC33" s="730">
        <f t="shared" si="3"/>
        <v>12</v>
      </c>
    </row>
    <row r="34" spans="1:81" ht="14.65" hidden="1" customHeight="1">
      <c r="B34" s="28" t="s">
        <v>330</v>
      </c>
      <c r="C34" s="27"/>
      <c r="D34" s="27"/>
      <c r="E34" s="27"/>
      <c r="F34" s="27"/>
      <c r="G34" s="30"/>
      <c r="H34" s="30"/>
      <c r="I34" s="30"/>
      <c r="J34" s="30"/>
      <c r="K34" s="30"/>
      <c r="L34" s="29"/>
      <c r="M34" s="27"/>
      <c r="N34" s="27"/>
      <c r="O34" s="38"/>
      <c r="P34" s="38"/>
      <c r="Q34" s="38"/>
      <c r="R34" s="38"/>
      <c r="S34" s="38"/>
      <c r="T34" s="38"/>
      <c r="U34" s="38"/>
      <c r="V34" s="38"/>
      <c r="W34" s="38"/>
      <c r="X34" s="38"/>
      <c r="Y34" s="38"/>
      <c r="Z34" s="38"/>
      <c r="AA34" s="38"/>
      <c r="AB34" s="38"/>
      <c r="AC34" s="38"/>
      <c r="AD34" s="38"/>
      <c r="AE34" s="38"/>
      <c r="AF34" s="38"/>
      <c r="AG34" s="38"/>
      <c r="AH34" s="38"/>
      <c r="AI34" s="38"/>
      <c r="AJ34" s="38"/>
      <c r="AK34" s="38"/>
      <c r="AL34" s="38"/>
      <c r="AM34" s="38"/>
      <c r="AN34" s="38"/>
      <c r="AO34" s="38"/>
      <c r="AP34" s="38"/>
      <c r="AQ34" s="38"/>
      <c r="AR34" s="38"/>
      <c r="AS34" s="38"/>
      <c r="AT34" s="38"/>
      <c r="AU34" s="38"/>
      <c r="AV34" s="38"/>
      <c r="AW34" s="38"/>
      <c r="AX34" s="38"/>
      <c r="AY34" s="38"/>
      <c r="AZ34" s="38"/>
      <c r="BA34" s="38"/>
      <c r="BB34" s="38"/>
      <c r="BC34" s="38"/>
      <c r="BD34" s="38"/>
      <c r="BE34" s="38"/>
      <c r="BI34" s="722" t="s">
        <v>331</v>
      </c>
      <c r="BJ34" s="722">
        <v>9</v>
      </c>
      <c r="BK34" s="722" t="s">
        <v>328</v>
      </c>
      <c r="BL34" s="743"/>
      <c r="BM34" s="725"/>
      <c r="BN34" s="735"/>
      <c r="BP34" s="736"/>
      <c r="BQ34" s="758"/>
      <c r="BR34" s="727"/>
      <c r="BS34" s="735"/>
      <c r="BU34" s="736"/>
      <c r="BX34" s="666" t="str">
        <f t="shared" si="2"/>
        <v>Jan</v>
      </c>
      <c r="BY34" s="728">
        <f>IF(CB34=$CB38,SUMIF($BI26:$BI37,$BX34,$BR26:$BR37),SUMIF($BI26:$BI37,$BX34,$BM26:$BM37))</f>
        <v>0</v>
      </c>
      <c r="BZ34" s="736" t="e">
        <f>IF(IF(CB34=CB38,SUMIF(BI26:BI37,$BX34,BU26:BU37),SUMIF(BI26:BI37,$BX34,BP26:BP37))=0,NA(),IF(CB34=CB38,SUMIF(BI26:BI37,$BX34,BU26:BU37),SUMIF(BI26:BI37,$BX34,BP26:BP37)))</f>
        <v>#N/A</v>
      </c>
      <c r="CA34" s="739" t="e">
        <f>IF(IF(CB34=CB38,SUMIF(BI26:BI37,$BX34,BS26:BS37),SUMIF(BI26:BI37,$BX34,BN26:BN37))=0,NA(),IF(CB34=CB38,SUMIF(BI26:BI37,$BX34,BS26:BS37),SUMIF(BI26:BI37,$BX34,BN26:BN37)))</f>
        <v>#N/A</v>
      </c>
      <c r="CB34" s="730">
        <v>19</v>
      </c>
      <c r="CC34" s="730">
        <f t="shared" si="3"/>
        <v>1</v>
      </c>
    </row>
    <row r="35" spans="1:81" s="43" customFormat="1" ht="16.149999999999999" hidden="1" customHeight="1">
      <c r="B35" s="1499" t="s">
        <v>332</v>
      </c>
      <c r="C35" s="1499"/>
      <c r="D35" s="1499"/>
      <c r="E35" s="1499"/>
      <c r="F35" s="1499"/>
      <c r="G35" s="1499"/>
      <c r="H35" s="1499"/>
      <c r="I35" s="1499"/>
      <c r="J35" s="1499"/>
      <c r="K35" s="1499" t="s">
        <v>677</v>
      </c>
      <c r="L35" s="1499"/>
      <c r="M35" s="1499"/>
      <c r="N35" s="1499"/>
      <c r="O35" s="1499"/>
      <c r="P35" s="1499"/>
      <c r="Q35" s="1500" t="s">
        <v>678</v>
      </c>
      <c r="R35" s="1500"/>
      <c r="S35" s="1500"/>
      <c r="T35" s="1499" t="s">
        <v>528</v>
      </c>
      <c r="U35" s="1499"/>
      <c r="V35" s="1499"/>
      <c r="W35" s="1499"/>
      <c r="X35" s="1499"/>
      <c r="Y35" s="1499"/>
      <c r="Z35" s="1499"/>
      <c r="AA35" s="1499"/>
      <c r="AB35" s="1499"/>
      <c r="AC35" s="1501" t="s">
        <v>336</v>
      </c>
      <c r="AD35" s="1502"/>
      <c r="AE35" s="1502"/>
      <c r="AF35" s="1502"/>
      <c r="AG35" s="1502"/>
      <c r="AH35" s="1502"/>
      <c r="AI35" s="1502"/>
      <c r="AJ35" s="1502"/>
      <c r="AK35" s="1502"/>
      <c r="AL35" s="1502"/>
      <c r="AM35" s="1502"/>
      <c r="AN35" s="1502"/>
      <c r="AO35" s="1502"/>
      <c r="AP35" s="1502"/>
      <c r="AQ35" s="1502"/>
      <c r="AR35" s="1502"/>
      <c r="AS35" s="1502"/>
      <c r="AT35" s="1502"/>
      <c r="AU35" s="1502"/>
      <c r="AV35" s="1502"/>
      <c r="AW35" s="1502"/>
      <c r="AX35" s="1502"/>
      <c r="AY35" s="1502"/>
      <c r="AZ35" s="1502"/>
      <c r="BA35" s="1502"/>
      <c r="BB35" s="1502"/>
      <c r="BC35" s="1502"/>
      <c r="BD35" s="1502"/>
      <c r="BE35" s="1503"/>
      <c r="BH35" s="223"/>
      <c r="BI35" s="722" t="s">
        <v>337</v>
      </c>
      <c r="BJ35" s="722">
        <v>10</v>
      </c>
      <c r="BK35" s="722" t="s">
        <v>338</v>
      </c>
      <c r="BL35" s="743"/>
      <c r="BM35" s="812"/>
      <c r="BN35" s="735"/>
      <c r="BO35" s="139">
        <f>IF(SUM(BM35:BM37=0),0,SUM(BL35:BL37)/SUM(BM35:BM37))</f>
        <v>0</v>
      </c>
      <c r="BP35" s="736"/>
      <c r="BQ35" s="758"/>
      <c r="BR35" s="813"/>
      <c r="BS35" s="735"/>
      <c r="BT35" s="139">
        <f>IF(SUM(BR35:BR37=0),0,SUM(BQ35:BQ37)/SUM(BR35:BR37))</f>
        <v>0</v>
      </c>
      <c r="BU35" s="736"/>
      <c r="BV35"/>
      <c r="BW35" s="6"/>
      <c r="BX35" s="666" t="str">
        <f t="shared" si="2"/>
        <v>Feb</v>
      </c>
      <c r="BY35" s="728">
        <f>IF(CB35=$CB38,SUMIF($BI26:$BI37,$BX35,$BR26:$BR37),SUMIF($BI26:$BI37,$BX35,$BM26:$BM37))</f>
        <v>0</v>
      </c>
      <c r="BZ35" s="736" t="e">
        <f>IF(IF(CB35=CB38,SUMIF(BI26:BI37,$BX35,BU26:BU37),SUMIF(BI26:BI37,$BX35,BP26:BP37))=0,NA(),IF(CB35=CB38,SUMIF(BI26:BI37,$BX35,BU26:BU37),SUMIF(BI26:BI37,$BX35,BP26:BP37)))</f>
        <v>#N/A</v>
      </c>
      <c r="CA35" s="739" t="e">
        <f>IF(IF(CB35=CB38,SUMIF(BI26:BI37,$BX35,BS26:BS37),SUMIF(BI26:BI37,$BX35,BN26:BN37))=0,NA(),IF(CB35=CB38,SUMIF(BI26:BI37,$BX35,BS26:BS37),SUMIF(BI26:BI37,$BX35,BN26:BN37)))</f>
        <v>#N/A</v>
      </c>
      <c r="CB35" s="730">
        <v>19</v>
      </c>
      <c r="CC35" s="730">
        <f t="shared" si="3"/>
        <v>2</v>
      </c>
    </row>
    <row r="36" spans="1:81" s="43" customFormat="1" ht="16.149999999999999" hidden="1" customHeight="1">
      <c r="B36" s="1499"/>
      <c r="C36" s="1499"/>
      <c r="D36" s="1499"/>
      <c r="E36" s="1499"/>
      <c r="F36" s="1499"/>
      <c r="G36" s="1499"/>
      <c r="H36" s="1499"/>
      <c r="I36" s="1499"/>
      <c r="J36" s="1499"/>
      <c r="K36" s="1499" t="s">
        <v>23</v>
      </c>
      <c r="L36" s="1499"/>
      <c r="M36" s="1499"/>
      <c r="N36" s="1499" t="s">
        <v>339</v>
      </c>
      <c r="O36" s="1499"/>
      <c r="P36" s="1499"/>
      <c r="Q36" s="1500"/>
      <c r="R36" s="1500"/>
      <c r="S36" s="1500"/>
      <c r="T36" s="1500" t="s">
        <v>340</v>
      </c>
      <c r="U36" s="1500"/>
      <c r="V36" s="1500"/>
      <c r="W36" s="1500" t="s">
        <v>341</v>
      </c>
      <c r="X36" s="1500"/>
      <c r="Y36" s="1500"/>
      <c r="Z36" s="1500" t="s">
        <v>342</v>
      </c>
      <c r="AA36" s="1500"/>
      <c r="AB36" s="1500"/>
      <c r="AC36" s="1504"/>
      <c r="AD36" s="1505"/>
      <c r="AE36" s="1505"/>
      <c r="AF36" s="1505"/>
      <c r="AG36" s="1505"/>
      <c r="AH36" s="1505"/>
      <c r="AI36" s="1505"/>
      <c r="AJ36" s="1505"/>
      <c r="AK36" s="1505"/>
      <c r="AL36" s="1505"/>
      <c r="AM36" s="1505"/>
      <c r="AN36" s="1505"/>
      <c r="AO36" s="1505"/>
      <c r="AP36" s="1505"/>
      <c r="AQ36" s="1505"/>
      <c r="AR36" s="1505"/>
      <c r="AS36" s="1505"/>
      <c r="AT36" s="1505"/>
      <c r="AU36" s="1505"/>
      <c r="AV36" s="1505"/>
      <c r="AW36" s="1505"/>
      <c r="AX36" s="1505"/>
      <c r="AY36" s="1505"/>
      <c r="AZ36" s="1505"/>
      <c r="BA36" s="1505"/>
      <c r="BB36" s="1505"/>
      <c r="BC36" s="1505"/>
      <c r="BD36" s="1505"/>
      <c r="BE36" s="1506"/>
      <c r="BH36" s="223"/>
      <c r="BI36" s="722" t="s">
        <v>343</v>
      </c>
      <c r="BJ36" s="722">
        <v>11</v>
      </c>
      <c r="BK36" s="722" t="s">
        <v>338</v>
      </c>
      <c r="BL36" s="743"/>
      <c r="BM36" s="766"/>
      <c r="BN36" s="735"/>
      <c r="BO36"/>
      <c r="BP36" s="736"/>
      <c r="BQ36" s="758"/>
      <c r="BR36" s="810"/>
      <c r="BS36" s="735"/>
      <c r="BT36"/>
      <c r="BU36" s="736"/>
      <c r="BV36"/>
      <c r="BW36" s="6"/>
      <c r="BX36" s="666" t="str">
        <f t="shared" si="2"/>
        <v>Mar</v>
      </c>
      <c r="BY36" s="728">
        <f>IF(CB36=$CB38,SUMIF($BI26:$BI37,$BX36,$BR26:$BR37),SUMIF($BI26:$BI37,$BX36,$BM26:$BM37))</f>
        <v>4.3419999999999996</v>
      </c>
      <c r="BZ36" s="736" t="e">
        <f>IF(IF(CB36=CB38,SUMIF(BI26:BI37,$BX36,BU26:BU37),SUMIF(BI26:BI37,$BX36,BP26:BP37))=0,NA(),IF(CB36=CB38,SUMIF(BI26:BI37,$BX36,BU26:BU37),SUMIF(BI26:BI37,$BX36,BP26:BP37)))</f>
        <v>#N/A</v>
      </c>
      <c r="CA36" s="739">
        <f>IF(IF(CB36=CB38,SUMIF(BI26:BI37,$BX36,BS26:BS37),SUMIF(BI26:BI37,$BX36,BN26:BN37))=0,NA(),IF(CB36=CB38,SUMIF(BI26:BI37,$BX36,BS26:BS37),SUMIF(BI26:BI37,$BX36,BN26:BN37)))</f>
        <v>2.5347222222222221E-3</v>
      </c>
      <c r="CB36" s="730">
        <v>20</v>
      </c>
      <c r="CC36" s="730">
        <f t="shared" si="3"/>
        <v>3</v>
      </c>
    </row>
    <row r="37" spans="1:81" s="43" customFormat="1" ht="16.149999999999999" hidden="1" customHeight="1">
      <c r="B37" s="1499"/>
      <c r="C37" s="1499"/>
      <c r="D37" s="1499"/>
      <c r="E37" s="1499"/>
      <c r="F37" s="1499"/>
      <c r="G37" s="1499"/>
      <c r="H37" s="1499"/>
      <c r="I37" s="1499"/>
      <c r="J37" s="1499"/>
      <c r="K37" s="1499"/>
      <c r="L37" s="1499"/>
      <c r="M37" s="1499"/>
      <c r="N37" s="1499"/>
      <c r="O37" s="1499"/>
      <c r="P37" s="1499"/>
      <c r="Q37" s="1500"/>
      <c r="R37" s="1500"/>
      <c r="S37" s="1500"/>
      <c r="T37" s="1500"/>
      <c r="U37" s="1500"/>
      <c r="V37" s="1500"/>
      <c r="W37" s="1500"/>
      <c r="X37" s="1500"/>
      <c r="Y37" s="1500"/>
      <c r="Z37" s="1500"/>
      <c r="AA37" s="1500"/>
      <c r="AB37" s="1500"/>
      <c r="AC37" s="1507"/>
      <c r="AD37" s="1508"/>
      <c r="AE37" s="1508"/>
      <c r="AF37" s="1508"/>
      <c r="AG37" s="1508"/>
      <c r="AH37" s="1508"/>
      <c r="AI37" s="1508"/>
      <c r="AJ37" s="1508"/>
      <c r="AK37" s="1508"/>
      <c r="AL37" s="1508"/>
      <c r="AM37" s="1508"/>
      <c r="AN37" s="1508"/>
      <c r="AO37" s="1508"/>
      <c r="AP37" s="1508"/>
      <c r="AQ37" s="1508"/>
      <c r="AR37" s="1508"/>
      <c r="AS37" s="1508"/>
      <c r="AT37" s="1508"/>
      <c r="AU37" s="1508"/>
      <c r="AV37" s="1508"/>
      <c r="AW37" s="1508"/>
      <c r="AX37" s="1508"/>
      <c r="AY37" s="1508"/>
      <c r="AZ37" s="1508"/>
      <c r="BA37" s="1508"/>
      <c r="BB37" s="1508"/>
      <c r="BC37" s="1508"/>
      <c r="BD37" s="1508"/>
      <c r="BE37" s="1509"/>
      <c r="BH37" s="223"/>
      <c r="BI37" s="722" t="s">
        <v>344</v>
      </c>
      <c r="BJ37" s="722">
        <v>12</v>
      </c>
      <c r="BK37" s="722" t="s">
        <v>338</v>
      </c>
      <c r="BL37" s="743"/>
      <c r="BM37" s="766"/>
      <c r="BN37" s="735"/>
      <c r="BO37"/>
      <c r="BP37" s="736"/>
      <c r="BQ37" s="758"/>
      <c r="BR37" s="810"/>
      <c r="BS37" s="735"/>
      <c r="BT37"/>
      <c r="BU37" s="736"/>
      <c r="BV37"/>
      <c r="BW37" s="6"/>
      <c r="BX37" s="666" t="str">
        <f t="shared" si="2"/>
        <v>Apr</v>
      </c>
      <c r="BY37" s="728">
        <f>IF(CB37=$CB38,SUMIF($BI26:$BI37,$BX37,$BR26:$BR37),SUMIF($BI26:$BI37,$BX37,$BM26:$BM37))</f>
        <v>1.367</v>
      </c>
      <c r="BZ37" s="736" t="e">
        <f>IF(IF(CB37=CB38,SUMIF(BI26:BI37,$BX37,BU26:BU37),SUMIF(BI26:BI37,$BX37,BP26:BP37))=0,NA(),IF(CB37=CB38,SUMIF(BI26:BI37,$BX37,BU26:BU37),SUMIF(BI26:BI37,$BX37,BP26:BP37)))</f>
        <v>#N/A</v>
      </c>
      <c r="CA37" s="739">
        <f>IF(IF(CB37=CB38,SUMIF(BI26:BI37,$BX37,BS26:BS37),SUMIF(BI26:BI37,$BX37,BN26:BN37))=0,NA(),IF(CB37=CB38,SUMIF(BI26:BI37,$BX37,BS26:BS37),SUMIF(BI26:BI37,$BX37,BN26:BN37)))</f>
        <v>5.0925925925925921E-4</v>
      </c>
      <c r="CB37" s="730">
        <v>20</v>
      </c>
      <c r="CC37" s="730">
        <f>IF(CC38-1&lt;1,CC38+11,CC38-1)</f>
        <v>4</v>
      </c>
    </row>
    <row r="38" spans="1:81" s="6" customFormat="1" ht="46.9" hidden="1" customHeight="1">
      <c r="A38" s="37"/>
      <c r="B38" s="1614"/>
      <c r="C38" s="1614"/>
      <c r="D38" s="1614"/>
      <c r="E38" s="1614"/>
      <c r="F38" s="1614"/>
      <c r="G38" s="1614"/>
      <c r="H38" s="1614"/>
      <c r="I38" s="1614"/>
      <c r="J38" s="1614"/>
      <c r="K38" s="1608">
        <f>SUMIF(MyCC!$BJ$26:$BJ$37,Cover!$M$36,MyCC!$BN$26:$BN$37)</f>
        <v>0</v>
      </c>
      <c r="L38" s="1608"/>
      <c r="M38" s="1608"/>
      <c r="N38" s="1608">
        <f>SUMIF(MyCC!$BK$26:$BK$37,Cover!$M$35,MyCC!$BO$26:$BO$37)</f>
        <v>0</v>
      </c>
      <c r="O38" s="1608"/>
      <c r="P38" s="1608"/>
      <c r="Q38" s="1609">
        <f>SUMIF(MyCC!$BJ$26:$BJ$37,Cover!$M$36,MyCC!$BU$26:$BU$37)</f>
        <v>0</v>
      </c>
      <c r="R38" s="1609"/>
      <c r="S38" s="1609"/>
      <c r="T38" s="1608">
        <f>IF(Cover!$M$36=1,SUMIF($BJ$26:$BJ$37,12,$BN$26:$BN$37),SUMIF(MyCC!$BJ$26:$BJ$37,Cover!$M$36-1,MyCC!$BS$26:$BS$37))</f>
        <v>0</v>
      </c>
      <c r="U38" s="1608"/>
      <c r="V38" s="1608"/>
      <c r="W38" s="1608">
        <f>SUMIF(MyCC!$BJ$26:$BJ$37,Cover!$M$36,MyCC!$BS$26:$BS$37)</f>
        <v>0</v>
      </c>
      <c r="X38" s="1608"/>
      <c r="Y38" s="1608"/>
      <c r="Z38" s="1608">
        <f>SUMIF(MyCC!$BK$26:$BK$37,Cover!$M$35,MyCC!$BT$26:$BT$37)</f>
        <v>0</v>
      </c>
      <c r="AA38" s="1608"/>
      <c r="AB38" s="1608"/>
      <c r="AC38" s="1584"/>
      <c r="AD38" s="1585"/>
      <c r="AE38" s="1585"/>
      <c r="AF38" s="1585"/>
      <c r="AG38" s="1585"/>
      <c r="AH38" s="1585"/>
      <c r="AI38" s="1585"/>
      <c r="AJ38" s="1585"/>
      <c r="AK38" s="1585"/>
      <c r="AL38" s="1585"/>
      <c r="AM38" s="1585"/>
      <c r="AN38" s="1585"/>
      <c r="AO38" s="1585"/>
      <c r="AP38" s="1585"/>
      <c r="AQ38" s="1585"/>
      <c r="AR38" s="1585"/>
      <c r="AS38" s="1585"/>
      <c r="AT38" s="1585"/>
      <c r="AU38" s="1585"/>
      <c r="AV38" s="1585"/>
      <c r="AW38" s="1585"/>
      <c r="AX38" s="1585"/>
      <c r="AY38" s="1585"/>
      <c r="AZ38" s="1585"/>
      <c r="BA38" s="1585"/>
      <c r="BB38" s="1585"/>
      <c r="BC38" s="1585"/>
      <c r="BD38" s="1585"/>
      <c r="BE38" s="1586"/>
      <c r="BI38"/>
      <c r="BJ38" s="2"/>
      <c r="BK38" s="2"/>
      <c r="BL38" s="2"/>
      <c r="BM38" s="2"/>
      <c r="BN38" s="2"/>
      <c r="BO38" s="2"/>
      <c r="BP38" s="2"/>
      <c r="BQ38" s="2"/>
      <c r="BR38" s="2"/>
      <c r="BS38" s="2"/>
      <c r="BT38" s="2"/>
      <c r="BU38"/>
      <c r="BV38"/>
      <c r="BW38" s="667" t="str">
        <f>[2]Cover!$C$44</f>
        <v>MAY FY-20</v>
      </c>
      <c r="BX38" s="666" t="str">
        <f>TEXT(CONCATENATE(CC38,"/01/20",CB38),"MMM")</f>
        <v>May</v>
      </c>
      <c r="BY38" s="728">
        <f>SUMIF($BI26:$BI37,$BX38,$BR26:$BR37)</f>
        <v>1.2070000000000001</v>
      </c>
      <c r="BZ38" s="736" t="e">
        <f>IF(IF(CB38=CB38,SUMIF(BI26:BI37,$BX38,BU26:BU37),SUMIF(BI26:BI37,$BX38,BP26:BP37))=0,NA(),IF(CB38=CB38,SUMIF(BI26:BI37,$BX38,BU26:BU37),SUMIF(BI26:BI37,$BX38,BP26:BP37)))</f>
        <v>#N/A</v>
      </c>
      <c r="CA38" s="739">
        <f>IF(SUMIF($BI26:$BI37,$BX38,$BS26:$BS37)=0,NA(),SUMIF($BI26:$BI37,$BX38,$BS26:$BS37))</f>
        <v>2.5462962962962961E-4</v>
      </c>
      <c r="CB38" s="730">
        <v>20</v>
      </c>
      <c r="CC38" s="730">
        <f>MONTH(DATEVALUE(LEFT(BW38,3)&amp;" 1"))</f>
        <v>5</v>
      </c>
    </row>
    <row r="39" spans="1:81" ht="46.9" hidden="1" customHeight="1">
      <c r="B39" s="1578"/>
      <c r="C39" s="1579"/>
      <c r="D39" s="1579"/>
      <c r="E39" s="1579"/>
      <c r="F39" s="1579"/>
      <c r="G39" s="1579"/>
      <c r="H39" s="1579"/>
      <c r="I39" s="1579"/>
      <c r="J39" s="1580"/>
      <c r="K39" s="1605">
        <f>SUMIF(MyCC!$BJ$45:$BJ$56,Cover!$M$36,MyCC!$BN$45:$BN$56)</f>
        <v>0</v>
      </c>
      <c r="L39" s="1606"/>
      <c r="M39" s="1607"/>
      <c r="N39" s="1605">
        <f>SUMIF(MyCC!$BK$45:$BK$56,Cover!$M$35,MyCC!$BO$45:$BO$56)</f>
        <v>0</v>
      </c>
      <c r="O39" s="1606"/>
      <c r="P39" s="1607"/>
      <c r="Q39" s="1602">
        <f>SUMIF(MyCC!$BJ$45:$BJ$56,Cover!$M$36,MyCC!$BU$45:$BU$56)</f>
        <v>0</v>
      </c>
      <c r="R39" s="1603"/>
      <c r="S39" s="1604"/>
      <c r="T39" s="1605">
        <f>IF(Cover!$M$36=1,SUMIF($BJ$45:$BJ$56,12,$BN$45:$BN$56),SUMIF(MyCC!$BJ$45:$BJ$56,Cover!$M$36-1,MyCC!$BS$45:$BS$56))</f>
        <v>0</v>
      </c>
      <c r="U39" s="1606"/>
      <c r="V39" s="1607"/>
      <c r="W39" s="1605">
        <f>SUMIF(MyCC!$BJ$45:$BJ$56,Cover!$M$36,MyCC!$BS$45:$BS$56)</f>
        <v>0</v>
      </c>
      <c r="X39" s="1606"/>
      <c r="Y39" s="1607"/>
      <c r="Z39" s="1605">
        <f>SUMIF(MyCC!$BK$45:$BK$56,Cover!$M$35,MyCC!$BT$45:$BT$56)</f>
        <v>0</v>
      </c>
      <c r="AA39" s="1606"/>
      <c r="AB39" s="1607"/>
      <c r="AC39" s="1543"/>
      <c r="AD39" s="1544"/>
      <c r="AE39" s="1544"/>
      <c r="AF39" s="1544"/>
      <c r="AG39" s="1544"/>
      <c r="AH39" s="1544"/>
      <c r="AI39" s="1544"/>
      <c r="AJ39" s="1544"/>
      <c r="AK39" s="1544"/>
      <c r="AL39" s="1544"/>
      <c r="AM39" s="1544"/>
      <c r="AN39" s="1544"/>
      <c r="AO39" s="1544"/>
      <c r="AP39" s="1544"/>
      <c r="AQ39" s="1544"/>
      <c r="AR39" s="1544"/>
      <c r="AS39" s="1544"/>
      <c r="AT39" s="1544"/>
      <c r="AU39" s="1544"/>
      <c r="AV39" s="1544"/>
      <c r="AW39" s="1544"/>
      <c r="AX39" s="1544"/>
      <c r="AY39" s="1544"/>
      <c r="AZ39" s="1544"/>
      <c r="BA39" s="1544"/>
      <c r="BB39" s="1544"/>
      <c r="BC39" s="1544"/>
      <c r="BD39" s="1544"/>
      <c r="BE39" s="1545"/>
      <c r="BF39" s="6"/>
      <c r="BH39" s="6"/>
    </row>
    <row r="40" spans="1:81" customFormat="1" ht="46.9" hidden="1" customHeight="1">
      <c r="A40" s="37"/>
      <c r="B40" s="1614"/>
      <c r="C40" s="1618"/>
      <c r="D40" s="1618"/>
      <c r="E40" s="1618"/>
      <c r="F40" s="1618"/>
      <c r="G40" s="1618"/>
      <c r="H40" s="1618"/>
      <c r="I40" s="1618"/>
      <c r="J40" s="1618"/>
      <c r="K40" s="1520">
        <f>SUMIF(MyCC!$BJ$64:$BJ$75,Cover!$M$36,MyCC!$BN$64:$BN$75)</f>
        <v>0</v>
      </c>
      <c r="L40" s="1520"/>
      <c r="M40" s="1520"/>
      <c r="N40" s="1520">
        <f>SUMIF(MyCC!$BK$64:$BK$75,Cover!$M$35,MyCC!$BO$64:$BO$75)</f>
        <v>0</v>
      </c>
      <c r="O40" s="1520"/>
      <c r="P40" s="1520"/>
      <c r="Q40" s="1610">
        <f>SUMIF(MyCC!$BJ$64:$BJ$75,Cover!$M$36,MyCC!$BU$64:$BU$75)</f>
        <v>0</v>
      </c>
      <c r="R40" s="1610"/>
      <c r="S40" s="1610"/>
      <c r="T40" s="1520">
        <f>IF(Cover!$M$36=1,SUMIF($BJ$64:$BJ$75,12,$BN$64:$BN$75),SUMIF(MyCC!$BJ$64:$BJ$75,Cover!$M$36-1,MyCC!$BS$64:$BS$75))</f>
        <v>0</v>
      </c>
      <c r="U40" s="1520"/>
      <c r="V40" s="1520"/>
      <c r="W40" s="1520">
        <f>SUMIF(MyCC!$BJ$64:$BJ$75,Cover!$M$36,MyCC!$BS$64:$BS$75)</f>
        <v>0</v>
      </c>
      <c r="X40" s="1520"/>
      <c r="Y40" s="1520"/>
      <c r="Z40" s="1520">
        <f>SUMIF(MyCC!$BK$64:$BK$75,Cover!$M$35,MyCC!$BT$64:$BT$75)</f>
        <v>0</v>
      </c>
      <c r="AA40" s="1520"/>
      <c r="AB40" s="1520"/>
      <c r="AC40" s="1584"/>
      <c r="AD40" s="1585"/>
      <c r="AE40" s="1585"/>
      <c r="AF40" s="1585"/>
      <c r="AG40" s="1585"/>
      <c r="AH40" s="1585"/>
      <c r="AI40" s="1585"/>
      <c r="AJ40" s="1585"/>
      <c r="AK40" s="1585"/>
      <c r="AL40" s="1585"/>
      <c r="AM40" s="1585"/>
      <c r="AN40" s="1585"/>
      <c r="AO40" s="1585"/>
      <c r="AP40" s="1585"/>
      <c r="AQ40" s="1585"/>
      <c r="AR40" s="1585"/>
      <c r="AS40" s="1585"/>
      <c r="AT40" s="1585"/>
      <c r="AU40" s="1585"/>
      <c r="AV40" s="1585"/>
      <c r="AW40" s="1585"/>
      <c r="AX40" s="1585"/>
      <c r="AY40" s="1585"/>
      <c r="AZ40" s="1585"/>
      <c r="BA40" s="1585"/>
      <c r="BB40" s="1585"/>
      <c r="BC40" s="1585"/>
      <c r="BD40" s="1585"/>
      <c r="BE40" s="1586"/>
      <c r="BF40" s="6"/>
      <c r="BH40" s="6"/>
      <c r="BI40" s="1" t="s">
        <v>292</v>
      </c>
      <c r="BJ40" s="1526"/>
      <c r="BK40" s="1526"/>
      <c r="BL40" s="1526"/>
      <c r="BM40" s="1526"/>
      <c r="BN40" s="1526"/>
      <c r="BO40" s="1526"/>
      <c r="BP40" s="1526"/>
      <c r="BQ40" s="1526"/>
      <c r="BR40" s="1526"/>
      <c r="BS40" s="1526"/>
      <c r="BT40" s="1526"/>
      <c r="BU40" s="1526"/>
      <c r="BW40" s="6"/>
      <c r="BX40" s="6"/>
    </row>
    <row r="41" spans="1:81" s="6" customFormat="1" ht="14.65" hidden="1" customHeight="1">
      <c r="A41" s="37"/>
      <c r="B41" s="26"/>
      <c r="C41" s="23"/>
      <c r="D41" s="37"/>
      <c r="E41" s="37"/>
      <c r="F41" s="37"/>
      <c r="G41" s="37"/>
      <c r="H41" s="37"/>
      <c r="AB41" s="26"/>
      <c r="AC41" s="26"/>
      <c r="AD41" s="24"/>
      <c r="AE41" s="23"/>
      <c r="AF41" s="23"/>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I41" s="54" t="s">
        <v>296</v>
      </c>
      <c r="BJ41" s="165"/>
      <c r="BK41" s="165"/>
      <c r="BL41" s="165"/>
      <c r="BM41" s="165"/>
      <c r="BN41" s="165"/>
      <c r="BO41" s="165"/>
      <c r="BP41" s="165"/>
      <c r="BQ41" s="165"/>
      <c r="BR41" s="165"/>
      <c r="BS41" s="165"/>
      <c r="BT41" s="165"/>
      <c r="BU41" s="165"/>
      <c r="BV41"/>
      <c r="BW41"/>
      <c r="BX41"/>
    </row>
    <row r="42" spans="1:81" s="6" customFormat="1" ht="14.65" hidden="1" customHeight="1" thickBot="1">
      <c r="A42"/>
      <c r="B42" s="26"/>
      <c r="C42" s="23"/>
      <c r="D42" s="37"/>
      <c r="E42" s="37"/>
      <c r="F42" s="37"/>
      <c r="G42" s="37"/>
      <c r="H42" s="37"/>
      <c r="AB42" s="26"/>
      <c r="AC42" s="26"/>
      <c r="AD42" s="24"/>
      <c r="AE42" s="23"/>
      <c r="AF42" s="23"/>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c r="BI42" s="1" t="s">
        <v>300</v>
      </c>
      <c r="BJ42" s="165"/>
      <c r="BK42" s="165"/>
      <c r="BL42" s="165"/>
      <c r="BM42" s="165"/>
      <c r="BN42" s="165"/>
      <c r="BO42" s="165"/>
      <c r="BP42" s="165"/>
      <c r="BQ42" s="165"/>
      <c r="BR42" s="165"/>
      <c r="BS42" s="165"/>
      <c r="BT42" s="165"/>
      <c r="BU42" s="165"/>
      <c r="BV42"/>
      <c r="BY42"/>
      <c r="BZ42"/>
      <c r="CA42"/>
      <c r="CB42"/>
      <c r="CC42"/>
    </row>
    <row r="43" spans="1:81" s="6" customFormat="1" ht="14.65" hidden="1" customHeight="1" thickBot="1">
      <c r="B43" s="26"/>
      <c r="C43" s="23"/>
      <c r="D43" s="37"/>
      <c r="E43" s="37"/>
      <c r="F43" s="37"/>
      <c r="G43" s="37"/>
      <c r="H43" s="37"/>
      <c r="AB43" s="26"/>
      <c r="AC43" s="26"/>
      <c r="AD43" s="24"/>
      <c r="AE43" s="23"/>
      <c r="AF43" s="23"/>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I43" s="2"/>
      <c r="BJ43" s="2"/>
      <c r="BK43" s="2"/>
      <c r="BL43" s="1490" t="s">
        <v>683</v>
      </c>
      <c r="BM43" s="1491"/>
      <c r="BN43" s="1491"/>
      <c r="BO43" s="1491"/>
      <c r="BP43" s="1521"/>
      <c r="BQ43" s="1490" t="s">
        <v>487</v>
      </c>
      <c r="BR43" s="1491"/>
      <c r="BS43" s="1491"/>
      <c r="BT43" s="1491"/>
      <c r="BU43" s="1492"/>
      <c r="BV43"/>
      <c r="BW43" s="1490" t="s">
        <v>303</v>
      </c>
      <c r="BX43" s="1491"/>
      <c r="BY43" s="1491"/>
      <c r="BZ43" s="1491"/>
      <c r="CA43" s="1491"/>
      <c r="CB43" s="1491"/>
      <c r="CC43" s="1492"/>
    </row>
    <row r="44" spans="1:81" s="6" customFormat="1" ht="14.65" hidden="1" customHeight="1">
      <c r="B44" s="26"/>
      <c r="C44" s="23"/>
      <c r="D44" s="37"/>
      <c r="E44" s="37"/>
      <c r="F44" s="37"/>
      <c r="G44" s="37"/>
      <c r="H44" s="37"/>
      <c r="I44" s="37"/>
      <c r="J44" s="37"/>
      <c r="K44" s="37"/>
      <c r="L44" s="37"/>
      <c r="M44" s="37"/>
      <c r="N44" s="37"/>
      <c r="O44" s="37"/>
      <c r="P44" s="37"/>
      <c r="Q44" s="37"/>
      <c r="R44" s="37"/>
      <c r="S44" s="37"/>
      <c r="T44" s="37"/>
      <c r="U44" s="37"/>
      <c r="V44" s="23"/>
      <c r="W44" s="23"/>
      <c r="X44" s="23"/>
      <c r="Y44" s="25"/>
      <c r="Z44" s="25"/>
      <c r="AA44" s="25"/>
      <c r="AB44" s="25"/>
      <c r="AC44" s="25"/>
      <c r="AD44" s="24"/>
      <c r="AE44" s="23"/>
      <c r="AF44" s="23"/>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I44" s="720" t="s">
        <v>23</v>
      </c>
      <c r="BJ44" s="720" t="s">
        <v>37</v>
      </c>
      <c r="BK44" s="720" t="s">
        <v>304</v>
      </c>
      <c r="BL44" s="721" t="s">
        <v>305</v>
      </c>
      <c r="BM44" s="721" t="s">
        <v>306</v>
      </c>
      <c r="BN44" s="721" t="s">
        <v>679</v>
      </c>
      <c r="BO44" s="135" t="s">
        <v>680</v>
      </c>
      <c r="BP44" s="721" t="s">
        <v>490</v>
      </c>
      <c r="BQ44" s="721" t="s">
        <v>305</v>
      </c>
      <c r="BR44" s="721" t="s">
        <v>681</v>
      </c>
      <c r="BS44" s="721" t="s">
        <v>488</v>
      </c>
      <c r="BT44" s="135" t="s">
        <v>489</v>
      </c>
      <c r="BU44" s="721" t="s">
        <v>682</v>
      </c>
      <c r="BV44"/>
      <c r="BW44" s="164" t="s">
        <v>314</v>
      </c>
      <c r="BX44" s="164" t="s">
        <v>23</v>
      </c>
      <c r="BY44" s="168" t="s">
        <v>315</v>
      </c>
      <c r="BZ44" s="164" t="s">
        <v>122</v>
      </c>
      <c r="CA44" s="164" t="s">
        <v>316</v>
      </c>
      <c r="CB44" s="164" t="s">
        <v>317</v>
      </c>
      <c r="CC44" s="164" t="s">
        <v>318</v>
      </c>
    </row>
    <row r="45" spans="1:81" s="6" customFormat="1" ht="14.65" hidden="1"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I45" s="722" t="s">
        <v>319</v>
      </c>
      <c r="BJ45" s="722">
        <v>1</v>
      </c>
      <c r="BK45" s="722" t="s">
        <v>320</v>
      </c>
      <c r="BL45" s="743"/>
      <c r="BM45" s="744"/>
      <c r="BN45" s="736"/>
      <c r="BO45" s="139">
        <f>IF(SUM(BM45:BM47=0),0,SUM(BL45:BL47)/SUM(BM45:BM47))</f>
        <v>0</v>
      </c>
      <c r="BP45" s="736"/>
      <c r="BQ45" s="758"/>
      <c r="BR45" s="814"/>
      <c r="BS45" s="735"/>
      <c r="BT45" s="139">
        <f>IF(SUM(BR45:BR47=0),0,SUM(BQ45:BQ47)/SUM(BR45:BR47))</f>
        <v>0</v>
      </c>
      <c r="BU45" s="736"/>
      <c r="BV45"/>
      <c r="BX45" s="666" t="str">
        <f t="shared" ref="BX45:BX56" si="4">TEXT(CONCATENATE(CC45,"/01/20",CB45),"MMM")</f>
        <v>May</v>
      </c>
      <c r="BY45" s="728">
        <f>IF(CB45=$CB57,SUMIF($BI45:$BI56,$BX45,$BR45:$BR56),SUMIF($BI45:$BI56,$BX45,$BM45:$BM56))</f>
        <v>0</v>
      </c>
      <c r="BZ45" s="736" t="e">
        <f>IF(IF(CB45=CB57,SUMIF(BI45:BI56,$BX45,BU45:BU56),SUMIF(BI45:BI56,$BX45,BP45:BP56))=0,NA(),IF(CB45=CB57,SUMIF(BI45:BI56,$BX45,BU45:BU56),SUMIF(BI45:BI56,$BX45,BP45:BP56)))</f>
        <v>#N/A</v>
      </c>
      <c r="CA45" s="739" t="e">
        <f>IF(IF(CB45=CB57,SUMIF(BI45:BI56,$BX45,BS45:BS56),SUMIF(BI45:BI56,$BX45,BN45:BN56))=0,NA(),IF(CB45=CB57,SUMIF(BI45:BI56,$BX45,BS45:BS56),SUMIF(BI45:BI56,$BX45,BN45:BN56)))</f>
        <v>#N/A</v>
      </c>
      <c r="CB45" s="730">
        <v>19</v>
      </c>
      <c r="CC45" s="730">
        <f t="shared" ref="CC45:CC55" si="5">IF(CC46-1&lt;1,CC46+11,CC46-1)</f>
        <v>5</v>
      </c>
    </row>
    <row r="46" spans="1:81" s="6" customFormat="1" ht="14.65" hidden="1" customHeight="1">
      <c r="B46" s="45" t="s">
        <v>350</v>
      </c>
      <c r="C46" s="46"/>
      <c r="D46" s="46"/>
      <c r="E46" s="46"/>
      <c r="F46" s="46"/>
      <c r="G46" s="11"/>
      <c r="H46" s="11"/>
      <c r="I46" s="11"/>
      <c r="J46" s="11"/>
      <c r="K46" s="11"/>
      <c r="L46" s="48"/>
      <c r="M46" s="46"/>
      <c r="N46" s="4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I46" s="722" t="s">
        <v>321</v>
      </c>
      <c r="BJ46" s="722">
        <v>2</v>
      </c>
      <c r="BK46" s="722" t="s">
        <v>320</v>
      </c>
      <c r="BL46" s="743"/>
      <c r="BM46" s="744"/>
      <c r="BN46" s="736"/>
      <c r="BO46"/>
      <c r="BP46" s="736"/>
      <c r="BQ46" s="758"/>
      <c r="BR46" s="814"/>
      <c r="BS46" s="735"/>
      <c r="BT46"/>
      <c r="BU46" s="736"/>
      <c r="BV46"/>
      <c r="BX46" s="666" t="str">
        <f t="shared" si="4"/>
        <v>Jun</v>
      </c>
      <c r="BY46" s="728">
        <f>IF(CB46=$CB57,SUMIF($BI45:$BI56,$BX46,$BR45:$BR56),SUMIF($BI45:$BI56,$BX46,$BM45:$BM56))</f>
        <v>0</v>
      </c>
      <c r="BZ46" s="736" t="e">
        <f>IF(IF(CB46=CB57,SUMIF(BI45:BI56,$BX46,BU45:BU56),SUMIF(BI45:BI56,$BX46,BP45:BP56))=0,NA(),IF(CB46=CB57,SUMIF(BI45:BI56,$BX46,BU45:BU56),SUMIF(BI45:BI56,$BX46,BP45:BP56)))</f>
        <v>#N/A</v>
      </c>
      <c r="CA46" s="739" t="e">
        <f>IF(IF(CB46=CB57,SUMIF(BI45:BI56,$BX46,BS45:BS56),SUMIF(BI45:BI56,$BX46,BN45:BN56))=0,NA(),IF(CB46=CB57,SUMIF(BI45:BI56,$BX46,BS45:BS56),SUMIF(BI45:BI56,$BX46,BN45:BN56)))</f>
        <v>#N/A</v>
      </c>
      <c r="CB46" s="730">
        <v>19</v>
      </c>
      <c r="CC46" s="730">
        <f t="shared" si="5"/>
        <v>6</v>
      </c>
    </row>
    <row r="47" spans="1:81" s="6" customFormat="1" ht="14.65" hidden="1" customHeight="1">
      <c r="F47" s="21"/>
      <c r="G47" s="22"/>
      <c r="BI47" s="722" t="s">
        <v>322</v>
      </c>
      <c r="BJ47" s="722">
        <v>3</v>
      </c>
      <c r="BK47" s="722" t="s">
        <v>320</v>
      </c>
      <c r="BL47" s="743"/>
      <c r="BM47" s="744"/>
      <c r="BN47" s="736"/>
      <c r="BO47"/>
      <c r="BP47" s="736"/>
      <c r="BQ47" s="758"/>
      <c r="BR47" s="814"/>
      <c r="BS47" s="735"/>
      <c r="BT47"/>
      <c r="BU47" s="736"/>
      <c r="BV47"/>
      <c r="BX47" s="666" t="str">
        <f t="shared" si="4"/>
        <v>Jul</v>
      </c>
      <c r="BY47" s="728">
        <f>IF(CB47=$CB57,SUMIF($BI45:$BI56,$BX47,$BR45:$BR56),SUMIF($BI45:$BI56,$BX47,$BM45:$BM56))</f>
        <v>0</v>
      </c>
      <c r="BZ47" s="736" t="e">
        <f>IF(IF(CB47=CB57,SUMIF(BI45:BI56,$BX47,BU45:BU56),SUMIF(BI45:BI56,$BX47,BP45:BP56))=0,NA(),IF(CB47=CB57,SUMIF(BI45:BI56,$BX47,BU45:BU56),SUMIF(BI45:BI56,$BX47,BP45:BP56)))</f>
        <v>#N/A</v>
      </c>
      <c r="CA47" s="739" t="e">
        <f>IF(IF(CB47=CB57,SUMIF(BI45:BI56,$BX47,BS45:BS56),SUMIF(BI45:BI56,$BX47,BN45:BN56))=0,NA(),IF(CB47=CB57,SUMIF(BI45:BI56,$BX47,BS45:BS56),SUMIF(BI45:BI56,$BX47,BN45:BN56)))</f>
        <v>#N/A</v>
      </c>
      <c r="CB47" s="730">
        <v>19</v>
      </c>
      <c r="CC47" s="730">
        <f t="shared" si="5"/>
        <v>7</v>
      </c>
    </row>
    <row r="48" spans="1:81" s="6" customFormat="1" ht="14.65" hidden="1" customHeight="1">
      <c r="B48" s="52"/>
      <c r="F48" s="21"/>
      <c r="G48" s="22"/>
      <c r="AD48"/>
      <c r="BI48" s="722" t="s">
        <v>323</v>
      </c>
      <c r="BJ48" s="722">
        <v>4</v>
      </c>
      <c r="BK48" s="722" t="s">
        <v>324</v>
      </c>
      <c r="BL48" s="743"/>
      <c r="BM48" s="744"/>
      <c r="BN48" s="736"/>
      <c r="BO48" s="139">
        <f>IF(SUM(BM48:BM50=0),0,SUM(BL48:BL50)/SUM(BM48:BM50))</f>
        <v>0</v>
      </c>
      <c r="BP48" s="736"/>
      <c r="BQ48" s="758"/>
      <c r="BR48" s="814"/>
      <c r="BS48" s="735"/>
      <c r="BT48" s="139">
        <f>IF(SUM(BR48:BR50=0),0,SUM(BQ48:BQ50)/SUM(BR48:BR50))</f>
        <v>0</v>
      </c>
      <c r="BU48" s="736"/>
      <c r="BV48"/>
      <c r="BX48" s="666" t="str">
        <f t="shared" si="4"/>
        <v>Aug</v>
      </c>
      <c r="BY48" s="728">
        <f>IF(CB48=$CB57,SUMIF($BI45:$BI56,$BX48,$BR45:$BR56),SUMIF($BI45:$BI56,$BX48,$BM45:$BM56))</f>
        <v>0</v>
      </c>
      <c r="BZ48" s="736" t="e">
        <f>IF(IF(CB48=CB57,SUMIF(BI45:BI56,$BX48,BU45:BU56),SUMIF(BI45:BI56,$BX48,BP45:BP56))=0,NA(),IF(CB48=CB57,SUMIF(BI45:BI56,$BX48,BU45:BU56),SUMIF(BI45:BI56,$BX48,BP45:BP56)))</f>
        <v>#N/A</v>
      </c>
      <c r="CA48" s="739" t="e">
        <f>IF(IF(CB48=CB57,SUMIF(BI45:BI56,$BX48,BS45:BS56),SUMIF(BI45:BI56,$BX48,BN45:BN56))=0,NA(),IF(CB48=CB57,SUMIF(BI45:BI56,$BX48,BS45:BS56),SUMIF(BI45:BI56,$BX48,BN45:BN56)))</f>
        <v>#N/A</v>
      </c>
      <c r="CB48" s="730">
        <v>19</v>
      </c>
      <c r="CC48" s="730">
        <f t="shared" si="5"/>
        <v>8</v>
      </c>
    </row>
    <row r="49" spans="61:81" s="6" customFormat="1" ht="14.65" hidden="1" customHeight="1">
      <c r="BI49" s="722" t="s">
        <v>325</v>
      </c>
      <c r="BJ49" s="722">
        <v>5</v>
      </c>
      <c r="BK49" s="722" t="s">
        <v>324</v>
      </c>
      <c r="BL49" s="743"/>
      <c r="BM49" s="744"/>
      <c r="BN49" s="736"/>
      <c r="BO49"/>
      <c r="BP49" s="736"/>
      <c r="BQ49" s="758"/>
      <c r="BR49" s="814"/>
      <c r="BS49" s="735"/>
      <c r="BT49"/>
      <c r="BU49" s="736"/>
      <c r="BV49"/>
      <c r="BX49" s="666" t="str">
        <f t="shared" si="4"/>
        <v>Sep</v>
      </c>
      <c r="BY49" s="728">
        <f>IF(CB49=$CB57,SUMIF($BI45:$BI56,$BX49,$BR45:$BR56),SUMIF($BI45:$BI56,$BX49,$BM45:$BM56))</f>
        <v>0</v>
      </c>
      <c r="BZ49" s="736" t="e">
        <f>IF(IF(CB49=CB57,SUMIF(BI45:BI56,$BX49,BU45:BU56),SUMIF(BI45:BI56,$BX49,BP45:BP56))=0,NA(),IF(CB49=CB57,SUMIF(BI45:BI56,$BX49,BU45:BU56),SUMIF(BI45:BI56,$BX49,BP45:BP56)))</f>
        <v>#N/A</v>
      </c>
      <c r="CA49" s="739" t="e">
        <f>IF(IF(CB49=CB57,SUMIF(BI45:BI56,$BX49,BS45:BS56),SUMIF(BI45:BI56,$BX49,BN45:BN56))=0,NA(),IF(CB49=CB57,SUMIF(BI45:BI56,$BX49,BS45:BS56),SUMIF(BI45:BI56,$BX49,BN45:BN56)))</f>
        <v>#N/A</v>
      </c>
      <c r="CB49" s="730">
        <v>19</v>
      </c>
      <c r="CC49" s="730">
        <f t="shared" si="5"/>
        <v>9</v>
      </c>
    </row>
    <row r="50" spans="61:81" s="6" customFormat="1" ht="14.65" hidden="1" customHeight="1">
      <c r="BI50" s="722" t="s">
        <v>326</v>
      </c>
      <c r="BJ50" s="722">
        <v>6</v>
      </c>
      <c r="BK50" s="722" t="s">
        <v>324</v>
      </c>
      <c r="BL50" s="743"/>
      <c r="BM50" s="744"/>
      <c r="BN50" s="736"/>
      <c r="BO50"/>
      <c r="BP50" s="736"/>
      <c r="BQ50" s="758"/>
      <c r="BR50" s="814"/>
      <c r="BS50" s="735"/>
      <c r="BT50"/>
      <c r="BU50" s="736"/>
      <c r="BV50"/>
      <c r="BX50" s="666" t="str">
        <f t="shared" si="4"/>
        <v>Oct</v>
      </c>
      <c r="BY50" s="728">
        <f>IF(CB50=$CB57,SUMIF($BI45:$BI56,$BX50,$BR45:$BR56),SUMIF($BI45:$BI56,$BX50,$BM45:$BM56))</f>
        <v>0</v>
      </c>
      <c r="BZ50" s="736" t="e">
        <f>IF(IF(CB50=CB57,SUMIF(BI45:BI56,$BX50,BU45:BU56),SUMIF(BI45:BI56,$BX50,BP45:BP56))=0,NA(),IF(CB50=CB57,SUMIF(BI45:BI56,$BX50,BU45:BU56),SUMIF(BI45:BI56,$BX50,BP45:BP56)))</f>
        <v>#N/A</v>
      </c>
      <c r="CA50" s="739" t="e">
        <f>IF(IF(CB50=CB57,SUMIF(BI45:BI56,$BX50,BS45:BS56),SUMIF(BI45:BI56,$BX50,BN45:BN56))=0,NA(),IF(CB50=CB57,SUMIF(BI45:BI56,$BX50,BS45:BS56),SUMIF(BI45:BI56,$BX50,BN45:BN56)))</f>
        <v>#N/A</v>
      </c>
      <c r="CB50" s="730">
        <v>19</v>
      </c>
      <c r="CC50" s="730">
        <f t="shared" si="5"/>
        <v>10</v>
      </c>
    </row>
    <row r="51" spans="61:81" s="6" customFormat="1" ht="14.65" hidden="1" customHeight="1">
      <c r="BI51" s="722" t="s">
        <v>327</v>
      </c>
      <c r="BJ51" s="722">
        <v>7</v>
      </c>
      <c r="BK51" s="722" t="s">
        <v>328</v>
      </c>
      <c r="BL51" s="743"/>
      <c r="BM51" s="744"/>
      <c r="BN51" s="736"/>
      <c r="BO51" s="139">
        <f>IF(SUM(BM51:BM53=0),0,SUM(BL51:BL53)/SUM(BM51:BM53))</f>
        <v>0</v>
      </c>
      <c r="BP51" s="736"/>
      <c r="BQ51" s="758"/>
      <c r="BR51" s="814"/>
      <c r="BS51" s="735"/>
      <c r="BT51" s="139">
        <f>IF(SUM(BR51:BR53=0),0,SUM(BQ51:BQ53)/SUM(BR51:BR53))</f>
        <v>0</v>
      </c>
      <c r="BU51" s="736"/>
      <c r="BV51"/>
      <c r="BX51" s="666" t="str">
        <f t="shared" si="4"/>
        <v>Nov</v>
      </c>
      <c r="BY51" s="728">
        <f>IF(CB51=$CB57,SUMIF($BI45:$BI56,$BX51,$BR45:$BR56),SUMIF($BI45:$BI56,$BX51,$BM45:$BM56))</f>
        <v>0</v>
      </c>
      <c r="BZ51" s="736" t="e">
        <f>IF(IF(CB51=CB57,SUMIF(BI45:BI56,$BX51,BU45:BU56),SUMIF(BI45:BI56,$BX51,BP45:BP56))=0,NA(),IF(CB51=CB57,SUMIF(BI45:BI56,$BX51,BU45:BU56),SUMIF(BI45:BI56,$BX51,BP45:BP56)))</f>
        <v>#N/A</v>
      </c>
      <c r="CA51" s="739" t="e">
        <f>IF(IF(CB51=CB57,SUMIF(BI45:BI56,$BX51,BS45:BS56),SUMIF(BI45:BI56,$BX51,BN45:BN56))=0,NA(),IF(CB51=CB57,SUMIF(BI45:BI56,$BX51,BS45:BS56),SUMIF(BI45:BI56,$BX51,BN45:BN56)))</f>
        <v>#N/A</v>
      </c>
      <c r="CB51" s="730">
        <v>19</v>
      </c>
      <c r="CC51" s="730">
        <f t="shared" si="5"/>
        <v>11</v>
      </c>
    </row>
    <row r="52" spans="61:81" s="6" customFormat="1" ht="14.65" hidden="1" customHeight="1">
      <c r="BI52" s="722" t="s">
        <v>329</v>
      </c>
      <c r="BJ52" s="722">
        <v>8</v>
      </c>
      <c r="BK52" s="722" t="s">
        <v>328</v>
      </c>
      <c r="BL52" s="743"/>
      <c r="BM52" s="744"/>
      <c r="BN52" s="736"/>
      <c r="BO52"/>
      <c r="BP52" s="736"/>
      <c r="BQ52" s="758"/>
      <c r="BR52" s="814"/>
      <c r="BS52" s="735"/>
      <c r="BT52"/>
      <c r="BU52" s="736"/>
      <c r="BV52"/>
      <c r="BX52" s="666" t="str">
        <f t="shared" si="4"/>
        <v>Dec</v>
      </c>
      <c r="BY52" s="728">
        <f>IF(CB52=$CB57,SUMIF($BI45:$BI56,$BX52,$BR45:$BR56),SUMIF($BI45:$BI56,$BX52,$BM45:$BM56))</f>
        <v>0</v>
      </c>
      <c r="BZ52" s="736" t="e">
        <f>IF(IF(CB52=CB57,SUMIF(BI45:BI56,$BX52,BU45:BU56),SUMIF(BI45:BI56,$BX52,BP45:BP56))=0,NA(),IF(CB52=CB57,SUMIF(BI45:BI56,$BX52,BU45:BU56),SUMIF(BI45:BI56,$BX52,BP45:BP56)))</f>
        <v>#N/A</v>
      </c>
      <c r="CA52" s="739" t="e">
        <f>IF(IF(CB52=CB57,SUMIF(BI45:BI56,$BX52,BS45:BS56),SUMIF(BI45:BI56,$BX52,BN45:BN56))=0,NA(),IF(CB52=CB57,SUMIF(BI45:BI56,$BX52,BS45:BS56),SUMIF(BI45:BI56,$BX52,BN45:BN56)))</f>
        <v>#N/A</v>
      </c>
      <c r="CB52" s="730">
        <v>19</v>
      </c>
      <c r="CC52" s="730">
        <f t="shared" si="5"/>
        <v>12</v>
      </c>
    </row>
    <row r="53" spans="61:81" s="6" customFormat="1" ht="14.65" hidden="1" customHeight="1">
      <c r="BI53" s="722" t="s">
        <v>331</v>
      </c>
      <c r="BJ53" s="722">
        <v>9</v>
      </c>
      <c r="BK53" s="722" t="s">
        <v>328</v>
      </c>
      <c r="BL53" s="743"/>
      <c r="BM53" s="744"/>
      <c r="BN53" s="736"/>
      <c r="BO53"/>
      <c r="BP53" s="736"/>
      <c r="BQ53" s="758"/>
      <c r="BR53" s="814"/>
      <c r="BS53" s="735"/>
      <c r="BT53"/>
      <c r="BU53" s="736"/>
      <c r="BV53"/>
      <c r="BX53" s="666" t="str">
        <f t="shared" si="4"/>
        <v>Jan</v>
      </c>
      <c r="BY53" s="728">
        <f>IF(CB53=$CB57,SUMIF($BI45:$BI56,$BX53,$BR45:$BR56),SUMIF($BI45:$BI56,$BX53,$BM45:$BM56))</f>
        <v>0</v>
      </c>
      <c r="BZ53" s="736" t="e">
        <f>IF(IF(CB53=CB57,SUMIF(BI45:BI56,$BX53,BU45:BU56),SUMIF(BI45:BI56,$BX53,BP45:BP56))=0,NA(),IF(CB53=CB57,SUMIF(BI45:BI56,$BX53,BU45:BU56),SUMIF(BI45:BI56,$BX53,BP45:BP56)))</f>
        <v>#N/A</v>
      </c>
      <c r="CA53" s="739" t="e">
        <f>IF(IF(CB53=CB57,SUMIF(BI45:BI56,$BX53,BS45:BS56),SUMIF(BI45:BI56,$BX53,BN45:BN56))=0,NA(),IF(CB53=CB57,SUMIF(BI45:BI56,$BX53,BS45:BS56),SUMIF(BI45:BI56,$BX53,BN45:BN56)))</f>
        <v>#N/A</v>
      </c>
      <c r="CB53" s="730">
        <v>19</v>
      </c>
      <c r="CC53" s="730">
        <f t="shared" si="5"/>
        <v>1</v>
      </c>
    </row>
    <row r="54" spans="61:81" s="6" customFormat="1" ht="14.65" hidden="1" customHeight="1">
      <c r="BI54" s="722" t="s">
        <v>337</v>
      </c>
      <c r="BJ54" s="722">
        <v>10</v>
      </c>
      <c r="BK54" s="722" t="s">
        <v>338</v>
      </c>
      <c r="BL54" s="743"/>
      <c r="BM54" s="744"/>
      <c r="BN54" s="736"/>
      <c r="BO54" s="139">
        <f>IF(SUM(BM54:BM56=0),0,SUM(BL54:BL56)/SUM(BM54:BM56))</f>
        <v>0</v>
      </c>
      <c r="BP54" s="736"/>
      <c r="BQ54" s="758"/>
      <c r="BR54" s="814"/>
      <c r="BS54" s="735"/>
      <c r="BT54" s="139">
        <f>IF(SUM(BR54:BR56=0),0,SUM(BQ54:BQ56)/SUM(BR54:BR56))</f>
        <v>0</v>
      </c>
      <c r="BU54" s="736"/>
      <c r="BV54"/>
      <c r="BX54" s="666" t="str">
        <f t="shared" si="4"/>
        <v>Feb</v>
      </c>
      <c r="BY54" s="728">
        <f>IF(CB54=$CB57,SUMIF($BI45:$BI56,$BX54,$BR45:$BR56),SUMIF($BI45:$BI56,$BX54,$BM45:$BM56))</f>
        <v>0</v>
      </c>
      <c r="BZ54" s="736" t="e">
        <f>IF(IF(CB54=CB57,SUMIF(BI45:BI56,$BX54,BU45:BU56),SUMIF(BI45:BI56,$BX54,BP45:BP56))=0,NA(),IF(CB54=CB57,SUMIF(BI45:BI56,$BX54,BU45:BU56),SUMIF(BI45:BI56,$BX54,BP45:BP56)))</f>
        <v>#N/A</v>
      </c>
      <c r="CA54" s="739" t="e">
        <f>IF(IF(CB54=CB57,SUMIF(BI45:BI56,$BX54,BS45:BS56),SUMIF(BI45:BI56,$BX54,BN45:BN56))=0,NA(),IF(CB54=CB57,SUMIF(BI45:BI56,$BX54,BS45:BS56),SUMIF(BI45:BI56,$BX54,BN45:BN56)))</f>
        <v>#N/A</v>
      </c>
      <c r="CB54" s="730">
        <v>19</v>
      </c>
      <c r="CC54" s="730">
        <f t="shared" si="5"/>
        <v>2</v>
      </c>
    </row>
    <row r="55" spans="61:81" s="6" customFormat="1" ht="14.65" hidden="1" customHeight="1">
      <c r="BI55" s="722" t="s">
        <v>343</v>
      </c>
      <c r="BJ55" s="722">
        <v>11</v>
      </c>
      <c r="BK55" s="722" t="s">
        <v>338</v>
      </c>
      <c r="BL55" s="743"/>
      <c r="BM55" s="744"/>
      <c r="BN55" s="736"/>
      <c r="BO55"/>
      <c r="BP55" s="736"/>
      <c r="BQ55" s="758"/>
      <c r="BR55" s="814"/>
      <c r="BS55" s="735"/>
      <c r="BT55"/>
      <c r="BU55" s="736"/>
      <c r="BV55"/>
      <c r="BX55" s="666" t="str">
        <f t="shared" si="4"/>
        <v>Mar</v>
      </c>
      <c r="BY55" s="728">
        <f>IF(CB55=$CB57,SUMIF($BI45:$BI56,$BX55,$BR45:$BR56),SUMIF($BI45:$BI56,$BX55,$BM45:$BM56))</f>
        <v>0</v>
      </c>
      <c r="BZ55" s="736" t="e">
        <f>IF(IF(CB55=CB57,SUMIF(BI45:BI56,$BX55,BU45:BU56),SUMIF(BI45:BI56,$BX55,BP45:BP56))=0,NA(),IF(CB55=CB57,SUMIF(BI45:BI56,$BX55,BU45:BU56),SUMIF(BI45:BI56,$BX55,BP45:BP56)))</f>
        <v>#N/A</v>
      </c>
      <c r="CA55" s="739" t="e">
        <f>IF(IF(CB55=CB57,SUMIF(BI45:BI56,$BX55,BS45:BS56),SUMIF(BI45:BI56,$BX55,BN45:BN56))=0,NA(),IF(CB55=CB57,SUMIF(BI45:BI56,$BX55,BS45:BS56),SUMIF(BI45:BI56,$BX55,BN45:BN56)))</f>
        <v>#N/A</v>
      </c>
      <c r="CB55" s="730">
        <v>20</v>
      </c>
      <c r="CC55" s="730">
        <f t="shared" si="5"/>
        <v>3</v>
      </c>
    </row>
    <row r="56" spans="61:81" s="6" customFormat="1" ht="14.65" hidden="1" customHeight="1">
      <c r="BI56" s="722" t="s">
        <v>344</v>
      </c>
      <c r="BJ56" s="722">
        <v>12</v>
      </c>
      <c r="BK56" s="722" t="s">
        <v>338</v>
      </c>
      <c r="BL56" s="743"/>
      <c r="BM56" s="744"/>
      <c r="BN56" s="736"/>
      <c r="BO56"/>
      <c r="BP56" s="736"/>
      <c r="BQ56" s="758"/>
      <c r="BR56" s="814"/>
      <c r="BS56" s="735"/>
      <c r="BT56"/>
      <c r="BU56" s="736"/>
      <c r="BV56"/>
      <c r="BX56" s="666" t="str">
        <f t="shared" si="4"/>
        <v>Apr</v>
      </c>
      <c r="BY56" s="728">
        <f>IF(CB56=$CB57,SUMIF($BI45:$BI56,$BX56,$BR45:$BR56),SUMIF($BI45:$BI56,$BX56,$BM45:$BM56))</f>
        <v>0</v>
      </c>
      <c r="BZ56" s="736" t="e">
        <f>IF(IF(CB56=CB57,SUMIF(BI45:BI56,$BX56,BU45:BU56),SUMIF(BI45:BI56,$BX56,BP45:BP56))=0,NA(),IF(CB56=CB57,SUMIF(BI45:BI56,$BX56,BU45:BU56),SUMIF(BI45:BI56,$BX56,BP45:BP56)))</f>
        <v>#N/A</v>
      </c>
      <c r="CA56" s="739" t="e">
        <f>IF(IF(CB56=CB57,SUMIF(BI45:BI56,$BX56,BS45:BS56),SUMIF(BI45:BI56,$BX56,BN45:BN56))=0,NA(),IF(CB56=CB57,SUMIF(BI45:BI56,$BX56,BS45:BS56),SUMIF(BI45:BI56,$BX56,BN45:BN56)))</f>
        <v>#N/A</v>
      </c>
      <c r="CB56" s="730">
        <v>20</v>
      </c>
      <c r="CC56" s="730">
        <f>IF(CC57-1&lt;1,CC57+11,CC57-1)</f>
        <v>4</v>
      </c>
    </row>
    <row r="57" spans="61:81" s="6" customFormat="1" ht="14.65" hidden="1" customHeight="1">
      <c r="BI57"/>
      <c r="BJ57" s="2"/>
      <c r="BK57" s="2"/>
      <c r="BL57" s="2"/>
      <c r="BM57" s="153"/>
      <c r="BN57" s="2"/>
      <c r="BO57" s="2"/>
      <c r="BP57" s="2"/>
      <c r="BQ57" s="2"/>
      <c r="BR57" s="2"/>
      <c r="BS57" s="2"/>
      <c r="BT57" s="2"/>
      <c r="BU57"/>
      <c r="BV57"/>
      <c r="BW57" s="667" t="str">
        <f>[2]Cover!$C$44</f>
        <v>MAY FY-20</v>
      </c>
      <c r="BX57" s="666" t="str">
        <f>TEXT(CONCATENATE(CC57,"/01/20",CB57),"MMM")</f>
        <v>May</v>
      </c>
      <c r="BY57" s="728">
        <f>SUMIF($BI45:$BI56,$BX57,$BR45:$BR56)</f>
        <v>0</v>
      </c>
      <c r="BZ57" s="736" t="e">
        <f>IF(IF(CB57=CB57,SUMIF(BI45:BI56,$BX57,BU45:BU56),SUMIF(BI45:BI56,$BX57,BP45:BP56))=0,NA(),IF(CB57=CB57,SUMIF(BI45:BI56,$BX57,BU45:BU56),SUMIF(BI45:BI56,$BX57,BP45:BP56)))</f>
        <v>#N/A</v>
      </c>
      <c r="CA57" s="739" t="e">
        <f>IF(SUMIF($BI45:$BI56,$BX57,$BS45:$BS56)=0,NA(),SUMIF($BI45:$BI56,$BX57,$BS45:$BS56))</f>
        <v>#N/A</v>
      </c>
      <c r="CB57" s="730">
        <v>20</v>
      </c>
      <c r="CC57" s="730">
        <f>MONTH(DATEVALUE(LEFT(BW57,3)&amp;" 1"))</f>
        <v>5</v>
      </c>
    </row>
    <row r="58" spans="61:81" s="6" customFormat="1" ht="14.65" hidden="1" customHeight="1">
      <c r="BV58"/>
    </row>
    <row r="59" spans="61:81" s="6" customFormat="1" ht="14.65" hidden="1" customHeight="1">
      <c r="BI59" s="1" t="s">
        <v>292</v>
      </c>
      <c r="BJ59" s="166"/>
      <c r="BK59" s="166"/>
      <c r="BL59" s="166"/>
      <c r="BM59" s="166"/>
      <c r="BN59" s="166"/>
      <c r="BO59" s="166"/>
      <c r="BP59" s="166"/>
      <c r="BQ59" s="166"/>
      <c r="BR59" s="166"/>
      <c r="BS59" s="166"/>
      <c r="BT59" s="166"/>
      <c r="BU59" s="166"/>
      <c r="BV59"/>
    </row>
    <row r="60" spans="61:81" s="6" customFormat="1" ht="14.65" hidden="1" customHeight="1">
      <c r="BI60" s="54" t="s">
        <v>296</v>
      </c>
      <c r="BJ60" s="165"/>
      <c r="BK60" s="165"/>
      <c r="BL60" s="165"/>
      <c r="BM60" s="165"/>
      <c r="BN60" s="165"/>
      <c r="BO60" s="165"/>
      <c r="BP60" s="165"/>
      <c r="BQ60" s="165"/>
      <c r="BR60" s="165"/>
      <c r="BS60" s="165"/>
      <c r="BT60" s="165"/>
      <c r="BU60" s="165"/>
      <c r="BV60"/>
    </row>
    <row r="61" spans="61:81" s="6" customFormat="1" ht="14.65" hidden="1" customHeight="1" thickBot="1">
      <c r="BI61" s="1" t="s">
        <v>300</v>
      </c>
      <c r="BJ61" s="165"/>
      <c r="BK61" s="165"/>
      <c r="BL61" s="165"/>
      <c r="BM61" s="165"/>
      <c r="BN61" s="165"/>
      <c r="BO61" s="165"/>
      <c r="BP61" s="165"/>
      <c r="BQ61" s="165"/>
      <c r="BR61" s="165"/>
      <c r="BS61" s="165"/>
      <c r="BT61" s="165"/>
      <c r="BU61" s="165"/>
      <c r="BV61"/>
    </row>
    <row r="62" spans="61:81" s="6" customFormat="1" ht="14.65" hidden="1" customHeight="1" thickBot="1">
      <c r="BI62" s="2"/>
      <c r="BJ62" s="2"/>
      <c r="BK62" s="2"/>
      <c r="BL62" s="1490" t="s">
        <v>683</v>
      </c>
      <c r="BM62" s="1491"/>
      <c r="BN62" s="1491"/>
      <c r="BO62" s="1491"/>
      <c r="BP62" s="1521"/>
      <c r="BQ62" s="1490" t="s">
        <v>487</v>
      </c>
      <c r="BR62" s="1491"/>
      <c r="BS62" s="1491"/>
      <c r="BT62" s="1491"/>
      <c r="BU62" s="1492"/>
      <c r="BV62"/>
      <c r="BW62" s="1490" t="s">
        <v>303</v>
      </c>
      <c r="BX62" s="1491"/>
      <c r="BY62" s="1491"/>
      <c r="BZ62" s="1491"/>
      <c r="CA62" s="1491"/>
      <c r="CB62" s="1491"/>
      <c r="CC62" s="1492"/>
    </row>
    <row r="63" spans="61:81" s="6" customFormat="1" ht="14.65" hidden="1" customHeight="1">
      <c r="BI63" s="720" t="s">
        <v>23</v>
      </c>
      <c r="BJ63" s="720" t="s">
        <v>37</v>
      </c>
      <c r="BK63" s="720" t="s">
        <v>304</v>
      </c>
      <c r="BL63" s="721" t="s">
        <v>305</v>
      </c>
      <c r="BM63" s="721" t="s">
        <v>306</v>
      </c>
      <c r="BN63" s="721" t="s">
        <v>679</v>
      </c>
      <c r="BO63" s="135" t="s">
        <v>680</v>
      </c>
      <c r="BP63" s="721" t="s">
        <v>490</v>
      </c>
      <c r="BQ63" s="721" t="s">
        <v>305</v>
      </c>
      <c r="BR63" s="721" t="s">
        <v>681</v>
      </c>
      <c r="BS63" s="721" t="s">
        <v>488</v>
      </c>
      <c r="BT63" s="135" t="s">
        <v>489</v>
      </c>
      <c r="BU63" s="721" t="s">
        <v>682</v>
      </c>
      <c r="BV63"/>
      <c r="BW63" s="164" t="s">
        <v>314</v>
      </c>
      <c r="BX63" s="164" t="s">
        <v>23</v>
      </c>
      <c r="BY63" s="168" t="s">
        <v>315</v>
      </c>
      <c r="BZ63" s="164" t="s">
        <v>122</v>
      </c>
      <c r="CA63" s="164" t="s">
        <v>316</v>
      </c>
      <c r="CB63" s="164" t="s">
        <v>317</v>
      </c>
      <c r="CC63" s="164" t="s">
        <v>318</v>
      </c>
    </row>
    <row r="64" spans="61:81" s="6" customFormat="1" ht="14.65" hidden="1" customHeight="1">
      <c r="BI64" s="722" t="s">
        <v>319</v>
      </c>
      <c r="BJ64" s="722">
        <v>1</v>
      </c>
      <c r="BK64" s="722" t="s">
        <v>320</v>
      </c>
      <c r="BL64" s="726"/>
      <c r="BM64" s="744"/>
      <c r="BN64" s="744"/>
      <c r="BO64" s="140">
        <f>IF(SUM(BM64:BM66=0),0,SUM(BL64:BL66)/SUM(BM64:BM66))</f>
        <v>0</v>
      </c>
      <c r="BP64" s="725"/>
      <c r="BQ64" s="726"/>
      <c r="BR64" s="814"/>
      <c r="BS64" s="814"/>
      <c r="BT64" s="140">
        <f>IF(SUM(BR64:BR66=0),0,SUM(BQ64:BQ66)/SUM(BR64:BR66))</f>
        <v>0</v>
      </c>
      <c r="BU64" s="725"/>
      <c r="BV64"/>
      <c r="BX64" s="666" t="str">
        <f t="shared" ref="BX64:BX75" si="6">TEXT(CONCATENATE(CC64,"/01/20",CB64),"MMM")</f>
        <v>May</v>
      </c>
      <c r="BY64" s="728">
        <f>IF(CB64=$CB76,SUMIF($BI64:$BI75,$BX64,$BR64:$BR75),SUMIF($BI64:$BI75,$BX64,$BM64:$BM75))</f>
        <v>0</v>
      </c>
      <c r="BZ64" s="746" t="e">
        <f>IF(IF(CB64=CB76,SUMIF(BI64:BI75,$BX64,BU64:BU75),SUMIF(BI64:BI75,$BX64,BP64:BP75))=0,NA(),IF(CB64=CB76,SUMIF(BI64:BI75,$BX64,BU64:BU75),SUMIF(BI64:BI75,$BX64,BP64:BP75)))</f>
        <v>#N/A</v>
      </c>
      <c r="CA64" s="747" t="e">
        <f>IF(IF(CB64=CB76,SUMIF(BI64:BI75,$BX64,BS64:BS75),SUMIF(BI64:BI75,$BX64,BN64:BN75))=0,NA(),IF(CB64=CB76,SUMIF(BI64:BI75,$BX64,BS64:BS75),SUMIF(BI64:BI75,$BX64,BN64:BN75)))</f>
        <v>#N/A</v>
      </c>
      <c r="CB64" s="730">
        <v>19</v>
      </c>
      <c r="CC64" s="730">
        <f t="shared" ref="CC64:CC74" si="7">IF(CC65-1&lt;1,CC65+11,CC65-1)</f>
        <v>5</v>
      </c>
    </row>
    <row r="65" spans="2:81" s="6" customFormat="1" ht="14.65" hidden="1" customHeight="1">
      <c r="B65" s="44" t="s">
        <v>242</v>
      </c>
      <c r="C65" s="44"/>
      <c r="D65" s="44"/>
      <c r="E65" s="87"/>
      <c r="F65" s="94"/>
      <c r="G65" s="94"/>
      <c r="H65" s="94"/>
      <c r="I65" s="94"/>
      <c r="J65" s="94"/>
      <c r="K65" s="94"/>
      <c r="L65" s="94"/>
      <c r="M65" s="94"/>
      <c r="N65" s="94"/>
      <c r="O65" s="94"/>
      <c r="P65" s="94"/>
      <c r="Q65" s="94"/>
      <c r="R65" s="94"/>
      <c r="S65" s="94"/>
      <c r="T65" s="94"/>
      <c r="U65" s="94"/>
      <c r="V65" s="94"/>
      <c r="W65" s="94"/>
      <c r="X65" s="94"/>
      <c r="Y65" s="94"/>
      <c r="Z65" s="94"/>
      <c r="AA65" s="94"/>
      <c r="AB65" s="94"/>
      <c r="AE65" s="44" t="s">
        <v>242</v>
      </c>
      <c r="AF65" s="44"/>
      <c r="AG65" s="44"/>
      <c r="AH65" s="87"/>
      <c r="AI65" s="94"/>
      <c r="AJ65" s="94"/>
      <c r="AK65" s="94"/>
      <c r="AL65" s="94"/>
      <c r="AM65" s="94"/>
      <c r="AN65" s="94"/>
      <c r="AO65" s="94"/>
      <c r="AP65" s="94"/>
      <c r="AQ65" s="94"/>
      <c r="AR65" s="94"/>
      <c r="AS65" s="94"/>
      <c r="AT65" s="94"/>
      <c r="AU65" s="94"/>
      <c r="AV65" s="94"/>
      <c r="AW65" s="94"/>
      <c r="AX65" s="94"/>
      <c r="AY65" s="94"/>
      <c r="AZ65" s="94"/>
      <c r="BA65" s="94"/>
      <c r="BB65" s="94"/>
      <c r="BC65" s="94"/>
      <c r="BD65" s="94"/>
      <c r="BE65" s="94"/>
      <c r="BI65" s="722" t="s">
        <v>321</v>
      </c>
      <c r="BJ65" s="722">
        <v>2</v>
      </c>
      <c r="BK65" s="722" t="s">
        <v>320</v>
      </c>
      <c r="BL65" s="726"/>
      <c r="BM65" s="743"/>
      <c r="BN65" s="744"/>
      <c r="BO65" s="136"/>
      <c r="BP65" s="725"/>
      <c r="BQ65" s="726"/>
      <c r="BR65" s="758"/>
      <c r="BS65" s="814"/>
      <c r="BT65" s="136"/>
      <c r="BU65" s="725"/>
      <c r="BV65"/>
      <c r="BX65" s="666" t="str">
        <f t="shared" si="6"/>
        <v>Jun</v>
      </c>
      <c r="BY65" s="728">
        <f>IF(CB65=$CB76,SUMIF($BI64:$BI75,$BX65,$BR64:$BR75),SUMIF($BI64:$BI75,$BX65,$BM64:$BM75))</f>
        <v>0</v>
      </c>
      <c r="BZ65" s="746" t="e">
        <f>IF(IF(CB65=CB76,SUMIF(BI64:BI75,$BX65,BU64:BU75),SUMIF(BI64:BI75,$BX65,BP64:BP75))=0,NA(),IF(CB65=CB76,SUMIF(BI64:BI75,$BX65,BU64:BU75),SUMIF(BI64:BI75,$BX65,BP64:BP75)))</f>
        <v>#N/A</v>
      </c>
      <c r="CA65" s="747" t="e">
        <f>IF(IF(CB65=CB76,SUMIF(BI64:BI75,$BX65,BS64:BS75),SUMIF(BI64:BI75,$BX65,BN64:BN75))=0,NA(),IF(CB65=CB76,SUMIF(BI64:BI75,$BX65,BS64:BS75),SUMIF(BI64:BI75,$BX65,BN64:BN75)))</f>
        <v>#N/A</v>
      </c>
      <c r="CB65" s="730">
        <v>19</v>
      </c>
      <c r="CC65" s="730">
        <f t="shared" si="7"/>
        <v>6</v>
      </c>
    </row>
    <row r="66" spans="2:81" s="6" customFormat="1" ht="14.65" hidden="1" customHeight="1">
      <c r="B66" s="1510"/>
      <c r="C66" s="1511"/>
      <c r="D66" s="1511"/>
      <c r="E66" s="1511"/>
      <c r="F66" s="1511"/>
      <c r="G66" s="1511"/>
      <c r="H66" s="1511"/>
      <c r="I66" s="1511"/>
      <c r="J66" s="1511"/>
      <c r="K66" s="1511"/>
      <c r="L66" s="1511"/>
      <c r="M66" s="1511"/>
      <c r="N66" s="1511"/>
      <c r="O66" s="1511"/>
      <c r="P66" s="1511"/>
      <c r="Q66" s="1511"/>
      <c r="R66" s="1511"/>
      <c r="S66" s="1511"/>
      <c r="T66" s="1511"/>
      <c r="U66" s="1511"/>
      <c r="V66" s="1511"/>
      <c r="W66" s="1511"/>
      <c r="X66" s="1511"/>
      <c r="Y66" s="1511"/>
      <c r="Z66" s="1511"/>
      <c r="AA66" s="1511"/>
      <c r="AB66" s="1512"/>
      <c r="AE66" s="1510"/>
      <c r="AF66" s="1511"/>
      <c r="AG66" s="1511"/>
      <c r="AH66" s="1511"/>
      <c r="AI66" s="1511"/>
      <c r="AJ66" s="1511"/>
      <c r="AK66" s="1511"/>
      <c r="AL66" s="1511"/>
      <c r="AM66" s="1511"/>
      <c r="AN66" s="1511"/>
      <c r="AO66" s="1511"/>
      <c r="AP66" s="1511"/>
      <c r="AQ66" s="1511"/>
      <c r="AR66" s="1511"/>
      <c r="AS66" s="1511"/>
      <c r="AT66" s="1511"/>
      <c r="AU66" s="1511"/>
      <c r="AV66" s="1511"/>
      <c r="AW66" s="1511"/>
      <c r="AX66" s="1511"/>
      <c r="AY66" s="1511"/>
      <c r="AZ66" s="1511"/>
      <c r="BA66" s="1511"/>
      <c r="BB66" s="1511"/>
      <c r="BC66" s="1511"/>
      <c r="BD66" s="1511"/>
      <c r="BE66" s="1512"/>
      <c r="BI66" s="722" t="s">
        <v>322</v>
      </c>
      <c r="BJ66" s="722">
        <v>3</v>
      </c>
      <c r="BK66" s="722" t="s">
        <v>320</v>
      </c>
      <c r="BL66" s="726"/>
      <c r="BM66" s="744"/>
      <c r="BN66" s="744"/>
      <c r="BO66" s="136"/>
      <c r="BP66" s="725"/>
      <c r="BQ66" s="726"/>
      <c r="BR66" s="814"/>
      <c r="BS66" s="814"/>
      <c r="BT66" s="136"/>
      <c r="BU66" s="725"/>
      <c r="BV66"/>
      <c r="BX66" s="666" t="str">
        <f t="shared" si="6"/>
        <v>Jul</v>
      </c>
      <c r="BY66" s="728">
        <f>IF(CB66=$CB76,SUMIF($BI64:$BI75,$BX66,$BR64:$BR75),SUMIF($BI64:$BI75,$BX66,$BM64:$BM75))</f>
        <v>0</v>
      </c>
      <c r="BZ66" s="746" t="e">
        <f>IF(IF(CB66=CB76,SUMIF(BI64:BI75,$BX66,BU64:BU75),SUMIF(BI64:BI75,$BX66,BP64:BP75))=0,NA(),IF(CB66=CB76,SUMIF(BI64:BI75,$BX66,BU64:BU75),SUMIF(BI64:BI75,$BX66,BP64:BP75)))</f>
        <v>#N/A</v>
      </c>
      <c r="CA66" s="747" t="e">
        <f>IF(IF(CB66=CB76,SUMIF(BI64:BI75,$BX66,BS64:BS75),SUMIF(BI64:BI75,$BX66,BN64:BN75))=0,NA(),IF(CB66=CB76,SUMIF(BI64:BI75,$BX66,BS64:BS75),SUMIF(BI64:BI75,$BX66,BN64:BN75)))</f>
        <v>#N/A</v>
      </c>
      <c r="CB66" s="730">
        <v>19</v>
      </c>
      <c r="CC66" s="730">
        <f t="shared" si="7"/>
        <v>7</v>
      </c>
    </row>
    <row r="67" spans="2:81" s="6" customFormat="1" ht="14.65" hidden="1" customHeight="1">
      <c r="B67" s="1513"/>
      <c r="C67" s="1514"/>
      <c r="D67" s="1514"/>
      <c r="E67" s="1514"/>
      <c r="F67" s="1514"/>
      <c r="G67" s="1514"/>
      <c r="H67" s="1514"/>
      <c r="I67" s="1514"/>
      <c r="J67" s="1514"/>
      <c r="K67" s="1514"/>
      <c r="L67" s="1514"/>
      <c r="M67" s="1514"/>
      <c r="N67" s="1514"/>
      <c r="O67" s="1514"/>
      <c r="P67" s="1514"/>
      <c r="Q67" s="1514"/>
      <c r="R67" s="1514"/>
      <c r="S67" s="1514"/>
      <c r="T67" s="1514"/>
      <c r="U67" s="1514"/>
      <c r="V67" s="1514"/>
      <c r="W67" s="1514"/>
      <c r="X67" s="1514"/>
      <c r="Y67" s="1514"/>
      <c r="Z67" s="1514"/>
      <c r="AA67" s="1514"/>
      <c r="AB67" s="1515"/>
      <c r="AE67" s="1513"/>
      <c r="AF67" s="1514"/>
      <c r="AG67" s="1514"/>
      <c r="AH67" s="1514"/>
      <c r="AI67" s="1514"/>
      <c r="AJ67" s="1514"/>
      <c r="AK67" s="1514"/>
      <c r="AL67" s="1514"/>
      <c r="AM67" s="1514"/>
      <c r="AN67" s="1514"/>
      <c r="AO67" s="1514"/>
      <c r="AP67" s="1514"/>
      <c r="AQ67" s="1514"/>
      <c r="AR67" s="1514"/>
      <c r="AS67" s="1514"/>
      <c r="AT67" s="1514"/>
      <c r="AU67" s="1514"/>
      <c r="AV67" s="1514"/>
      <c r="AW67" s="1514"/>
      <c r="AX67" s="1514"/>
      <c r="AY67" s="1514"/>
      <c r="AZ67" s="1514"/>
      <c r="BA67" s="1514"/>
      <c r="BB67" s="1514"/>
      <c r="BC67" s="1514"/>
      <c r="BD67" s="1514"/>
      <c r="BE67" s="1515"/>
      <c r="BI67" s="722" t="s">
        <v>323</v>
      </c>
      <c r="BJ67" s="722">
        <v>4</v>
      </c>
      <c r="BK67" s="722" t="s">
        <v>324</v>
      </c>
      <c r="BL67" s="726"/>
      <c r="BM67" s="743"/>
      <c r="BN67" s="744"/>
      <c r="BO67" s="140">
        <f>IF(SUM(BM67:BM69=0),0,SUM(BL67:BL69)/SUM(BM67:BM69))</f>
        <v>0</v>
      </c>
      <c r="BP67" s="725"/>
      <c r="BQ67" s="726"/>
      <c r="BR67" s="758"/>
      <c r="BS67" s="814"/>
      <c r="BT67" s="140">
        <f>IF(SUM(BR67:BR69=0),0,SUM(BQ67:BQ69)/SUM(BR67:BR69))</f>
        <v>0</v>
      </c>
      <c r="BU67" s="725"/>
      <c r="BV67"/>
      <c r="BX67" s="666" t="str">
        <f t="shared" si="6"/>
        <v>Aug</v>
      </c>
      <c r="BY67" s="728">
        <f>IF(CB67=$CB76,SUMIF($BI64:$BI75,$BX67,$BR64:$BR75),SUMIF($BI64:$BI75,$BX67,$BM64:$BM75))</f>
        <v>0</v>
      </c>
      <c r="BZ67" s="746" t="e">
        <f>IF(IF(CB67=CB76,SUMIF(BI64:BI75,$BX67,BU64:BU75),SUMIF(BI64:BI75,$BX67,BP64:BP75))=0,NA(),IF(CB67=CB76,SUMIF(BI64:BI75,$BX67,BU64:BU75),SUMIF(BI64:BI75,$BX67,BP64:BP75)))</f>
        <v>#N/A</v>
      </c>
      <c r="CA67" s="747" t="e">
        <f>IF(IF(CB67=CB76,SUMIF(BI64:BI75,$BX67,BS64:BS75),SUMIF(BI64:BI75,$BX67,BN64:BN75))=0,NA(),IF(CB67=CB76,SUMIF(BI64:BI75,$BX67,BS64:BS75),SUMIF(BI64:BI75,$BX67,BN64:BN75)))</f>
        <v>#N/A</v>
      </c>
      <c r="CB67" s="730">
        <v>19</v>
      </c>
      <c r="CC67" s="730">
        <f t="shared" si="7"/>
        <v>8</v>
      </c>
    </row>
    <row r="68" spans="2:81" s="6" customFormat="1" ht="14.65" hidden="1" customHeight="1">
      <c r="B68" s="1513"/>
      <c r="C68" s="1514"/>
      <c r="D68" s="1514"/>
      <c r="E68" s="1514"/>
      <c r="F68" s="1514"/>
      <c r="G68" s="1514"/>
      <c r="H68" s="1514"/>
      <c r="I68" s="1514"/>
      <c r="J68" s="1514"/>
      <c r="K68" s="1514"/>
      <c r="L68" s="1514"/>
      <c r="M68" s="1514"/>
      <c r="N68" s="1514"/>
      <c r="O68" s="1514"/>
      <c r="P68" s="1514"/>
      <c r="Q68" s="1514"/>
      <c r="R68" s="1514"/>
      <c r="S68" s="1514"/>
      <c r="T68" s="1514"/>
      <c r="U68" s="1514"/>
      <c r="V68" s="1514"/>
      <c r="W68" s="1514"/>
      <c r="X68" s="1514"/>
      <c r="Y68" s="1514"/>
      <c r="Z68" s="1514"/>
      <c r="AA68" s="1514"/>
      <c r="AB68" s="1515"/>
      <c r="AE68" s="1513"/>
      <c r="AF68" s="1514"/>
      <c r="AG68" s="1514"/>
      <c r="AH68" s="1514"/>
      <c r="AI68" s="1514"/>
      <c r="AJ68" s="1514"/>
      <c r="AK68" s="1514"/>
      <c r="AL68" s="1514"/>
      <c r="AM68" s="1514"/>
      <c r="AN68" s="1514"/>
      <c r="AO68" s="1514"/>
      <c r="AP68" s="1514"/>
      <c r="AQ68" s="1514"/>
      <c r="AR68" s="1514"/>
      <c r="AS68" s="1514"/>
      <c r="AT68" s="1514"/>
      <c r="AU68" s="1514"/>
      <c r="AV68" s="1514"/>
      <c r="AW68" s="1514"/>
      <c r="AX68" s="1514"/>
      <c r="AY68" s="1514"/>
      <c r="AZ68" s="1514"/>
      <c r="BA68" s="1514"/>
      <c r="BB68" s="1514"/>
      <c r="BC68" s="1514"/>
      <c r="BD68" s="1514"/>
      <c r="BE68" s="1515"/>
      <c r="BI68" s="722" t="s">
        <v>325</v>
      </c>
      <c r="BJ68" s="722">
        <v>5</v>
      </c>
      <c r="BK68" s="722" t="s">
        <v>324</v>
      </c>
      <c r="BL68" s="726"/>
      <c r="BM68" s="743"/>
      <c r="BN68" s="744"/>
      <c r="BO68" s="136"/>
      <c r="BP68" s="725"/>
      <c r="BQ68" s="726"/>
      <c r="BR68" s="758"/>
      <c r="BS68" s="814"/>
      <c r="BT68" s="136"/>
      <c r="BU68" s="725"/>
      <c r="BV68"/>
      <c r="BX68" s="666" t="str">
        <f t="shared" si="6"/>
        <v>Sep</v>
      </c>
      <c r="BY68" s="728">
        <f>IF(CB68=$CB76,SUMIF($BI64:$BI75,$BX68,$BR64:$BR75),SUMIF($BI64:$BI75,$BX68,$BM64:$BM75))</f>
        <v>0</v>
      </c>
      <c r="BZ68" s="746" t="e">
        <f>IF(IF(CB68=CB76,SUMIF(BI64:BI75,$BX68,BU64:BU75),SUMIF(BI64:BI75,$BX68,BP64:BP75))=0,NA(),IF(CB68=CB76,SUMIF(BI64:BI75,$BX68,BU64:BU75),SUMIF(BI64:BI75,$BX68,BP64:BP75)))</f>
        <v>#N/A</v>
      </c>
      <c r="CA68" s="747" t="e">
        <f>IF(IF(CB68=CB76,SUMIF(BI64:BI75,$BX68,BS64:BS75),SUMIF(BI64:BI75,$BX68,BN64:BN75))=0,NA(),IF(CB68=CB76,SUMIF(BI64:BI75,$BX68,BS64:BS75),SUMIF(BI64:BI75,$BX68,BN64:BN75)))</f>
        <v>#N/A</v>
      </c>
      <c r="CB68" s="730">
        <v>19</v>
      </c>
      <c r="CC68" s="730">
        <f t="shared" si="7"/>
        <v>9</v>
      </c>
    </row>
    <row r="69" spans="2:81" s="6" customFormat="1" ht="14.65" hidden="1" customHeight="1">
      <c r="B69" s="1516"/>
      <c r="C69" s="1517"/>
      <c r="D69" s="1517"/>
      <c r="E69" s="1517"/>
      <c r="F69" s="1517"/>
      <c r="G69" s="1517"/>
      <c r="H69" s="1517"/>
      <c r="I69" s="1517"/>
      <c r="J69" s="1517"/>
      <c r="K69" s="1517"/>
      <c r="L69" s="1517"/>
      <c r="M69" s="1517"/>
      <c r="N69" s="1517"/>
      <c r="O69" s="1517"/>
      <c r="P69" s="1517"/>
      <c r="Q69" s="1517"/>
      <c r="R69" s="1517"/>
      <c r="S69" s="1517"/>
      <c r="T69" s="1517"/>
      <c r="U69" s="1517"/>
      <c r="V69" s="1517"/>
      <c r="W69" s="1517"/>
      <c r="X69" s="1517"/>
      <c r="Y69" s="1517"/>
      <c r="Z69" s="1517"/>
      <c r="AA69" s="1517"/>
      <c r="AB69" s="1518"/>
      <c r="AE69" s="1516"/>
      <c r="AF69" s="1517"/>
      <c r="AG69" s="1517"/>
      <c r="AH69" s="1517"/>
      <c r="AI69" s="1517"/>
      <c r="AJ69" s="1517"/>
      <c r="AK69" s="1517"/>
      <c r="AL69" s="1517"/>
      <c r="AM69" s="1517"/>
      <c r="AN69" s="1517"/>
      <c r="AO69" s="1517"/>
      <c r="AP69" s="1517"/>
      <c r="AQ69" s="1517"/>
      <c r="AR69" s="1517"/>
      <c r="AS69" s="1517"/>
      <c r="AT69" s="1517"/>
      <c r="AU69" s="1517"/>
      <c r="AV69" s="1517"/>
      <c r="AW69" s="1517"/>
      <c r="AX69" s="1517"/>
      <c r="AY69" s="1517"/>
      <c r="AZ69" s="1517"/>
      <c r="BA69" s="1517"/>
      <c r="BB69" s="1517"/>
      <c r="BC69" s="1517"/>
      <c r="BD69" s="1517"/>
      <c r="BE69" s="1518"/>
      <c r="BI69" s="722" t="s">
        <v>326</v>
      </c>
      <c r="BJ69" s="722">
        <v>6</v>
      </c>
      <c r="BK69" s="722" t="s">
        <v>324</v>
      </c>
      <c r="BL69" s="726"/>
      <c r="BM69" s="743"/>
      <c r="BN69" s="744"/>
      <c r="BO69" s="136"/>
      <c r="BP69" s="725"/>
      <c r="BQ69" s="726"/>
      <c r="BR69" s="758"/>
      <c r="BS69" s="814"/>
      <c r="BT69" s="136"/>
      <c r="BU69" s="725"/>
      <c r="BV69"/>
      <c r="BX69" s="666" t="str">
        <f t="shared" si="6"/>
        <v>Oct</v>
      </c>
      <c r="BY69" s="728">
        <f>IF(CB69=$CB76,SUMIF($BI64:$BI75,$BX69,$BR64:$BR75),SUMIF($BI64:$BI75,$BX69,$BM64:$BM75))</f>
        <v>0</v>
      </c>
      <c r="BZ69" s="746" t="e">
        <f>IF(IF(CB69=CB76,SUMIF(BI64:BI75,$BX69,BU64:BU75),SUMIF(BI64:BI75,$BX69,BP64:BP75))=0,NA(),IF(CB69=CB76,SUMIF(BI64:BI75,$BX69,BU64:BU75),SUMIF(BI64:BI75,$BX69,BP64:BP75)))</f>
        <v>#N/A</v>
      </c>
      <c r="CA69" s="747" t="e">
        <f>IF(IF(CB69=CB76,SUMIF(BI64:BI75,$BX69,BS64:BS75),SUMIF(BI64:BI75,$BX69,BN64:BN75))=0,NA(),IF(CB69=CB76,SUMIF(BI64:BI75,$BX69,BS64:BS75),SUMIF(BI64:BI75,$BX69,BN64:BN75)))</f>
        <v>#N/A</v>
      </c>
      <c r="CB69" s="730">
        <v>19</v>
      </c>
      <c r="CC69" s="730">
        <f t="shared" si="7"/>
        <v>10</v>
      </c>
    </row>
    <row r="70" spans="2:81" s="6" customFormat="1" ht="14.65" hidden="1" customHeight="1">
      <c r="BI70" s="722" t="s">
        <v>327</v>
      </c>
      <c r="BJ70" s="722">
        <v>7</v>
      </c>
      <c r="BK70" s="722" t="s">
        <v>328</v>
      </c>
      <c r="BL70" s="726"/>
      <c r="BM70" s="743"/>
      <c r="BN70" s="744"/>
      <c r="BO70" s="140">
        <f>IF(SUM(BM70:BM72=0),0,SUM(BL70:BL72)/SUM(BM70:BM72))</f>
        <v>0</v>
      </c>
      <c r="BP70" s="725"/>
      <c r="BQ70" s="726"/>
      <c r="BR70" s="758"/>
      <c r="BS70" s="814"/>
      <c r="BT70" s="140">
        <f>IF(SUM(BR70:BR72=0),0,SUM(BQ70:BQ72)/SUM(BR70:BR72))</f>
        <v>0</v>
      </c>
      <c r="BU70" s="725"/>
      <c r="BV70"/>
      <c r="BX70" s="666" t="str">
        <f t="shared" si="6"/>
        <v>Nov</v>
      </c>
      <c r="BY70" s="728">
        <f>IF(CB70=$CB76,SUMIF($BI64:$BI75,$BX70,$BR64:$BR75),SUMIF($BI64:$BI75,$BX70,$BM64:$BM75))</f>
        <v>0</v>
      </c>
      <c r="BZ70" s="746" t="e">
        <f>IF(IF(CB70=CB76,SUMIF(BI64:BI75,$BX70,BU64:BU75),SUMIF(BI64:BI75,$BX70,BP64:BP75))=0,NA(),IF(CB70=CB76,SUMIF(BI64:BI75,$BX70,BU64:BU75),SUMIF(BI64:BI75,$BX70,BP64:BP75)))</f>
        <v>#N/A</v>
      </c>
      <c r="CA70" s="747" t="e">
        <f>IF(IF(CB70=CB76,SUMIF(BI64:BI75,$BX70,BS64:BS75),SUMIF(BI64:BI75,$BX70,BN64:BN75))=0,NA(),IF(CB70=CB76,SUMIF(BI64:BI75,$BX70,BS64:BS75),SUMIF(BI64:BI75,$BX70,BN64:BN75)))</f>
        <v>#N/A</v>
      </c>
      <c r="CB70" s="730">
        <v>19</v>
      </c>
      <c r="CC70" s="730">
        <f t="shared" si="7"/>
        <v>11</v>
      </c>
    </row>
    <row r="71" spans="2:81" s="6" customFormat="1" ht="14.65" hidden="1" customHeight="1">
      <c r="B71" s="52"/>
      <c r="AD71"/>
      <c r="AE71"/>
      <c r="AF71"/>
      <c r="AG71"/>
      <c r="AH71"/>
      <c r="AI71"/>
      <c r="AJ71"/>
      <c r="AK71"/>
      <c r="AL71"/>
      <c r="AM71"/>
      <c r="AN71"/>
      <c r="AO71"/>
      <c r="AP71"/>
      <c r="AQ71"/>
      <c r="AR71"/>
      <c r="AS71"/>
      <c r="AT71"/>
      <c r="AU71"/>
      <c r="AV71"/>
      <c r="AW71"/>
      <c r="AX71"/>
      <c r="AY71"/>
      <c r="AZ71"/>
      <c r="BA71"/>
      <c r="BB71"/>
      <c r="BC71"/>
      <c r="BD71"/>
      <c r="BI71" s="722" t="s">
        <v>329</v>
      </c>
      <c r="BJ71" s="722">
        <v>8</v>
      </c>
      <c r="BK71" s="722" t="s">
        <v>328</v>
      </c>
      <c r="BL71" s="726"/>
      <c r="BM71" s="743"/>
      <c r="BN71" s="744"/>
      <c r="BO71" s="136"/>
      <c r="BP71" s="725"/>
      <c r="BQ71" s="726"/>
      <c r="BR71" s="758"/>
      <c r="BS71" s="814"/>
      <c r="BT71" s="136"/>
      <c r="BU71" s="725"/>
      <c r="BV71"/>
      <c r="BX71" s="666" t="str">
        <f t="shared" si="6"/>
        <v>Dec</v>
      </c>
      <c r="BY71" s="728">
        <f>IF(CB71=$CB76,SUMIF($BI64:$BI75,$BX71,$BR64:$BR75),SUMIF($BI64:$BI75,$BX71,$BM64:$BM75))</f>
        <v>0</v>
      </c>
      <c r="BZ71" s="746" t="e">
        <f>IF(IF(CB71=CB76,SUMIF(BI64:BI75,$BX71,BU64:BU75),SUMIF(BI64:BI75,$BX71,BP64:BP75))=0,NA(),IF(CB71=CB76,SUMIF(BI64:BI75,$BX71,BU64:BU75),SUMIF(BI64:BI75,$BX71,BP64:BP75)))</f>
        <v>#N/A</v>
      </c>
      <c r="CA71" s="747" t="e">
        <f>IF(IF(CB71=CB76,SUMIF(BI64:BI75,$BX71,BS64:BS75),SUMIF(BI64:BI75,$BX71,BN64:BN75))=0,NA(),IF(CB71=CB76,SUMIF(BI64:BI75,$BX71,BS64:BS75),SUMIF(BI64:BI75,$BX71,BN64:BN75)))</f>
        <v>#N/A</v>
      </c>
      <c r="CB71" s="730">
        <v>19</v>
      </c>
      <c r="CC71" s="730">
        <f t="shared" si="7"/>
        <v>12</v>
      </c>
    </row>
    <row r="72" spans="2:81" s="6" customFormat="1" ht="14.65" hidden="1" customHeight="1">
      <c r="AD72"/>
      <c r="AE72"/>
      <c r="AF72"/>
      <c r="AG72"/>
      <c r="AH72"/>
      <c r="AI72"/>
      <c r="AJ72"/>
      <c r="AK72"/>
      <c r="AL72"/>
      <c r="AM72"/>
      <c r="AN72"/>
      <c r="AO72"/>
      <c r="AP72"/>
      <c r="AQ72"/>
      <c r="AR72"/>
      <c r="AS72"/>
      <c r="AT72"/>
      <c r="AU72"/>
      <c r="AV72"/>
      <c r="AW72"/>
      <c r="AX72"/>
      <c r="AY72"/>
      <c r="AZ72"/>
      <c r="BA72"/>
      <c r="BB72"/>
      <c r="BC72"/>
      <c r="BD72"/>
      <c r="BI72" s="722" t="s">
        <v>331</v>
      </c>
      <c r="BJ72" s="722">
        <v>9</v>
      </c>
      <c r="BK72" s="722" t="s">
        <v>328</v>
      </c>
      <c r="BL72" s="726"/>
      <c r="BM72" s="743"/>
      <c r="BN72" s="744"/>
      <c r="BO72" s="136"/>
      <c r="BP72" s="725"/>
      <c r="BQ72" s="726"/>
      <c r="BR72" s="758"/>
      <c r="BS72" s="814"/>
      <c r="BT72" s="136"/>
      <c r="BU72" s="725"/>
      <c r="BV72"/>
      <c r="BX72" s="666" t="str">
        <f t="shared" si="6"/>
        <v>Jan</v>
      </c>
      <c r="BY72" s="728">
        <f>IF(CB72=$CB76,SUMIF($BI64:$BI75,$BX72,$BR64:$BR75),SUMIF($BI64:$BI75,$BX72,$BM64:$BM75))</f>
        <v>0</v>
      </c>
      <c r="BZ72" s="746" t="e">
        <f>IF(IF(CB72=CB76,SUMIF(BI64:BI75,$BX72,BU64:BU75),SUMIF(BI64:BI75,$BX72,BP64:BP75))=0,NA(),IF(CB72=CB76,SUMIF(BI64:BI75,$BX72,BU64:BU75),SUMIF(BI64:BI75,$BX72,BP64:BP75)))</f>
        <v>#N/A</v>
      </c>
      <c r="CA72" s="747" t="e">
        <f>IF(IF(CB72=CB76,SUMIF(BI64:BI75,$BX72,BS64:BS75),SUMIF(BI64:BI75,$BX72,BN64:BN75))=0,NA(),IF(CB72=CB76,SUMIF(BI64:BI75,$BX72,BS64:BS75),SUMIF(BI64:BI75,$BX72,BN64:BN75)))</f>
        <v>#N/A</v>
      </c>
      <c r="CB72" s="730">
        <v>19</v>
      </c>
      <c r="CC72" s="730">
        <f t="shared" si="7"/>
        <v>1</v>
      </c>
    </row>
    <row r="73" spans="2:81" s="6" customFormat="1" ht="14.65" hidden="1" customHeight="1">
      <c r="AD73"/>
      <c r="AE73"/>
      <c r="AF73"/>
      <c r="AG73"/>
      <c r="AH73"/>
      <c r="AI73"/>
      <c r="AJ73"/>
      <c r="AK73"/>
      <c r="AL73"/>
      <c r="AM73"/>
      <c r="AN73"/>
      <c r="AO73"/>
      <c r="AP73"/>
      <c r="AQ73"/>
      <c r="AR73"/>
      <c r="AS73"/>
      <c r="AT73"/>
      <c r="AU73"/>
      <c r="AV73"/>
      <c r="AW73"/>
      <c r="AX73"/>
      <c r="AY73"/>
      <c r="AZ73"/>
      <c r="BA73"/>
      <c r="BB73"/>
      <c r="BC73"/>
      <c r="BD73"/>
      <c r="BI73" s="722" t="s">
        <v>337</v>
      </c>
      <c r="BJ73" s="722">
        <v>10</v>
      </c>
      <c r="BK73" s="722" t="s">
        <v>338</v>
      </c>
      <c r="BL73" s="726"/>
      <c r="BM73" s="743"/>
      <c r="BN73" s="744"/>
      <c r="BO73" s="140">
        <f>IF(SUM(BM73:BM75=0),0,SUM(BL73:BL75)/SUM(BM73:BM75))</f>
        <v>0</v>
      </c>
      <c r="BP73" s="725"/>
      <c r="BQ73" s="726"/>
      <c r="BR73" s="758"/>
      <c r="BS73" s="814"/>
      <c r="BT73" s="140">
        <f>IF(SUM(BR73:BR75=0),0,SUM(BQ73:BQ75)/SUM(BR73:BR75))</f>
        <v>0</v>
      </c>
      <c r="BU73" s="725"/>
      <c r="BV73"/>
      <c r="BX73" s="666" t="str">
        <f t="shared" si="6"/>
        <v>Feb</v>
      </c>
      <c r="BY73" s="728">
        <f>IF(CB73=$CB76,SUMIF($BI64:$BI75,$BX73,$BR64:$BR75),SUMIF($BI64:$BI75,$BX73,$BM64:$BM75))</f>
        <v>0</v>
      </c>
      <c r="BZ73" s="746" t="e">
        <f>IF(IF(CB73=CB76,SUMIF(BI64:BI75,$BX73,BU64:BU75),SUMIF(BI64:BI75,$BX73,BP64:BP75))=0,NA(),IF(CB73=CB76,SUMIF(BI64:BI75,$BX73,BU64:BU75),SUMIF(BI64:BI75,$BX73,BP64:BP75)))</f>
        <v>#N/A</v>
      </c>
      <c r="CA73" s="747" t="e">
        <f>IF(IF(CB73=CB76,SUMIF(BI64:BI75,$BX73,BS64:BS75),SUMIF(BI64:BI75,$BX73,BN64:BN75))=0,NA(),IF(CB73=CB76,SUMIF(BI64:BI75,$BX73,BS64:BS75),SUMIF(BI64:BI75,$BX73,BN64:BN75)))</f>
        <v>#N/A</v>
      </c>
      <c r="CB73" s="730">
        <v>19</v>
      </c>
      <c r="CC73" s="730">
        <f t="shared" si="7"/>
        <v>2</v>
      </c>
    </row>
    <row r="74" spans="2:81" s="6" customFormat="1" ht="14.65" hidden="1" customHeight="1">
      <c r="AD74"/>
      <c r="AE74"/>
      <c r="AF74"/>
      <c r="AG74"/>
      <c r="AH74"/>
      <c r="AI74"/>
      <c r="AJ74"/>
      <c r="AK74"/>
      <c r="AL74"/>
      <c r="AM74"/>
      <c r="AN74"/>
      <c r="AO74"/>
      <c r="AP74"/>
      <c r="AQ74"/>
      <c r="AR74"/>
      <c r="AS74"/>
      <c r="AT74"/>
      <c r="AU74"/>
      <c r="AV74"/>
      <c r="AW74"/>
      <c r="AX74"/>
      <c r="AY74"/>
      <c r="AZ74"/>
      <c r="BA74"/>
      <c r="BB74"/>
      <c r="BC74"/>
      <c r="BD74"/>
      <c r="BI74" s="722" t="s">
        <v>343</v>
      </c>
      <c r="BJ74" s="722">
        <v>11</v>
      </c>
      <c r="BK74" s="722" t="s">
        <v>338</v>
      </c>
      <c r="BL74" s="726"/>
      <c r="BM74" s="743"/>
      <c r="BN74" s="744"/>
      <c r="BO74" s="136"/>
      <c r="BP74" s="725"/>
      <c r="BQ74" s="726"/>
      <c r="BR74" s="758"/>
      <c r="BS74" s="814"/>
      <c r="BT74" s="136"/>
      <c r="BU74" s="725"/>
      <c r="BV74"/>
      <c r="BX74" s="666" t="str">
        <f t="shared" si="6"/>
        <v>Mar</v>
      </c>
      <c r="BY74" s="728">
        <f>IF(CB74=$CB76,SUMIF($BI64:$BI75,$BX74,$BR64:$BR75),SUMIF($BI64:$BI75,$BX74,$BM64:$BM75))</f>
        <v>0</v>
      </c>
      <c r="BZ74" s="746" t="e">
        <f>IF(IF(CB74=CB76,SUMIF(BI64:BI75,$BX74,BU64:BU75),SUMIF(BI64:BI75,$BX74,BP64:BP75))=0,NA(),IF(CB74=CB76,SUMIF(BI64:BI75,$BX74,BU64:BU75),SUMIF(BI64:BI75,$BX74,BP64:BP75)))</f>
        <v>#N/A</v>
      </c>
      <c r="CA74" s="747" t="e">
        <f>IF(IF(CB74=CB76,SUMIF(BI64:BI75,$BX74,BS64:BS75),SUMIF(BI64:BI75,$BX74,BN64:BN75))=0,NA(),IF(CB74=CB76,SUMIF(BI64:BI75,$BX74,BS64:BS75),SUMIF(BI64:BI75,$BX74,BN64:BN75)))</f>
        <v>#N/A</v>
      </c>
      <c r="CB74" s="730">
        <v>20</v>
      </c>
      <c r="CC74" s="730">
        <f t="shared" si="7"/>
        <v>3</v>
      </c>
    </row>
    <row r="75" spans="2:81" s="6" customFormat="1" ht="14.65" hidden="1" customHeight="1">
      <c r="AD75"/>
      <c r="AE75"/>
      <c r="AF75"/>
      <c r="AG75"/>
      <c r="AH75"/>
      <c r="AI75"/>
      <c r="AJ75"/>
      <c r="AK75"/>
      <c r="AL75"/>
      <c r="AM75"/>
      <c r="AN75"/>
      <c r="AO75"/>
      <c r="AP75"/>
      <c r="AQ75"/>
      <c r="AR75"/>
      <c r="AS75"/>
      <c r="AT75"/>
      <c r="AU75"/>
      <c r="AV75"/>
      <c r="AW75"/>
      <c r="AX75"/>
      <c r="AY75"/>
      <c r="AZ75"/>
      <c r="BA75"/>
      <c r="BB75"/>
      <c r="BC75"/>
      <c r="BD75"/>
      <c r="BI75" s="722" t="s">
        <v>344</v>
      </c>
      <c r="BJ75" s="722">
        <v>12</v>
      </c>
      <c r="BK75" s="722" t="s">
        <v>338</v>
      </c>
      <c r="BL75" s="726"/>
      <c r="BM75" s="743"/>
      <c r="BN75" s="744"/>
      <c r="BO75" s="136"/>
      <c r="BP75" s="725"/>
      <c r="BQ75" s="726"/>
      <c r="BR75" s="758"/>
      <c r="BS75" s="814"/>
      <c r="BT75" s="136"/>
      <c r="BU75" s="725"/>
      <c r="BX75" s="666" t="str">
        <f t="shared" si="6"/>
        <v>Apr</v>
      </c>
      <c r="BY75" s="728">
        <f>IF(CB75=$CB76,SUMIF($BI64:$BI75,$BX75,$BR64:$BR75),SUMIF($BI64:$BI75,$BX75,$BM64:$BM75))</f>
        <v>0</v>
      </c>
      <c r="BZ75" s="746" t="e">
        <f>IF(IF(CB75=CB76,SUMIF(BI64:BI75,$BX75,BU64:BU75),SUMIF(BI64:BI75,$BX75,BP64:BP75))=0,NA(),IF(CB75=CB76,SUMIF(BI64:BI75,$BX75,BU64:BU75),SUMIF(BI64:BI75,$BX75,BP64:BP75)))</f>
        <v>#N/A</v>
      </c>
      <c r="CA75" s="747" t="e">
        <f>IF(IF(CB75=CB76,SUMIF(BI64:BI75,$BX75,BS64:BS75),SUMIF(BI64:BI75,$BX75,BN64:BN75))=0,NA(),IF(CB75=CB76,SUMIF(BI64:BI75,$BX75,BS64:BS75),SUMIF(BI64:BI75,$BX75,BN64:BN75)))</f>
        <v>#N/A</v>
      </c>
      <c r="CB75" s="730">
        <v>20</v>
      </c>
      <c r="CC75" s="730">
        <f>IF(CC76-1&lt;1,CC76+11,CC76-1)</f>
        <v>4</v>
      </c>
    </row>
    <row r="76" spans="2:81" s="6" customFormat="1" ht="14.65" hidden="1" customHeight="1">
      <c r="AD76"/>
      <c r="AE76"/>
      <c r="AF76"/>
      <c r="AG76"/>
      <c r="AH76"/>
      <c r="AI76"/>
      <c r="AJ76"/>
      <c r="AK76"/>
      <c r="AL76"/>
      <c r="AM76"/>
      <c r="AN76"/>
      <c r="AO76"/>
      <c r="AP76"/>
      <c r="AQ76"/>
      <c r="AR76"/>
      <c r="AS76"/>
      <c r="AT76"/>
      <c r="AU76"/>
      <c r="AV76"/>
      <c r="AW76"/>
      <c r="AX76"/>
      <c r="AY76"/>
      <c r="AZ76"/>
      <c r="BA76"/>
      <c r="BB76"/>
      <c r="BC76"/>
      <c r="BD76"/>
      <c r="BI76"/>
      <c r="BW76" s="667" t="str">
        <f>[2]Cover!$C$44</f>
        <v>MAY FY-20</v>
      </c>
      <c r="BX76" s="666" t="str">
        <f>TEXT(CONCATENATE(CC76,"/01/20",CB76),"MMM")</f>
        <v>May</v>
      </c>
      <c r="BY76" s="728">
        <f>SUMIF($BI64:$BI75,$BX76,$BR64:$BR75)</f>
        <v>0</v>
      </c>
      <c r="BZ76" s="746" t="e">
        <f>IF(IF(CB76=CB76,SUMIF(BI64:BI75,$BX76,BU64:BU75),SUMIF(BI64:BI75,$BX76,BP64:BP75))=0,NA(),IF(CB76=CB76,SUMIF(BI64:BI75,$BX76,BU64:BU75),SUMIF(BI64:BI75,$BX76,BP64:BP75)))</f>
        <v>#N/A</v>
      </c>
      <c r="CA76" s="747" t="e">
        <f>IF(SUMIF($BI64:$BI75,$BX76,$BS64:$BS75)=0,NA(),SUMIF($BI64:$BI75,$BX76,$BS64:$BS75))</f>
        <v>#N/A</v>
      </c>
      <c r="CB76" s="730">
        <v>20</v>
      </c>
      <c r="CC76" s="730">
        <f>MONTH(DATEVALUE(LEFT(BW76,3)&amp;" 1"))</f>
        <v>5</v>
      </c>
    </row>
    <row r="77" spans="2:81" s="6" customFormat="1" ht="14.65" hidden="1" customHeight="1">
      <c r="AD77"/>
      <c r="AE77"/>
      <c r="AF77"/>
      <c r="AG77"/>
      <c r="AH77"/>
      <c r="AI77"/>
      <c r="AJ77"/>
      <c r="AK77"/>
      <c r="AL77"/>
      <c r="AM77"/>
      <c r="AN77"/>
      <c r="AO77"/>
      <c r="AP77"/>
      <c r="AQ77"/>
      <c r="AR77"/>
      <c r="AS77"/>
      <c r="AT77"/>
      <c r="AU77"/>
      <c r="AV77"/>
      <c r="AW77"/>
      <c r="AX77"/>
      <c r="AY77"/>
      <c r="AZ77"/>
      <c r="BA77"/>
      <c r="BB77"/>
      <c r="BC77"/>
      <c r="BD77"/>
      <c r="BI77"/>
    </row>
    <row r="78" spans="2:81" s="6" customFormat="1" ht="14.65" hidden="1" customHeight="1">
      <c r="AD78"/>
      <c r="AE78"/>
      <c r="AF78"/>
      <c r="AG78"/>
      <c r="AH78"/>
      <c r="AI78"/>
      <c r="AJ78"/>
      <c r="AK78"/>
      <c r="AL78"/>
      <c r="AM78"/>
      <c r="AN78"/>
      <c r="AO78"/>
      <c r="AP78"/>
      <c r="AQ78"/>
      <c r="AR78"/>
      <c r="AS78"/>
      <c r="AT78"/>
      <c r="AU78"/>
      <c r="AV78"/>
      <c r="AW78"/>
      <c r="AX78"/>
      <c r="AY78"/>
      <c r="AZ78"/>
      <c r="BA78"/>
      <c r="BB78"/>
      <c r="BC78"/>
      <c r="BD78"/>
      <c r="BI78"/>
    </row>
    <row r="79" spans="2:81" s="6" customFormat="1" ht="14.65" hidden="1" customHeight="1">
      <c r="AD79"/>
      <c r="AE79"/>
      <c r="AF79"/>
      <c r="AG79"/>
      <c r="AH79"/>
      <c r="AI79"/>
      <c r="AJ79"/>
      <c r="AK79"/>
      <c r="AL79"/>
      <c r="AM79"/>
      <c r="AN79"/>
      <c r="AO79"/>
      <c r="AP79"/>
      <c r="AQ79"/>
      <c r="AR79"/>
      <c r="AS79"/>
      <c r="AT79"/>
      <c r="AU79"/>
      <c r="AV79"/>
      <c r="AW79"/>
      <c r="AX79"/>
      <c r="AY79"/>
      <c r="AZ79"/>
      <c r="BA79"/>
      <c r="BB79"/>
      <c r="BC79"/>
      <c r="BD79"/>
      <c r="BI79"/>
    </row>
    <row r="80" spans="2:81" s="6" customFormat="1" ht="14.65" hidden="1" customHeight="1">
      <c r="AD80"/>
      <c r="AE80"/>
      <c r="AF80"/>
      <c r="AG80"/>
      <c r="AH80"/>
      <c r="AI80"/>
      <c r="AJ80"/>
      <c r="AK80"/>
      <c r="AL80"/>
      <c r="AM80"/>
      <c r="AN80"/>
      <c r="AO80"/>
      <c r="AP80"/>
      <c r="AQ80"/>
      <c r="AR80"/>
      <c r="AS80"/>
      <c r="AT80"/>
      <c r="AU80"/>
      <c r="AV80"/>
      <c r="AW80"/>
      <c r="AX80"/>
      <c r="AY80"/>
      <c r="AZ80"/>
      <c r="BA80"/>
      <c r="BB80"/>
      <c r="BC80"/>
      <c r="BD80"/>
      <c r="BI80"/>
    </row>
    <row r="81" spans="2:61" s="6" customFormat="1" ht="14.65" hidden="1" customHeight="1">
      <c r="AD81"/>
      <c r="AE81"/>
      <c r="AF81"/>
      <c r="AG81"/>
      <c r="AH81"/>
      <c r="AI81"/>
      <c r="AJ81"/>
      <c r="AK81"/>
      <c r="AL81"/>
      <c r="AM81"/>
      <c r="AN81"/>
      <c r="AO81"/>
      <c r="AP81"/>
      <c r="AQ81"/>
      <c r="AR81"/>
      <c r="AS81"/>
      <c r="AT81"/>
      <c r="AU81"/>
      <c r="AV81"/>
      <c r="AW81"/>
      <c r="AX81"/>
      <c r="AY81"/>
      <c r="AZ81"/>
      <c r="BA81"/>
      <c r="BB81"/>
      <c r="BC81"/>
      <c r="BD81"/>
      <c r="BI81"/>
    </row>
    <row r="82" spans="2:61" s="6" customFormat="1" ht="14.65" hidden="1" customHeight="1">
      <c r="AD82"/>
      <c r="AE82"/>
      <c r="AF82"/>
      <c r="AG82"/>
      <c r="AH82"/>
      <c r="AI82"/>
      <c r="AJ82"/>
      <c r="AK82"/>
      <c r="AL82"/>
      <c r="AM82"/>
      <c r="AN82"/>
      <c r="AO82"/>
      <c r="AP82"/>
      <c r="AQ82"/>
      <c r="AR82"/>
      <c r="AS82"/>
      <c r="AT82"/>
      <c r="AU82"/>
      <c r="AV82"/>
      <c r="AW82"/>
      <c r="AX82"/>
      <c r="AY82"/>
      <c r="AZ82"/>
      <c r="BA82"/>
      <c r="BB82"/>
      <c r="BC82"/>
      <c r="BD82"/>
      <c r="BI82"/>
    </row>
    <row r="83" spans="2:61" s="6" customFormat="1" ht="14.65" hidden="1" customHeight="1">
      <c r="AD83"/>
      <c r="AE83"/>
      <c r="AF83"/>
      <c r="AG83"/>
      <c r="AH83"/>
      <c r="AI83"/>
      <c r="AJ83"/>
      <c r="AK83"/>
      <c r="AL83"/>
      <c r="AM83"/>
      <c r="AN83"/>
      <c r="AO83"/>
      <c r="AP83"/>
      <c r="AQ83"/>
      <c r="AR83"/>
      <c r="AS83"/>
      <c r="AT83"/>
      <c r="AU83"/>
      <c r="AV83"/>
      <c r="AW83"/>
      <c r="AX83"/>
      <c r="AY83"/>
      <c r="AZ83"/>
      <c r="BA83"/>
      <c r="BB83"/>
      <c r="BC83"/>
      <c r="BD83"/>
      <c r="BI83"/>
    </row>
    <row r="84" spans="2:61" s="6" customFormat="1" ht="14.65" hidden="1" customHeight="1">
      <c r="AD84"/>
      <c r="AE84"/>
      <c r="AF84"/>
      <c r="AG84"/>
      <c r="AH84"/>
      <c r="AI84"/>
      <c r="AJ84"/>
      <c r="AK84"/>
      <c r="AL84"/>
      <c r="AM84"/>
      <c r="AN84"/>
      <c r="AO84"/>
      <c r="AP84"/>
      <c r="AQ84"/>
      <c r="AR84"/>
      <c r="AS84"/>
      <c r="AT84"/>
      <c r="AU84"/>
      <c r="AV84"/>
      <c r="AW84"/>
      <c r="AX84"/>
      <c r="AY84"/>
      <c r="AZ84"/>
      <c r="BA84"/>
      <c r="BB84"/>
      <c r="BC84"/>
      <c r="BD84"/>
      <c r="BI84"/>
    </row>
    <row r="85" spans="2:61" s="6" customFormat="1" ht="14.65" hidden="1" customHeight="1">
      <c r="AD85"/>
      <c r="AE85"/>
      <c r="AF85"/>
      <c r="AG85"/>
      <c r="AH85"/>
      <c r="AI85"/>
      <c r="AJ85"/>
      <c r="AK85"/>
      <c r="AL85"/>
      <c r="AM85"/>
      <c r="AN85"/>
      <c r="AO85"/>
      <c r="AP85"/>
      <c r="AQ85"/>
      <c r="AR85"/>
      <c r="AS85"/>
      <c r="AT85"/>
      <c r="AU85"/>
      <c r="AV85"/>
      <c r="AW85"/>
      <c r="AX85"/>
      <c r="AY85"/>
      <c r="AZ85"/>
      <c r="BA85"/>
      <c r="BB85"/>
      <c r="BC85"/>
      <c r="BD85"/>
      <c r="BI85"/>
    </row>
    <row r="86" spans="2:61" s="6" customFormat="1" ht="14.65" hidden="1" customHeight="1">
      <c r="AD86"/>
      <c r="AE86"/>
      <c r="AF86"/>
      <c r="AG86"/>
      <c r="AH86"/>
      <c r="AI86"/>
      <c r="AJ86"/>
      <c r="AK86"/>
      <c r="AL86"/>
      <c r="AM86"/>
      <c r="AN86"/>
      <c r="AO86"/>
      <c r="AP86"/>
      <c r="AQ86"/>
      <c r="AR86"/>
      <c r="AS86"/>
      <c r="AT86"/>
      <c r="AU86"/>
      <c r="AV86"/>
      <c r="AW86"/>
      <c r="AX86"/>
      <c r="AY86"/>
      <c r="AZ86"/>
      <c r="BA86"/>
      <c r="BB86"/>
      <c r="BC86"/>
      <c r="BD86"/>
      <c r="BI86"/>
    </row>
    <row r="87" spans="2:61" s="6" customFormat="1" ht="14.65" hidden="1" customHeight="1">
      <c r="AD87"/>
      <c r="AE87"/>
      <c r="AF87"/>
      <c r="AG87"/>
      <c r="AH87"/>
      <c r="AI87"/>
      <c r="AJ87"/>
      <c r="AK87"/>
      <c r="AL87"/>
      <c r="AM87"/>
      <c r="AN87"/>
      <c r="AO87"/>
      <c r="AP87"/>
      <c r="AQ87"/>
      <c r="AR87"/>
      <c r="AS87"/>
      <c r="AT87"/>
      <c r="AU87"/>
      <c r="AV87"/>
      <c r="AW87"/>
      <c r="AX87"/>
      <c r="AY87"/>
      <c r="AZ87"/>
      <c r="BA87"/>
      <c r="BB87"/>
      <c r="BC87"/>
      <c r="BD87"/>
      <c r="BI87"/>
    </row>
    <row r="88" spans="2:61" s="6" customFormat="1" ht="14.65" hidden="1" customHeight="1">
      <c r="B88" s="44" t="s">
        <v>242</v>
      </c>
      <c r="C88" s="44"/>
      <c r="D88" s="44"/>
      <c r="E88" s="87"/>
      <c r="F88" s="94"/>
      <c r="G88" s="94"/>
      <c r="H88" s="94"/>
      <c r="I88" s="94"/>
      <c r="J88" s="94"/>
      <c r="K88" s="94"/>
      <c r="L88" s="94"/>
      <c r="M88" s="94"/>
      <c r="N88" s="94"/>
      <c r="O88" s="94"/>
      <c r="P88" s="94"/>
      <c r="Q88" s="94"/>
      <c r="R88" s="94"/>
      <c r="S88" s="94"/>
      <c r="T88" s="94"/>
      <c r="U88" s="94"/>
      <c r="V88" s="94"/>
      <c r="W88" s="94"/>
      <c r="X88" s="94"/>
      <c r="Y88" s="94"/>
      <c r="Z88" s="94"/>
      <c r="AA88" s="94"/>
      <c r="AB88" s="94"/>
      <c r="AD88"/>
      <c r="BI88"/>
    </row>
    <row r="89" spans="2:61" s="6" customFormat="1" ht="15" hidden="1" customHeight="1">
      <c r="B89" s="1510" t="s">
        <v>694</v>
      </c>
      <c r="C89" s="1511"/>
      <c r="D89" s="1511"/>
      <c r="E89" s="1511"/>
      <c r="F89" s="1511"/>
      <c r="G89" s="1511"/>
      <c r="H89" s="1511"/>
      <c r="I89" s="1511"/>
      <c r="J89" s="1511"/>
      <c r="K89" s="1511"/>
      <c r="L89" s="1511"/>
      <c r="M89" s="1511"/>
      <c r="N89" s="1511"/>
      <c r="O89" s="1511"/>
      <c r="P89" s="1511"/>
      <c r="Q89" s="1511"/>
      <c r="R89" s="1511"/>
      <c r="S89" s="1511"/>
      <c r="T89" s="1511"/>
      <c r="U89" s="1511"/>
      <c r="V89" s="1511"/>
      <c r="W89" s="1511"/>
      <c r="X89" s="1511"/>
      <c r="Y89" s="1511"/>
      <c r="Z89" s="1511"/>
      <c r="AA89" s="1511"/>
      <c r="AB89" s="1512"/>
      <c r="AD89"/>
      <c r="BI89"/>
    </row>
    <row r="90" spans="2:61" s="6" customFormat="1" ht="15" hidden="1" customHeight="1">
      <c r="B90" s="1513"/>
      <c r="C90" s="1514"/>
      <c r="D90" s="1514"/>
      <c r="E90" s="1514"/>
      <c r="F90" s="1514"/>
      <c r="G90" s="1514"/>
      <c r="H90" s="1514"/>
      <c r="I90" s="1514"/>
      <c r="J90" s="1514"/>
      <c r="K90" s="1514"/>
      <c r="L90" s="1514"/>
      <c r="M90" s="1514"/>
      <c r="N90" s="1514"/>
      <c r="O90" s="1514"/>
      <c r="P90" s="1514"/>
      <c r="Q90" s="1514"/>
      <c r="R90" s="1514"/>
      <c r="S90" s="1514"/>
      <c r="T90" s="1514"/>
      <c r="U90" s="1514"/>
      <c r="V90" s="1514"/>
      <c r="W90" s="1514"/>
      <c r="X90" s="1514"/>
      <c r="Y90" s="1514"/>
      <c r="Z90" s="1514"/>
      <c r="AA90" s="1514"/>
      <c r="AB90" s="1515"/>
      <c r="AD90"/>
      <c r="BI90"/>
    </row>
    <row r="91" spans="2:61" s="6" customFormat="1" ht="15" hidden="1" customHeight="1">
      <c r="B91" s="1513"/>
      <c r="C91" s="1514"/>
      <c r="D91" s="1514"/>
      <c r="E91" s="1514"/>
      <c r="F91" s="1514"/>
      <c r="G91" s="1514"/>
      <c r="H91" s="1514"/>
      <c r="I91" s="1514"/>
      <c r="J91" s="1514"/>
      <c r="K91" s="1514"/>
      <c r="L91" s="1514"/>
      <c r="M91" s="1514"/>
      <c r="N91" s="1514"/>
      <c r="O91" s="1514"/>
      <c r="P91" s="1514"/>
      <c r="Q91" s="1514"/>
      <c r="R91" s="1514"/>
      <c r="S91" s="1514"/>
      <c r="T91" s="1514"/>
      <c r="U91" s="1514"/>
      <c r="V91" s="1514"/>
      <c r="W91" s="1514"/>
      <c r="X91" s="1514"/>
      <c r="Y91" s="1514"/>
      <c r="Z91" s="1514"/>
      <c r="AA91" s="1514"/>
      <c r="AB91" s="1515"/>
      <c r="AD91"/>
      <c r="BI91"/>
    </row>
    <row r="92" spans="2:61" s="6" customFormat="1" ht="14.65" hidden="1" customHeight="1">
      <c r="B92" s="1516"/>
      <c r="C92" s="1517"/>
      <c r="D92" s="1517"/>
      <c r="E92" s="1517"/>
      <c r="F92" s="1517"/>
      <c r="G92" s="1517"/>
      <c r="H92" s="1517"/>
      <c r="I92" s="1517"/>
      <c r="J92" s="1517"/>
      <c r="K92" s="1517"/>
      <c r="L92" s="1517"/>
      <c r="M92" s="1517"/>
      <c r="N92" s="1517"/>
      <c r="O92" s="1517"/>
      <c r="P92" s="1517"/>
      <c r="Q92" s="1517"/>
      <c r="R92" s="1517"/>
      <c r="S92" s="1517"/>
      <c r="T92" s="1517"/>
      <c r="U92" s="1517"/>
      <c r="V92" s="1517"/>
      <c r="W92" s="1517"/>
      <c r="X92" s="1517"/>
      <c r="Y92" s="1517"/>
      <c r="Z92" s="1517"/>
      <c r="AA92" s="1517"/>
      <c r="AB92" s="1518"/>
      <c r="AD92"/>
      <c r="BI92"/>
    </row>
    <row r="93" spans="2:61" s="6" customFormat="1" ht="14.65" hidden="1" customHeight="1">
      <c r="BI93"/>
    </row>
    <row r="94" spans="2:61" s="6" customFormat="1" ht="14.65" hidden="1" customHeight="1">
      <c r="BI94"/>
    </row>
    <row r="95" spans="2:61" s="6" customFormat="1" ht="46.9" hidden="1" customHeight="1">
      <c r="B95" s="1534" t="s">
        <v>431</v>
      </c>
      <c r="C95" s="1535"/>
      <c r="D95" s="1535"/>
      <c r="E95" s="1535"/>
      <c r="F95" s="1535"/>
      <c r="G95" s="1535"/>
      <c r="H95" s="1535"/>
      <c r="I95" s="1535"/>
      <c r="J95" s="1535"/>
      <c r="K95" s="1535"/>
      <c r="L95" s="1536"/>
      <c r="M95" s="1537" t="s">
        <v>432</v>
      </c>
      <c r="N95" s="1538"/>
      <c r="O95" s="1538"/>
      <c r="P95" s="1538"/>
      <c r="Q95" s="1538"/>
      <c r="R95" s="1538"/>
      <c r="S95" s="1538"/>
      <c r="T95" s="1538"/>
      <c r="U95" s="1538"/>
      <c r="V95" s="1539"/>
      <c r="W95" s="1537" t="s">
        <v>433</v>
      </c>
      <c r="X95" s="1538"/>
      <c r="Y95" s="1538"/>
      <c r="Z95" s="1538"/>
      <c r="AA95" s="1538"/>
      <c r="AB95" s="1538"/>
      <c r="AC95" s="1538"/>
      <c r="AD95" s="1538"/>
      <c r="AE95" s="1538"/>
      <c r="AF95" s="1539"/>
      <c r="AG95" s="1553" t="s">
        <v>434</v>
      </c>
      <c r="AH95" s="1554"/>
      <c r="AI95" s="1554"/>
      <c r="AJ95" s="1554"/>
      <c r="AK95" s="1554"/>
      <c r="AL95" s="1554"/>
      <c r="AM95" s="1554"/>
      <c r="AN95" s="1554"/>
      <c r="AO95" s="1554"/>
      <c r="AP95" s="1555"/>
      <c r="AQ95" s="1534" t="s">
        <v>435</v>
      </c>
      <c r="AR95" s="1535"/>
      <c r="AS95" s="1535"/>
      <c r="AT95" s="1535"/>
      <c r="AU95" s="1536"/>
      <c r="AV95" s="1549" t="s">
        <v>670</v>
      </c>
      <c r="AW95" s="1550"/>
      <c r="AX95" s="1550"/>
      <c r="AY95" s="1550"/>
      <c r="AZ95" s="1551"/>
      <c r="BA95" s="1549" t="s">
        <v>437</v>
      </c>
      <c r="BB95" s="1550"/>
      <c r="BC95" s="1550"/>
      <c r="BD95" s="1550"/>
      <c r="BE95" s="1551"/>
      <c r="BI95"/>
    </row>
    <row r="96" spans="2:61" s="6" customFormat="1" ht="46.9" hidden="1" customHeight="1">
      <c r="B96" s="1557"/>
      <c r="C96" s="1558"/>
      <c r="D96" s="1558"/>
      <c r="E96" s="1558"/>
      <c r="F96" s="1558"/>
      <c r="G96" s="1558"/>
      <c r="H96" s="1558"/>
      <c r="I96" s="1558"/>
      <c r="J96" s="1558"/>
      <c r="K96" s="1558"/>
      <c r="L96" s="1559"/>
      <c r="M96" s="1543"/>
      <c r="N96" s="1544"/>
      <c r="O96" s="1544"/>
      <c r="P96" s="1544"/>
      <c r="Q96" s="1544"/>
      <c r="R96" s="1544"/>
      <c r="S96" s="1544"/>
      <c r="T96" s="1544"/>
      <c r="U96" s="1544"/>
      <c r="V96" s="1545"/>
      <c r="W96" s="1543"/>
      <c r="X96" s="1544"/>
      <c r="Y96" s="1544"/>
      <c r="Z96" s="1544"/>
      <c r="AA96" s="1544"/>
      <c r="AB96" s="1544"/>
      <c r="AC96" s="1544"/>
      <c r="AD96" s="1544"/>
      <c r="AE96" s="1544"/>
      <c r="AF96" s="1545"/>
      <c r="AG96" s="1543"/>
      <c r="AH96" s="1544"/>
      <c r="AI96" s="1544"/>
      <c r="AJ96" s="1544"/>
      <c r="AK96" s="1544"/>
      <c r="AL96" s="1544"/>
      <c r="AM96" s="1544"/>
      <c r="AN96" s="1544"/>
      <c r="AO96" s="1544"/>
      <c r="AP96" s="1545"/>
      <c r="AQ96" s="1587"/>
      <c r="AR96" s="1588"/>
      <c r="AS96" s="1588"/>
      <c r="AT96" s="1588"/>
      <c r="AU96" s="1589"/>
      <c r="AV96" s="1560"/>
      <c r="AW96" s="1561"/>
      <c r="AX96" s="1561"/>
      <c r="AY96" s="1561"/>
      <c r="AZ96" s="1562"/>
      <c r="BA96" s="1839"/>
      <c r="BB96" s="1840"/>
      <c r="BC96" s="1840"/>
      <c r="BD96" s="1840"/>
      <c r="BE96" s="1840"/>
      <c r="BI96"/>
    </row>
    <row r="97" spans="2:74" s="6" customFormat="1" ht="46.9" hidden="1" customHeight="1">
      <c r="B97" s="1578"/>
      <c r="C97" s="1579"/>
      <c r="D97" s="1579"/>
      <c r="E97" s="1579"/>
      <c r="F97" s="1579"/>
      <c r="G97" s="1579"/>
      <c r="H97" s="1579"/>
      <c r="I97" s="1579"/>
      <c r="J97" s="1579"/>
      <c r="K97" s="1579"/>
      <c r="L97" s="1580"/>
      <c r="M97" s="1584"/>
      <c r="N97" s="1585"/>
      <c r="O97" s="1585"/>
      <c r="P97" s="1585"/>
      <c r="Q97" s="1585"/>
      <c r="R97" s="1585"/>
      <c r="S97" s="1585"/>
      <c r="T97" s="1585"/>
      <c r="U97" s="1585"/>
      <c r="V97" s="1586"/>
      <c r="W97" s="1584"/>
      <c r="X97" s="1585"/>
      <c r="Y97" s="1585"/>
      <c r="Z97" s="1585"/>
      <c r="AA97" s="1585"/>
      <c r="AB97" s="1585"/>
      <c r="AC97" s="1585"/>
      <c r="AD97" s="1585"/>
      <c r="AE97" s="1585"/>
      <c r="AF97" s="1586"/>
      <c r="AG97" s="1584"/>
      <c r="AH97" s="1585"/>
      <c r="AI97" s="1585"/>
      <c r="AJ97" s="1585"/>
      <c r="AK97" s="1585"/>
      <c r="AL97" s="1585"/>
      <c r="AM97" s="1585"/>
      <c r="AN97" s="1585"/>
      <c r="AO97" s="1585"/>
      <c r="AP97" s="1586"/>
      <c r="AQ97" s="1625"/>
      <c r="AR97" s="1626"/>
      <c r="AS97" s="1626"/>
      <c r="AT97" s="1626"/>
      <c r="AU97" s="1627"/>
      <c r="AV97" s="1628"/>
      <c r="AW97" s="1629"/>
      <c r="AX97" s="1629"/>
      <c r="AY97" s="1629"/>
      <c r="AZ97" s="1630"/>
      <c r="BA97" s="1628"/>
      <c r="BB97" s="1629"/>
      <c r="BC97" s="1629"/>
      <c r="BD97" s="1629"/>
      <c r="BE97" s="1630"/>
      <c r="BI97"/>
    </row>
    <row r="98" spans="2:74" s="6" customFormat="1" ht="46.9" hidden="1" customHeight="1">
      <c r="B98" s="1581" t="s">
        <v>695</v>
      </c>
      <c r="C98" s="1582"/>
      <c r="D98" s="1582"/>
      <c r="E98" s="1582"/>
      <c r="F98" s="1582"/>
      <c r="G98" s="1582"/>
      <c r="H98" s="1582"/>
      <c r="I98" s="1582"/>
      <c r="J98" s="1582"/>
      <c r="K98" s="1582"/>
      <c r="L98" s="1583"/>
      <c r="M98" s="1543"/>
      <c r="N98" s="1544"/>
      <c r="O98" s="1544"/>
      <c r="P98" s="1544"/>
      <c r="Q98" s="1544"/>
      <c r="R98" s="1544"/>
      <c r="S98" s="1544"/>
      <c r="T98" s="1544"/>
      <c r="U98" s="1544"/>
      <c r="V98" s="1545"/>
      <c r="W98" s="1543"/>
      <c r="X98" s="1544"/>
      <c r="Y98" s="1544"/>
      <c r="Z98" s="1544"/>
      <c r="AA98" s="1544"/>
      <c r="AB98" s="1544"/>
      <c r="AC98" s="1544"/>
      <c r="AD98" s="1544"/>
      <c r="AE98" s="1544"/>
      <c r="AF98" s="1545"/>
      <c r="AG98" s="1543"/>
      <c r="AH98" s="1544"/>
      <c r="AI98" s="1544"/>
      <c r="AJ98" s="1544"/>
      <c r="AK98" s="1544"/>
      <c r="AL98" s="1544"/>
      <c r="AM98" s="1544"/>
      <c r="AN98" s="1544"/>
      <c r="AO98" s="1544"/>
      <c r="AP98" s="1545"/>
      <c r="AQ98" s="1572"/>
      <c r="AR98" s="1573"/>
      <c r="AS98" s="1573"/>
      <c r="AT98" s="1573"/>
      <c r="AU98" s="1574"/>
      <c r="AV98" s="1560"/>
      <c r="AW98" s="1561"/>
      <c r="AX98" s="1561"/>
      <c r="AY98" s="1561"/>
      <c r="AZ98" s="1562"/>
      <c r="BA98" s="1560"/>
      <c r="BB98" s="1561"/>
      <c r="BC98" s="1561"/>
      <c r="BD98" s="1561"/>
      <c r="BE98" s="1562"/>
      <c r="BI98"/>
      <c r="BJ98"/>
      <c r="BK98"/>
      <c r="BL98"/>
      <c r="BM98"/>
      <c r="BN98"/>
      <c r="BO98"/>
      <c r="BP98"/>
      <c r="BQ98"/>
      <c r="BR98"/>
      <c r="BS98"/>
      <c r="BT98"/>
      <c r="BU98"/>
      <c r="BV98"/>
    </row>
    <row r="99" spans="2:74" s="6" customFormat="1" ht="14.65" hidden="1" customHeight="1">
      <c r="B99" s="1619"/>
      <c r="C99" s="1620"/>
      <c r="D99" s="1620"/>
      <c r="E99" s="1620"/>
      <c r="F99" s="1620"/>
      <c r="G99" s="1620"/>
      <c r="H99" s="1620"/>
      <c r="I99" s="1621"/>
      <c r="J99" s="1599"/>
      <c r="K99" s="1600"/>
      <c r="L99" s="1600"/>
      <c r="M99" s="1600"/>
      <c r="N99" s="1600"/>
      <c r="O99" s="1600"/>
      <c r="P99" s="1600"/>
      <c r="Q99" s="1600"/>
      <c r="R99" s="1600"/>
      <c r="S99" s="1600"/>
      <c r="T99" s="1600"/>
      <c r="U99" s="1600"/>
      <c r="V99" s="1600"/>
      <c r="W99" s="1601"/>
      <c r="X99" s="1622"/>
      <c r="Y99" s="1623"/>
      <c r="Z99" s="1623"/>
      <c r="AA99" s="1623"/>
      <c r="AB99" s="1623"/>
      <c r="AC99" s="1623"/>
      <c r="AD99" s="1623"/>
      <c r="AE99" s="1623"/>
      <c r="AF99" s="1623"/>
      <c r="AG99" s="1623"/>
      <c r="AH99" s="1623"/>
      <c r="AI99" s="1624"/>
      <c r="AJ99" s="1599"/>
      <c r="AK99" s="1600"/>
      <c r="AL99" s="1600"/>
      <c r="AM99" s="1600"/>
      <c r="AN99" s="1600"/>
      <c r="AO99" s="1600"/>
      <c r="AP99" s="1600"/>
      <c r="AQ99" s="1600"/>
      <c r="AR99" s="1600"/>
      <c r="AS99" s="1601"/>
      <c r="AT99" s="1599"/>
      <c r="AU99" s="1600"/>
      <c r="AV99" s="1600"/>
      <c r="AW99" s="1601"/>
      <c r="AX99" s="1599"/>
      <c r="AY99" s="1600"/>
      <c r="AZ99" s="1600"/>
      <c r="BA99" s="1601"/>
      <c r="BB99" s="1599"/>
      <c r="BC99" s="1600"/>
      <c r="BD99" s="1600"/>
      <c r="BE99" s="1601"/>
      <c r="BI99"/>
      <c r="BJ99"/>
      <c r="BK99"/>
      <c r="BL99"/>
      <c r="BM99"/>
      <c r="BN99"/>
      <c r="BO99"/>
      <c r="BP99"/>
      <c r="BQ99"/>
      <c r="BR99"/>
      <c r="BS99"/>
      <c r="BT99"/>
      <c r="BU99"/>
      <c r="BV99"/>
    </row>
    <row r="100" spans="2:74" s="6" customFormat="1" ht="46.9" hidden="1" customHeight="1">
      <c r="B100" s="1615" t="s">
        <v>534</v>
      </c>
      <c r="C100" s="1616"/>
      <c r="D100" s="1616"/>
      <c r="E100" s="1616"/>
      <c r="F100" s="1616"/>
      <c r="G100" s="1616"/>
      <c r="H100" s="1616"/>
      <c r="I100" s="1616"/>
      <c r="J100" s="1616"/>
      <c r="K100" s="1616"/>
      <c r="L100" s="1617"/>
      <c r="M100" s="1537" t="s">
        <v>432</v>
      </c>
      <c r="N100" s="1538"/>
      <c r="O100" s="1538"/>
      <c r="P100" s="1538"/>
      <c r="Q100" s="1538"/>
      <c r="R100" s="1538"/>
      <c r="S100" s="1538"/>
      <c r="T100" s="1538"/>
      <c r="U100" s="1538"/>
      <c r="V100" s="1539"/>
      <c r="W100" s="1537" t="s">
        <v>433</v>
      </c>
      <c r="X100" s="1538"/>
      <c r="Y100" s="1538"/>
      <c r="Z100" s="1538"/>
      <c r="AA100" s="1538"/>
      <c r="AB100" s="1538"/>
      <c r="AC100" s="1538"/>
      <c r="AD100" s="1538"/>
      <c r="AE100" s="1538"/>
      <c r="AF100" s="1539"/>
      <c r="AG100" s="1537" t="s">
        <v>434</v>
      </c>
      <c r="AH100" s="1538"/>
      <c r="AI100" s="1538"/>
      <c r="AJ100" s="1538"/>
      <c r="AK100" s="1538"/>
      <c r="AL100" s="1538"/>
      <c r="AM100" s="1538"/>
      <c r="AN100" s="1538"/>
      <c r="AO100" s="1538"/>
      <c r="AP100" s="1539"/>
      <c r="AQ100" s="1615" t="s">
        <v>435</v>
      </c>
      <c r="AR100" s="1616"/>
      <c r="AS100" s="1616"/>
      <c r="AT100" s="1616"/>
      <c r="AU100" s="1617"/>
      <c r="AV100" s="1841" t="s">
        <v>670</v>
      </c>
      <c r="AW100" s="1842"/>
      <c r="AX100" s="1842"/>
      <c r="AY100" s="1842"/>
      <c r="AZ100" s="1843"/>
      <c r="BA100" s="1841" t="s">
        <v>437</v>
      </c>
      <c r="BB100" s="1842"/>
      <c r="BC100" s="1842"/>
      <c r="BD100" s="1842"/>
      <c r="BE100" s="1843"/>
      <c r="BI100"/>
      <c r="BJ100"/>
      <c r="BK100"/>
      <c r="BL100"/>
      <c r="BM100"/>
      <c r="BN100"/>
      <c r="BO100"/>
      <c r="BP100"/>
      <c r="BQ100"/>
      <c r="BR100"/>
      <c r="BS100"/>
      <c r="BT100"/>
      <c r="BU100"/>
      <c r="BV100"/>
    </row>
    <row r="101" spans="2:74" s="6" customFormat="1" ht="46.9" hidden="1" customHeight="1">
      <c r="B101" s="1581"/>
      <c r="C101" s="1582"/>
      <c r="D101" s="1582"/>
      <c r="E101" s="1582"/>
      <c r="F101" s="1582"/>
      <c r="G101" s="1582"/>
      <c r="H101" s="1582"/>
      <c r="I101" s="1582"/>
      <c r="J101" s="1582"/>
      <c r="K101" s="1582"/>
      <c r="L101" s="1583"/>
      <c r="M101" s="1543"/>
      <c r="N101" s="1544"/>
      <c r="O101" s="1544"/>
      <c r="P101" s="1544"/>
      <c r="Q101" s="1544"/>
      <c r="R101" s="1544"/>
      <c r="S101" s="1544"/>
      <c r="T101" s="1544"/>
      <c r="U101" s="1544"/>
      <c r="V101" s="1545"/>
      <c r="W101" s="1543"/>
      <c r="X101" s="1544"/>
      <c r="Y101" s="1544"/>
      <c r="Z101" s="1544"/>
      <c r="AA101" s="1544"/>
      <c r="AB101" s="1544"/>
      <c r="AC101" s="1544"/>
      <c r="AD101" s="1544"/>
      <c r="AE101" s="1544"/>
      <c r="AF101" s="1545"/>
      <c r="AG101" s="1543"/>
      <c r="AH101" s="1544"/>
      <c r="AI101" s="1544"/>
      <c r="AJ101" s="1544"/>
      <c r="AK101" s="1544"/>
      <c r="AL101" s="1544"/>
      <c r="AM101" s="1544"/>
      <c r="AN101" s="1544"/>
      <c r="AO101" s="1544"/>
      <c r="AP101" s="1545"/>
      <c r="AQ101" s="1587"/>
      <c r="AR101" s="1588"/>
      <c r="AS101" s="1588"/>
      <c r="AT101" s="1588"/>
      <c r="AU101" s="1589"/>
      <c r="AV101" s="1560"/>
      <c r="AW101" s="1561"/>
      <c r="AX101" s="1561"/>
      <c r="AY101" s="1561"/>
      <c r="AZ101" s="1562"/>
      <c r="BA101" s="1839"/>
      <c r="BB101" s="1840"/>
      <c r="BC101" s="1840"/>
      <c r="BD101" s="1840"/>
      <c r="BE101" s="1840"/>
      <c r="BI101"/>
      <c r="BJ101"/>
      <c r="BK101"/>
      <c r="BL101"/>
      <c r="BM101"/>
      <c r="BN101"/>
      <c r="BO101"/>
      <c r="BP101"/>
      <c r="BQ101"/>
      <c r="BR101"/>
      <c r="BS101"/>
      <c r="BT101"/>
      <c r="BU101"/>
      <c r="BV101"/>
    </row>
    <row r="102" spans="2:74" s="6" customFormat="1" ht="46.9" hidden="1" customHeight="1">
      <c r="B102" s="1578"/>
      <c r="C102" s="1579"/>
      <c r="D102" s="1579"/>
      <c r="E102" s="1579"/>
      <c r="F102" s="1579"/>
      <c r="G102" s="1579"/>
      <c r="H102" s="1579"/>
      <c r="I102" s="1579"/>
      <c r="J102" s="1579"/>
      <c r="K102" s="1579"/>
      <c r="L102" s="1580"/>
      <c r="M102" s="1584"/>
      <c r="N102" s="1585"/>
      <c r="O102" s="1585"/>
      <c r="P102" s="1585"/>
      <c r="Q102" s="1585"/>
      <c r="R102" s="1585"/>
      <c r="S102" s="1585"/>
      <c r="T102" s="1585"/>
      <c r="U102" s="1585"/>
      <c r="V102" s="1586"/>
      <c r="W102" s="1584"/>
      <c r="X102" s="1585"/>
      <c r="Y102" s="1585"/>
      <c r="Z102" s="1585"/>
      <c r="AA102" s="1585"/>
      <c r="AB102" s="1585"/>
      <c r="AC102" s="1585"/>
      <c r="AD102" s="1585"/>
      <c r="AE102" s="1585"/>
      <c r="AF102" s="1586"/>
      <c r="AG102" s="1584"/>
      <c r="AH102" s="1585"/>
      <c r="AI102" s="1585"/>
      <c r="AJ102" s="1585"/>
      <c r="AK102" s="1585"/>
      <c r="AL102" s="1585"/>
      <c r="AM102" s="1585"/>
      <c r="AN102" s="1585"/>
      <c r="AO102" s="1585"/>
      <c r="AP102" s="1586"/>
      <c r="AQ102" s="1625"/>
      <c r="AR102" s="1626"/>
      <c r="AS102" s="1626"/>
      <c r="AT102" s="1626"/>
      <c r="AU102" s="1627"/>
      <c r="AV102" s="1628"/>
      <c r="AW102" s="1629"/>
      <c r="AX102" s="1629"/>
      <c r="AY102" s="1629"/>
      <c r="AZ102" s="1630"/>
      <c r="BA102" s="1839"/>
      <c r="BB102" s="1840"/>
      <c r="BC102" s="1840"/>
      <c r="BD102" s="1840"/>
      <c r="BE102" s="1840"/>
      <c r="BI102"/>
      <c r="BJ102"/>
      <c r="BK102"/>
      <c r="BL102"/>
      <c r="BM102"/>
      <c r="BN102"/>
      <c r="BO102"/>
      <c r="BP102"/>
      <c r="BQ102"/>
      <c r="BR102"/>
      <c r="BS102"/>
      <c r="BT102"/>
      <c r="BU102"/>
      <c r="BV102"/>
    </row>
    <row r="103" spans="2:74" s="6" customFormat="1" ht="46.9" hidden="1" customHeight="1">
      <c r="B103" s="1581"/>
      <c r="C103" s="1582"/>
      <c r="D103" s="1582"/>
      <c r="E103" s="1582"/>
      <c r="F103" s="1582"/>
      <c r="G103" s="1582"/>
      <c r="H103" s="1582"/>
      <c r="I103" s="1582"/>
      <c r="J103" s="1582"/>
      <c r="K103" s="1582"/>
      <c r="L103" s="1583"/>
      <c r="M103" s="1543"/>
      <c r="N103" s="1544"/>
      <c r="O103" s="1544"/>
      <c r="P103" s="1544"/>
      <c r="Q103" s="1544"/>
      <c r="R103" s="1544"/>
      <c r="S103" s="1544"/>
      <c r="T103" s="1544"/>
      <c r="U103" s="1544"/>
      <c r="V103" s="1545"/>
      <c r="W103" s="1543"/>
      <c r="X103" s="1544"/>
      <c r="Y103" s="1544"/>
      <c r="Z103" s="1544"/>
      <c r="AA103" s="1544"/>
      <c r="AB103" s="1544"/>
      <c r="AC103" s="1544"/>
      <c r="AD103" s="1544"/>
      <c r="AE103" s="1544"/>
      <c r="AF103" s="1545"/>
      <c r="AG103" s="1543"/>
      <c r="AH103" s="1544"/>
      <c r="AI103" s="1544"/>
      <c r="AJ103" s="1544"/>
      <c r="AK103" s="1544"/>
      <c r="AL103" s="1544"/>
      <c r="AM103" s="1544"/>
      <c r="AN103" s="1544"/>
      <c r="AO103" s="1544"/>
      <c r="AP103" s="1545"/>
      <c r="AQ103" s="1587"/>
      <c r="AR103" s="1588"/>
      <c r="AS103" s="1588"/>
      <c r="AT103" s="1588"/>
      <c r="AU103" s="1589"/>
      <c r="AV103" s="1560"/>
      <c r="AW103" s="1561"/>
      <c r="AX103" s="1561"/>
      <c r="AY103" s="1561"/>
      <c r="AZ103" s="1562"/>
      <c r="BA103" s="1839"/>
      <c r="BB103" s="1840"/>
      <c r="BC103" s="1840"/>
      <c r="BD103" s="1840"/>
      <c r="BE103" s="1840"/>
      <c r="BI103"/>
      <c r="BJ103"/>
      <c r="BK103"/>
      <c r="BL103"/>
      <c r="BM103"/>
      <c r="BN103"/>
      <c r="BO103"/>
      <c r="BP103"/>
      <c r="BQ103"/>
      <c r="BR103"/>
      <c r="BS103"/>
      <c r="BT103"/>
      <c r="BU103"/>
      <c r="BV103"/>
    </row>
    <row r="104" spans="2:74" s="6" customFormat="1" ht="14.65" hidden="1" customHeight="1">
      <c r="B104" s="209"/>
      <c r="C104" s="209"/>
      <c r="D104" s="209"/>
      <c r="E104" s="209"/>
      <c r="F104" s="209"/>
      <c r="G104" s="209"/>
      <c r="H104" s="209"/>
      <c r="I104" s="209"/>
      <c r="J104" s="209"/>
      <c r="K104" s="209"/>
      <c r="L104" s="209"/>
      <c r="M104" s="210"/>
      <c r="N104" s="210"/>
      <c r="O104" s="210"/>
      <c r="P104" s="210"/>
      <c r="Q104" s="210"/>
      <c r="R104" s="210"/>
      <c r="S104" s="210"/>
      <c r="T104" s="210"/>
      <c r="U104" s="210"/>
      <c r="V104" s="210"/>
      <c r="W104" s="210"/>
      <c r="X104" s="210"/>
      <c r="Y104" s="210"/>
      <c r="Z104" s="210"/>
      <c r="AA104" s="210"/>
      <c r="AB104" s="210"/>
      <c r="AC104" s="210"/>
      <c r="AD104" s="210"/>
      <c r="AE104" s="210"/>
      <c r="AF104" s="210"/>
      <c r="AG104" s="210"/>
      <c r="AH104" s="210"/>
      <c r="AI104" s="210"/>
      <c r="AJ104" s="210"/>
      <c r="AK104" s="210"/>
      <c r="AL104" s="210"/>
      <c r="AM104" s="210"/>
      <c r="AN104" s="210"/>
      <c r="AO104" s="210"/>
      <c r="AP104" s="210"/>
      <c r="AQ104" s="211"/>
      <c r="AR104" s="211"/>
      <c r="AS104" s="211"/>
      <c r="AT104" s="211"/>
      <c r="AU104" s="211"/>
      <c r="AV104" s="212"/>
      <c r="AW104" s="212"/>
      <c r="AX104" s="212"/>
      <c r="AY104" s="212"/>
      <c r="AZ104" s="212"/>
      <c r="BA104" s="37"/>
      <c r="BB104" s="37"/>
      <c r="BC104" s="37"/>
      <c r="BD104" s="37"/>
      <c r="BE104" s="37"/>
      <c r="BI104"/>
      <c r="BJ104"/>
      <c r="BK104"/>
      <c r="BL104"/>
      <c r="BM104"/>
      <c r="BN104"/>
      <c r="BO104"/>
      <c r="BP104"/>
      <c r="BQ104"/>
      <c r="BR104"/>
      <c r="BS104"/>
      <c r="BT104"/>
      <c r="BU104"/>
      <c r="BV104"/>
    </row>
    <row r="105" spans="2:74" s="6" customFormat="1" ht="46.9" hidden="1" customHeight="1">
      <c r="B105" s="45" t="s">
        <v>438</v>
      </c>
      <c r="C105" s="46"/>
      <c r="D105" s="11"/>
      <c r="E105" s="11"/>
      <c r="F105" s="11"/>
      <c r="G105" s="11"/>
      <c r="H105" s="11"/>
      <c r="I105" s="11"/>
      <c r="J105" s="11"/>
      <c r="K105" s="11"/>
      <c r="L105" s="11"/>
      <c r="M105" s="11"/>
      <c r="N105" s="11"/>
      <c r="O105" s="11"/>
      <c r="P105" s="11"/>
      <c r="Q105" s="11"/>
      <c r="R105" s="11"/>
      <c r="S105" s="11"/>
      <c r="T105" s="11"/>
      <c r="U105" s="11"/>
      <c r="V105" s="46"/>
      <c r="W105" s="46"/>
      <c r="X105" s="46"/>
      <c r="Y105" s="11"/>
      <c r="Z105" s="11"/>
      <c r="AA105" s="11"/>
      <c r="AB105" s="11"/>
      <c r="AC105" s="11"/>
      <c r="AD105" s="66"/>
      <c r="AE105" s="46"/>
      <c r="AF105" s="46"/>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I105"/>
      <c r="BJ105"/>
      <c r="BK105"/>
      <c r="BL105"/>
      <c r="BM105"/>
      <c r="BN105"/>
      <c r="BO105"/>
      <c r="BP105"/>
      <c r="BQ105"/>
      <c r="BR105"/>
      <c r="BS105"/>
      <c r="BT105"/>
      <c r="BU105"/>
      <c r="BV105"/>
    </row>
    <row r="106" spans="2:74" s="6" customFormat="1" ht="14.65" hidden="1" customHeight="1">
      <c r="B106" s="1569" t="s">
        <v>439</v>
      </c>
      <c r="C106" s="1570"/>
      <c r="D106" s="1570"/>
      <c r="E106" s="1570"/>
      <c r="F106" s="1570"/>
      <c r="G106" s="1570"/>
      <c r="H106" s="1570"/>
      <c r="I106" s="1570"/>
      <c r="J106" s="1570"/>
      <c r="K106" s="1570"/>
      <c r="L106" s="1571"/>
      <c r="M106" s="1569" t="s">
        <v>440</v>
      </c>
      <c r="N106" s="1570"/>
      <c r="O106" s="1570"/>
      <c r="P106" s="1570"/>
      <c r="Q106" s="1570"/>
      <c r="R106" s="1570"/>
      <c r="S106" s="1570"/>
      <c r="T106" s="1570"/>
      <c r="U106" s="1570"/>
      <c r="V106" s="1571"/>
      <c r="W106" s="1569" t="s">
        <v>441</v>
      </c>
      <c r="X106" s="1570"/>
      <c r="Y106" s="1570"/>
      <c r="Z106" s="1570"/>
      <c r="AA106" s="1571"/>
      <c r="AB106" s="1569" t="s">
        <v>442</v>
      </c>
      <c r="AC106" s="1570"/>
      <c r="AD106" s="1570"/>
      <c r="AE106" s="1570"/>
      <c r="AF106" s="1571"/>
      <c r="AG106" s="1569" t="s">
        <v>201</v>
      </c>
      <c r="AH106" s="1570"/>
      <c r="AI106" s="1570"/>
      <c r="AJ106" s="1570"/>
      <c r="AK106" s="1570"/>
      <c r="AL106" s="1570"/>
      <c r="AM106" s="1570"/>
      <c r="AN106" s="1570"/>
      <c r="AO106" s="1570"/>
      <c r="AP106" s="1570"/>
      <c r="AQ106" s="1570"/>
      <c r="AR106" s="1570"/>
      <c r="AS106" s="1570"/>
      <c r="AT106" s="1570"/>
      <c r="AU106" s="1570"/>
      <c r="AV106" s="1570"/>
      <c r="AW106" s="1570"/>
      <c r="AX106" s="1570"/>
      <c r="AY106" s="1570"/>
      <c r="AZ106" s="1570"/>
      <c r="BA106" s="1570"/>
      <c r="BB106" s="1570"/>
      <c r="BC106" s="1570"/>
      <c r="BD106" s="1570"/>
      <c r="BE106" s="1571"/>
      <c r="BI106"/>
      <c r="BJ106"/>
      <c r="BK106"/>
      <c r="BL106"/>
      <c r="BM106"/>
      <c r="BN106"/>
      <c r="BO106"/>
      <c r="BP106"/>
      <c r="BQ106"/>
      <c r="BR106"/>
      <c r="BS106"/>
      <c r="BT106"/>
      <c r="BU106"/>
      <c r="BV106"/>
    </row>
    <row r="107" spans="2:74" s="6" customFormat="1" ht="46.9" hidden="1" customHeight="1">
      <c r="B107" s="1581"/>
      <c r="C107" s="1582"/>
      <c r="D107" s="1582"/>
      <c r="E107" s="1582"/>
      <c r="F107" s="1582"/>
      <c r="G107" s="1582"/>
      <c r="H107" s="1582"/>
      <c r="I107" s="1582"/>
      <c r="J107" s="1582"/>
      <c r="K107" s="1582"/>
      <c r="L107" s="1583"/>
      <c r="M107" s="1543"/>
      <c r="N107" s="1544"/>
      <c r="O107" s="1544"/>
      <c r="P107" s="1544"/>
      <c r="Q107" s="1544"/>
      <c r="R107" s="1544"/>
      <c r="S107" s="1544"/>
      <c r="T107" s="1544"/>
      <c r="U107" s="1544"/>
      <c r="V107" s="1545"/>
      <c r="W107" s="1587"/>
      <c r="X107" s="1588"/>
      <c r="Y107" s="1588"/>
      <c r="Z107" s="1588"/>
      <c r="AA107" s="1589"/>
      <c r="AB107" s="1590"/>
      <c r="AC107" s="1591"/>
      <c r="AD107" s="1591"/>
      <c r="AE107" s="1591"/>
      <c r="AF107" s="1592"/>
      <c r="AG107" s="1543"/>
      <c r="AH107" s="1544"/>
      <c r="AI107" s="1544"/>
      <c r="AJ107" s="1544"/>
      <c r="AK107" s="1544"/>
      <c r="AL107" s="1544"/>
      <c r="AM107" s="1544"/>
      <c r="AN107" s="1544"/>
      <c r="AO107" s="1544"/>
      <c r="AP107" s="1544"/>
      <c r="AQ107" s="1544"/>
      <c r="AR107" s="1544"/>
      <c r="AS107" s="1544"/>
      <c r="AT107" s="1544"/>
      <c r="AU107" s="1544"/>
      <c r="AV107" s="1544"/>
      <c r="AW107" s="1544"/>
      <c r="AX107" s="1544"/>
      <c r="AY107" s="1544"/>
      <c r="AZ107" s="1544"/>
      <c r="BA107" s="1544"/>
      <c r="BB107" s="1544"/>
      <c r="BC107" s="1544"/>
      <c r="BD107" s="1544"/>
      <c r="BE107" s="1545"/>
      <c r="BI107"/>
      <c r="BJ107"/>
      <c r="BK107"/>
      <c r="BL107"/>
      <c r="BM107"/>
      <c r="BN107"/>
      <c r="BO107"/>
      <c r="BP107"/>
      <c r="BQ107"/>
      <c r="BR107"/>
      <c r="BS107"/>
      <c r="BT107"/>
      <c r="BU107"/>
      <c r="BV107"/>
    </row>
    <row r="108" spans="2:74" s="6" customFormat="1" ht="46.9" hidden="1" customHeight="1">
      <c r="B108" s="1578"/>
      <c r="C108" s="1579"/>
      <c r="D108" s="1579"/>
      <c r="E108" s="1579"/>
      <c r="F108" s="1579"/>
      <c r="G108" s="1579"/>
      <c r="H108" s="1579"/>
      <c r="I108" s="1579"/>
      <c r="J108" s="1579"/>
      <c r="K108" s="1579"/>
      <c r="L108" s="1580"/>
      <c r="M108" s="1584"/>
      <c r="N108" s="1585"/>
      <c r="O108" s="1585"/>
      <c r="P108" s="1585"/>
      <c r="Q108" s="1585"/>
      <c r="R108" s="1585"/>
      <c r="S108" s="1585"/>
      <c r="T108" s="1585"/>
      <c r="U108" s="1585"/>
      <c r="V108" s="1586"/>
      <c r="W108" s="1593"/>
      <c r="X108" s="1594"/>
      <c r="Y108" s="1594"/>
      <c r="Z108" s="1594"/>
      <c r="AA108" s="1595"/>
      <c r="AB108" s="1596"/>
      <c r="AC108" s="1597"/>
      <c r="AD108" s="1597"/>
      <c r="AE108" s="1597"/>
      <c r="AF108" s="1598"/>
      <c r="AG108" s="1584"/>
      <c r="AH108" s="1585"/>
      <c r="AI108" s="1585"/>
      <c r="AJ108" s="1585"/>
      <c r="AK108" s="1585"/>
      <c r="AL108" s="1585"/>
      <c r="AM108" s="1585"/>
      <c r="AN108" s="1585"/>
      <c r="AO108" s="1585"/>
      <c r="AP108" s="1585"/>
      <c r="AQ108" s="1585"/>
      <c r="AR108" s="1585"/>
      <c r="AS108" s="1585"/>
      <c r="AT108" s="1585"/>
      <c r="AU108" s="1585"/>
      <c r="AV108" s="1585"/>
      <c r="AW108" s="1585"/>
      <c r="AX108" s="1585"/>
      <c r="AY108" s="1585"/>
      <c r="AZ108" s="1585"/>
      <c r="BA108" s="1585"/>
      <c r="BB108" s="1585"/>
      <c r="BC108" s="1585"/>
      <c r="BD108" s="1585"/>
      <c r="BE108" s="1586"/>
      <c r="BI108"/>
      <c r="BJ108"/>
      <c r="BK108"/>
      <c r="BL108"/>
      <c r="BM108"/>
      <c r="BN108"/>
      <c r="BO108"/>
      <c r="BP108"/>
      <c r="BQ108"/>
      <c r="BR108"/>
      <c r="BS108"/>
      <c r="BT108"/>
      <c r="BU108"/>
      <c r="BV108"/>
    </row>
    <row r="109" spans="2:74" s="6" customFormat="1" ht="46.9" hidden="1" customHeight="1">
      <c r="B109" s="1581"/>
      <c r="C109" s="1582"/>
      <c r="D109" s="1582"/>
      <c r="E109" s="1582"/>
      <c r="F109" s="1582"/>
      <c r="G109" s="1582"/>
      <c r="H109" s="1582"/>
      <c r="I109" s="1582"/>
      <c r="J109" s="1582"/>
      <c r="K109" s="1582"/>
      <c r="L109" s="1583"/>
      <c r="M109" s="1543"/>
      <c r="N109" s="1544"/>
      <c r="O109" s="1544"/>
      <c r="P109" s="1544"/>
      <c r="Q109" s="1544"/>
      <c r="R109" s="1544"/>
      <c r="S109" s="1544"/>
      <c r="T109" s="1544"/>
      <c r="U109" s="1544"/>
      <c r="V109" s="1545"/>
      <c r="W109" s="1572"/>
      <c r="X109" s="1573"/>
      <c r="Y109" s="1573"/>
      <c r="Z109" s="1573"/>
      <c r="AA109" s="1574"/>
      <c r="AB109" s="1590"/>
      <c r="AC109" s="1591"/>
      <c r="AD109" s="1591"/>
      <c r="AE109" s="1591"/>
      <c r="AF109" s="1592"/>
      <c r="AG109" s="1543"/>
      <c r="AH109" s="1544"/>
      <c r="AI109" s="1544"/>
      <c r="AJ109" s="1544"/>
      <c r="AK109" s="1544"/>
      <c r="AL109" s="1544"/>
      <c r="AM109" s="1544"/>
      <c r="AN109" s="1544"/>
      <c r="AO109" s="1544"/>
      <c r="AP109" s="1544"/>
      <c r="AQ109" s="1544"/>
      <c r="AR109" s="1544"/>
      <c r="AS109" s="1544"/>
      <c r="AT109" s="1544"/>
      <c r="AU109" s="1544"/>
      <c r="AV109" s="1544"/>
      <c r="AW109" s="1544"/>
      <c r="AX109" s="1544"/>
      <c r="AY109" s="1544"/>
      <c r="AZ109" s="1544"/>
      <c r="BA109" s="1544"/>
      <c r="BB109" s="1544"/>
      <c r="BC109" s="1544"/>
      <c r="BD109" s="1544"/>
      <c r="BE109" s="1545"/>
      <c r="BI109"/>
      <c r="BJ109"/>
      <c r="BK109"/>
      <c r="BL109"/>
      <c r="BM109"/>
      <c r="BN109"/>
      <c r="BO109"/>
      <c r="BP109"/>
      <c r="BQ109"/>
      <c r="BR109"/>
      <c r="BS109"/>
      <c r="BT109"/>
      <c r="BU109"/>
      <c r="BV109"/>
    </row>
    <row r="110" spans="2:74" s="6" customFormat="1" ht="15" hidden="1">
      <c r="BI110"/>
      <c r="BJ110"/>
      <c r="BK110"/>
      <c r="BL110"/>
      <c r="BM110"/>
      <c r="BN110"/>
      <c r="BO110"/>
      <c r="BP110"/>
      <c r="BQ110"/>
      <c r="BR110"/>
      <c r="BS110"/>
      <c r="BT110"/>
      <c r="BU110"/>
      <c r="BV110"/>
    </row>
    <row r="111" spans="2:74" s="6" customFormat="1" ht="15" hidden="1">
      <c r="BI111"/>
      <c r="BJ111"/>
      <c r="BK111"/>
      <c r="BL111"/>
      <c r="BM111"/>
      <c r="BN111"/>
      <c r="BO111"/>
      <c r="BP111"/>
      <c r="BQ111"/>
      <c r="BR111"/>
      <c r="BS111"/>
      <c r="BT111"/>
      <c r="BU111"/>
      <c r="BV111"/>
    </row>
    <row r="112" spans="2:74" s="6" customFormat="1" ht="15" hidden="1">
      <c r="BI112" s="4" t="s">
        <v>245</v>
      </c>
      <c r="BJ112" s="3"/>
      <c r="BK112" s="3"/>
      <c r="BL112" s="3"/>
      <c r="BM112" s="3"/>
      <c r="BN112" s="3"/>
      <c r="BO112" s="3"/>
      <c r="BP112" s="3"/>
      <c r="BQ112" s="3"/>
      <c r="BR112" s="3"/>
      <c r="BS112" s="3"/>
      <c r="BT112" s="3"/>
      <c r="BU112" s="3"/>
      <c r="BV112"/>
    </row>
    <row r="113" spans="2:81" ht="14.65" hidden="1" customHeight="1">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I113" s="1" t="s">
        <v>292</v>
      </c>
      <c r="BJ113" s="1526" t="s">
        <v>467</v>
      </c>
      <c r="BK113" s="1526"/>
      <c r="BL113" s="1526"/>
      <c r="BM113" s="1526"/>
      <c r="BN113" s="1526"/>
      <c r="BO113" s="1526"/>
      <c r="BP113" s="1526"/>
      <c r="BQ113" s="1526"/>
      <c r="BR113" s="1526"/>
      <c r="BS113" s="1526"/>
      <c r="BT113" s="1526"/>
      <c r="BU113" s="1526"/>
    </row>
    <row r="114" spans="2:81" ht="14.65" hidden="1" customHeight="1">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I114" s="54" t="s">
        <v>296</v>
      </c>
      <c r="BJ114" s="1527" t="s">
        <v>691</v>
      </c>
      <c r="BK114" s="1527"/>
      <c r="BL114" s="1527"/>
      <c r="BM114" s="1527"/>
      <c r="BN114" s="1527"/>
      <c r="BO114" s="1527"/>
      <c r="BP114" s="1527"/>
      <c r="BQ114" s="1527"/>
      <c r="BR114" s="1527"/>
      <c r="BS114" s="1527"/>
      <c r="BT114" s="1527"/>
      <c r="BU114" s="1527"/>
    </row>
    <row r="115" spans="2:81" ht="14.65" hidden="1" customHeight="1" thickBot="1">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I115" s="1" t="s">
        <v>300</v>
      </c>
      <c r="BJ115" s="1527" t="s">
        <v>696</v>
      </c>
      <c r="BK115" s="1527"/>
      <c r="BL115" s="1527"/>
      <c r="BM115" s="1527"/>
      <c r="BN115" s="1527"/>
      <c r="BO115" s="1527"/>
      <c r="BP115" s="1527"/>
      <c r="BQ115" s="1527"/>
      <c r="BR115" s="1527"/>
      <c r="BS115" s="1527"/>
      <c r="BT115" s="1527"/>
      <c r="BU115" s="1527"/>
    </row>
    <row r="116" spans="2:81" ht="14.65" hidden="1" customHeight="1" thickBot="1">
      <c r="BI116" s="2"/>
      <c r="BJ116" s="2"/>
      <c r="BK116" s="2"/>
      <c r="BL116" s="1490" t="s">
        <v>683</v>
      </c>
      <c r="BM116" s="1491"/>
      <c r="BN116" s="1491"/>
      <c r="BO116" s="1491"/>
      <c r="BP116" s="1521"/>
      <c r="BQ116" s="1490" t="s">
        <v>487</v>
      </c>
      <c r="BR116" s="1491"/>
      <c r="BS116" s="1491"/>
      <c r="BT116" s="1491"/>
      <c r="BU116" s="1492"/>
      <c r="BW116" s="1490" t="s">
        <v>303</v>
      </c>
      <c r="BX116" s="1491"/>
      <c r="BY116" s="1491"/>
      <c r="BZ116" s="1491"/>
      <c r="CA116" s="1491"/>
      <c r="CB116" s="1491"/>
      <c r="CC116" s="1492"/>
    </row>
    <row r="117" spans="2:81" ht="14.65" hidden="1" customHeight="1">
      <c r="BI117" s="720" t="s">
        <v>23</v>
      </c>
      <c r="BJ117" s="720" t="s">
        <v>37</v>
      </c>
      <c r="BK117" s="720" t="s">
        <v>304</v>
      </c>
      <c r="BL117" s="721" t="s">
        <v>305</v>
      </c>
      <c r="BM117" s="721" t="s">
        <v>306</v>
      </c>
      <c r="BN117" s="721" t="s">
        <v>679</v>
      </c>
      <c r="BO117" s="135" t="s">
        <v>680</v>
      </c>
      <c r="BP117" s="721" t="s">
        <v>490</v>
      </c>
      <c r="BQ117" s="721" t="s">
        <v>305</v>
      </c>
      <c r="BR117" s="721" t="s">
        <v>681</v>
      </c>
      <c r="BS117" s="721" t="s">
        <v>488</v>
      </c>
      <c r="BT117" s="135" t="s">
        <v>489</v>
      </c>
      <c r="BU117" s="721" t="s">
        <v>682</v>
      </c>
      <c r="BW117" s="164" t="s">
        <v>314</v>
      </c>
      <c r="BX117" s="164" t="s">
        <v>23</v>
      </c>
      <c r="BY117" s="168" t="s">
        <v>315</v>
      </c>
      <c r="BZ117" s="164" t="s">
        <v>122</v>
      </c>
      <c r="CA117" s="164" t="s">
        <v>316</v>
      </c>
      <c r="CB117" s="164" t="s">
        <v>317</v>
      </c>
      <c r="CC117" s="164" t="s">
        <v>318</v>
      </c>
    </row>
    <row r="118" spans="2:81" ht="14.65" hidden="1" customHeight="1">
      <c r="BI118" s="722" t="s">
        <v>319</v>
      </c>
      <c r="BJ118" s="722">
        <v>1</v>
      </c>
      <c r="BK118" s="722" t="s">
        <v>320</v>
      </c>
      <c r="BL118" s="743"/>
      <c r="BM118" s="725"/>
      <c r="BN118" s="735"/>
      <c r="BO118" s="139">
        <f>IF(SUM(BM118:BM120=0),0,SUM(BL118:BL120)/SUM(BM118:BM120))</f>
        <v>0</v>
      </c>
      <c r="BP118" s="736"/>
      <c r="BQ118" s="758"/>
      <c r="BR118" s="727"/>
      <c r="BS118" s="735"/>
      <c r="BT118" s="139">
        <f>IF(SUM(BR118:BR120=0),0,SUM(BQ118:BQ120)/SUM(BR118:BR120))</f>
        <v>0</v>
      </c>
      <c r="BU118" s="736"/>
      <c r="BX118" s="666" t="str">
        <f t="shared" ref="BX118:BX125" si="8">TEXT(CONCATENATE(CC118,"/01/20",CB118),"MMM")</f>
        <v>Apr</v>
      </c>
      <c r="BY118" s="728" t="e">
        <f>IF(CB118=#REF!,SUMIF($BI118:$BI127,$BX118,$BR118:$BR127),SUMIF($BI118:$BI127,$BX118,$BM118:$BM127))</f>
        <v>#REF!</v>
      </c>
      <c r="BZ118" s="736" t="e">
        <f>IF(IF(CB118=#REF!,SUMIF(BI118:BI127,$BX118,BU118:BU127),SUMIF(BI118:BI127,$BX118,BP118:BP127))=0,NA(),IF(CB118=#REF!,SUMIF(BI118:BI127,$BX118,BU118:BU127),SUMIF(BI118:BI127,$BX118,BP118:BP127)))</f>
        <v>#REF!</v>
      </c>
      <c r="CA118" s="739" t="e">
        <f>IF(IF(CB118=#REF!,SUMIF(BI118:BI127,$BX118,BS118:BS127),SUMIF(BI118:BI127,$BX118,BN118:BN127))=0,NA(),IF(CB118=#REF!,SUMIF(BI118:BI127,$BX118,BS118:BS127),SUMIF(BI118:BI127,$BX118,BN118:BN127)))</f>
        <v>#REF!</v>
      </c>
      <c r="CB118" s="730">
        <v>19</v>
      </c>
      <c r="CC118" s="730">
        <f t="shared" ref="CC118:CC125" si="9">IF(CC119-1&lt;1,CC119+11,CC119-1)</f>
        <v>4</v>
      </c>
    </row>
    <row r="119" spans="2:81" ht="14.65" hidden="1" customHeight="1">
      <c r="BI119" s="722" t="s">
        <v>321</v>
      </c>
      <c r="BJ119" s="722">
        <v>2</v>
      </c>
      <c r="BK119" s="722" t="s">
        <v>320</v>
      </c>
      <c r="BL119" s="743"/>
      <c r="BM119" s="725"/>
      <c r="BN119" s="735"/>
      <c r="BP119" s="736"/>
      <c r="BQ119" s="758"/>
      <c r="BR119" s="727"/>
      <c r="BS119" s="735"/>
      <c r="BU119" s="736"/>
      <c r="BX119" s="666" t="str">
        <f t="shared" si="8"/>
        <v>May</v>
      </c>
      <c r="BY119" s="728" t="e">
        <f>IF(CB119=#REF!,SUMIF($BI118:$BI127,$BX119,$BR118:$BR127),SUMIF($BI118:$BI127,$BX119,$BM118:$BM127))</f>
        <v>#REF!</v>
      </c>
      <c r="BZ119" s="736" t="e">
        <f>IF(IF(CB119=#REF!,SUMIF(BI118:BI127,$BX119,BU118:BU127),SUMIF(BI118:BI127,$BX119,BP118:BP127))=0,NA(),IF(CB119=#REF!,SUMIF(BI118:BI127,$BX119,BU118:BU127),SUMIF(BI118:BI127,$BX119,BP118:BP127)))</f>
        <v>#REF!</v>
      </c>
      <c r="CA119" s="739" t="e">
        <f>IF(IF(CB119=#REF!,SUMIF(BI118:BI127,$BX119,BS118:BS127),SUMIF(BI118:BI127,$BX119,BN118:BN127))=0,NA(),IF(CB119=#REF!,SUMIF(BI118:BI127,$BX119,BS118:BS127),SUMIF(BI118:BI127,$BX119,BN118:BN127)))</f>
        <v>#REF!</v>
      </c>
      <c r="CB119" s="730">
        <v>19</v>
      </c>
      <c r="CC119" s="730">
        <f t="shared" si="9"/>
        <v>5</v>
      </c>
    </row>
    <row r="120" spans="2:81" ht="14.65" hidden="1" customHeight="1">
      <c r="BI120" s="722" t="s">
        <v>322</v>
      </c>
      <c r="BJ120" s="722">
        <v>3</v>
      </c>
      <c r="BK120" s="722" t="s">
        <v>320</v>
      </c>
      <c r="BL120" s="743"/>
      <c r="BM120" s="725"/>
      <c r="BN120" s="735"/>
      <c r="BP120" s="736"/>
      <c r="BQ120" s="758"/>
      <c r="BR120" s="727"/>
      <c r="BS120" s="735"/>
      <c r="BU120" s="736"/>
      <c r="BX120" s="666" t="str">
        <f t="shared" si="8"/>
        <v>Jun</v>
      </c>
      <c r="BY120" s="728" t="e">
        <f>IF(CB120=#REF!,SUMIF($BI118:$BI127,$BX120,$BR118:$BR127),SUMIF($BI118:$BI127,$BX120,$BM118:$BM127))</f>
        <v>#REF!</v>
      </c>
      <c r="BZ120" s="736" t="e">
        <f>IF(IF(CB120=#REF!,SUMIF(BI118:BI127,$BX120,BU118:BU127),SUMIF(BI118:BI127,$BX120,BP118:BP127))=0,NA(),IF(CB120=#REF!,SUMIF(BI118:BI127,$BX120,BU118:BU127),SUMIF(BI118:BI127,$BX120,BP118:BP127)))</f>
        <v>#REF!</v>
      </c>
      <c r="CA120" s="739" t="e">
        <f>IF(IF(CB120=#REF!,SUMIF(BI118:BI127,$BX120,BS118:BS127),SUMIF(BI118:BI127,$BX120,BN118:BN127))=0,NA(),IF(CB120=#REF!,SUMIF(BI118:BI127,$BX120,BS118:BS127),SUMIF(BI118:BI127,$BX120,BN118:BN127)))</f>
        <v>#REF!</v>
      </c>
      <c r="CB120" s="730">
        <v>19</v>
      </c>
      <c r="CC120" s="730">
        <f t="shared" si="9"/>
        <v>6</v>
      </c>
    </row>
    <row r="121" spans="2:81" ht="14.65" hidden="1" customHeight="1">
      <c r="BI121" s="722" t="s">
        <v>323</v>
      </c>
      <c r="BJ121" s="722">
        <v>4</v>
      </c>
      <c r="BK121" s="722" t="s">
        <v>324</v>
      </c>
      <c r="BL121" s="811"/>
      <c r="BM121" s="725"/>
      <c r="BN121" s="735"/>
      <c r="BO121" s="139">
        <f>IF(SUM(BM121:BM123=0),0,SUM(BL121:BL123)/SUM(BM121:BM123))</f>
        <v>0</v>
      </c>
      <c r="BP121" s="736"/>
      <c r="BQ121" s="751"/>
      <c r="BR121" s="727"/>
      <c r="BS121" s="735"/>
      <c r="BT121" s="139">
        <f>IF(SUM(BR121:BR123=0),0,SUM(BQ121:BQ123)/SUM(BR121:BR123))</f>
        <v>0</v>
      </c>
      <c r="BU121" s="736"/>
      <c r="BX121" s="666" t="str">
        <f t="shared" si="8"/>
        <v>Jul</v>
      </c>
      <c r="BY121" s="728" t="e">
        <f>IF(CB121=#REF!,SUMIF($BI118:$BI127,$BX121,$BR118:$BR127),SUMIF($BI118:$BI127,$BX121,$BM118:$BM127))</f>
        <v>#REF!</v>
      </c>
      <c r="BZ121" s="736" t="e">
        <f>IF(IF(CB121=#REF!,SUMIF(BI118:BI127,$BX121,BU118:BU127),SUMIF(BI118:BI127,$BX121,BP118:BP127))=0,NA(),IF(CB121=#REF!,SUMIF(BI118:BI127,$BX121,BU118:BU127),SUMIF(BI118:BI127,$BX121,BP118:BP127)))</f>
        <v>#REF!</v>
      </c>
      <c r="CA121" s="739" t="e">
        <f>IF(IF(CB121=#REF!,SUMIF(BI118:BI127,$BX121,BS118:BS127),SUMIF(BI118:BI127,$BX121,BN118:BN127))=0,NA(),IF(CB121=#REF!,SUMIF(BI118:BI127,$BX121,BS118:BS127),SUMIF(BI118:BI127,$BX121,BN118:BN127)))</f>
        <v>#REF!</v>
      </c>
      <c r="CB121" s="730">
        <v>19</v>
      </c>
      <c r="CC121" s="730">
        <f t="shared" si="9"/>
        <v>7</v>
      </c>
    </row>
    <row r="122" spans="2:81" ht="14.65" hidden="1" customHeight="1">
      <c r="BI122" s="722" t="s">
        <v>325</v>
      </c>
      <c r="BJ122" s="722">
        <v>5</v>
      </c>
      <c r="BK122" s="722" t="s">
        <v>324</v>
      </c>
      <c r="BL122" s="743"/>
      <c r="BM122" s="725"/>
      <c r="BN122" s="735"/>
      <c r="BP122" s="736"/>
      <c r="BQ122" s="758"/>
      <c r="BR122" s="727">
        <v>6.6890000000000001</v>
      </c>
      <c r="BS122" s="735">
        <v>0.09</v>
      </c>
      <c r="BU122" s="736"/>
      <c r="BX122" s="666" t="str">
        <f t="shared" si="8"/>
        <v>Aug</v>
      </c>
      <c r="BY122" s="728" t="e">
        <f>IF(CB122=#REF!,SUMIF($BI118:$BI127,$BX122,$BR118:$BR127),SUMIF($BI118:$BI127,$BX122,$BM118:$BM127))</f>
        <v>#REF!</v>
      </c>
      <c r="BZ122" s="736" t="e">
        <f>IF(IF(CB122=#REF!,SUMIF(BI118:BI127,$BX122,BU118:BU127),SUMIF(BI118:BI127,$BX122,BP118:BP127))=0,NA(),IF(CB122=#REF!,SUMIF(BI118:BI127,$BX122,BU118:BU127),SUMIF(BI118:BI127,$BX122,BP118:BP127)))</f>
        <v>#REF!</v>
      </c>
      <c r="CA122" s="739" t="e">
        <f>IF(IF(CB122=#REF!,SUMIF(BI118:BI127,$BX122,BS118:BS127),SUMIF(BI118:BI127,$BX122,BN118:BN127))=0,NA(),IF(CB122=#REF!,SUMIF(BI118:BI127,$BX122,BS118:BS127),SUMIF(BI118:BI127,$BX122,BN118:BN127)))</f>
        <v>#REF!</v>
      </c>
      <c r="CB122" s="730">
        <v>19</v>
      </c>
      <c r="CC122" s="730">
        <f t="shared" si="9"/>
        <v>8</v>
      </c>
    </row>
    <row r="123" spans="2:81" ht="14.65" hidden="1" customHeight="1">
      <c r="BI123" s="722" t="s">
        <v>326</v>
      </c>
      <c r="BJ123" s="722">
        <v>6</v>
      </c>
      <c r="BK123" s="722" t="s">
        <v>324</v>
      </c>
      <c r="BL123" s="743"/>
      <c r="BM123" s="725"/>
      <c r="BN123" s="735"/>
      <c r="BP123" s="736"/>
      <c r="BQ123" s="758"/>
      <c r="BR123" s="727">
        <v>4.3419999999999996</v>
      </c>
      <c r="BS123" s="735">
        <v>0.17</v>
      </c>
      <c r="BU123" s="736"/>
      <c r="BX123" s="666" t="str">
        <f t="shared" si="8"/>
        <v>Sep</v>
      </c>
      <c r="BY123" s="728" t="e">
        <f>IF(CB123=#REF!,SUMIF($BI118:$BI127,$BX123,$BR118:$BR127),SUMIF($BI118:$BI127,$BX123,$BM118:$BM127))</f>
        <v>#REF!</v>
      </c>
      <c r="BZ123" s="736" t="e">
        <f>IF(IF(CB123=#REF!,SUMIF(BI118:BI127,$BX123,BU118:BU127),SUMIF(BI118:BI127,$BX123,BP118:BP127))=0,NA(),IF(CB123=#REF!,SUMIF(BI118:BI127,$BX123,BU118:BU127),SUMIF(BI118:BI127,$BX123,BP118:BP127)))</f>
        <v>#REF!</v>
      </c>
      <c r="CA123" s="739" t="e">
        <f>IF(IF(CB123=#REF!,SUMIF(BI118:BI127,$BX123,BS118:BS127),SUMIF(BI118:BI127,$BX123,BN118:BN127))=0,NA(),IF(CB123=#REF!,SUMIF(BI118:BI127,$BX123,BS118:BS127),SUMIF(BI118:BI127,$BX123,BN118:BN127)))</f>
        <v>#REF!</v>
      </c>
      <c r="CB123" s="730">
        <v>19</v>
      </c>
      <c r="CC123" s="730">
        <f t="shared" si="9"/>
        <v>9</v>
      </c>
    </row>
    <row r="124" spans="2:81" ht="14.65" hidden="1" customHeight="1">
      <c r="BI124" s="722" t="s">
        <v>327</v>
      </c>
      <c r="BJ124" s="722">
        <v>7</v>
      </c>
      <c r="BK124" s="722" t="s">
        <v>328</v>
      </c>
      <c r="BL124" s="743"/>
      <c r="BM124" s="725"/>
      <c r="BN124" s="735"/>
      <c r="BO124" s="139">
        <f>IF(SUM(BM124:BM126=0),0,SUM(BL124:BL126)/SUM(BM124:BM126))</f>
        <v>0</v>
      </c>
      <c r="BP124" s="736"/>
      <c r="BQ124" s="758"/>
      <c r="BR124" s="727">
        <v>1.367</v>
      </c>
      <c r="BS124" s="735">
        <v>0.06</v>
      </c>
      <c r="BT124" s="139">
        <f>IF(SUM(BR124:BR126=0),0,SUM(BQ124:BQ126)/SUM(BR124:BR126))</f>
        <v>0</v>
      </c>
      <c r="BU124" s="736"/>
      <c r="BX124" s="666" t="str">
        <f t="shared" si="8"/>
        <v>Oct</v>
      </c>
      <c r="BY124" s="728" t="e">
        <f>IF(CB124=#REF!,SUMIF($BI118:$BI127,$BX124,$BR118:$BR127),SUMIF($BI118:$BI127,$BX124,$BM118:$BM127))</f>
        <v>#REF!</v>
      </c>
      <c r="BZ124" s="736" t="e">
        <f>IF(IF(CB124=#REF!,SUMIF(BI118:BI127,$BX124,BU118:BU127),SUMIF(BI118:BI127,$BX124,BP118:BP127))=0,NA(),IF(CB124=#REF!,SUMIF(BI118:BI127,$BX124,BU118:BU127),SUMIF(BI118:BI127,$BX124,BP118:BP127)))</f>
        <v>#REF!</v>
      </c>
      <c r="CA124" s="739" t="e">
        <f>IF(IF(CB124=#REF!,SUMIF(BI118:BI127,$BX124,BS118:BS127),SUMIF(BI118:BI127,$BX124,BN118:BN127))=0,NA(),IF(CB124=#REF!,SUMIF(BI118:BI127,$BX124,BS118:BS127),SUMIF(BI118:BI127,$BX124,BN118:BN127)))</f>
        <v>#REF!</v>
      </c>
      <c r="CB124" s="730">
        <v>19</v>
      </c>
      <c r="CC124" s="730">
        <f t="shared" si="9"/>
        <v>10</v>
      </c>
    </row>
    <row r="125" spans="2:81" ht="14.65" hidden="1" customHeight="1">
      <c r="BI125" s="722" t="s">
        <v>329</v>
      </c>
      <c r="BJ125" s="722">
        <v>8</v>
      </c>
      <c r="BK125" s="722" t="s">
        <v>328</v>
      </c>
      <c r="BL125" s="743"/>
      <c r="BM125" s="725"/>
      <c r="BN125" s="735"/>
      <c r="BP125" s="736"/>
      <c r="BQ125" s="758"/>
      <c r="BR125" s="727">
        <v>1.2070000000000001</v>
      </c>
      <c r="BS125" s="735">
        <v>0.02</v>
      </c>
      <c r="BU125" s="736"/>
      <c r="BX125" s="666" t="str">
        <f t="shared" si="8"/>
        <v>Nov</v>
      </c>
      <c r="BY125" s="728" t="e">
        <f>IF(CB125=#REF!,SUMIF($BI118:$BI127,$BX125,$BR118:$BR127),SUMIF($BI118:$BI127,$BX125,$BM118:$BM127))</f>
        <v>#REF!</v>
      </c>
      <c r="BZ125" s="736" t="e">
        <f>IF(IF(CB125=#REF!,SUMIF(BI118:BI127,$BX125,BU118:BU127),SUMIF(BI118:BI127,$BX125,BP118:BP127))=0,NA(),IF(CB125=#REF!,SUMIF(BI118:BI127,$BX125,BU118:BU127),SUMIF(BI118:BI127,$BX125,BP118:BP127)))</f>
        <v>#REF!</v>
      </c>
      <c r="CA125" s="739" t="e">
        <f>IF(IF(CB125=#REF!,SUMIF(BI118:BI127,$BX125,BS118:BS127),SUMIF(BI118:BI127,$BX125,BN118:BN127))=0,NA(),IF(CB125=#REF!,SUMIF(BI118:BI127,$BX125,BS118:BS127),SUMIF(BI118:BI127,$BX125,BN118:BN127)))</f>
        <v>#REF!</v>
      </c>
      <c r="CB125" s="730">
        <v>19</v>
      </c>
      <c r="CC125" s="730">
        <f t="shared" si="9"/>
        <v>11</v>
      </c>
    </row>
  </sheetData>
  <mergeCells count="178">
    <mergeCell ref="BI1:BU1"/>
    <mergeCell ref="B2:BE2"/>
    <mergeCell ref="B3:BE3"/>
    <mergeCell ref="H4:J4"/>
    <mergeCell ref="B5:AR5"/>
    <mergeCell ref="B8:AB11"/>
    <mergeCell ref="AE8:BE11"/>
    <mergeCell ref="AP15:AQ15"/>
    <mergeCell ref="AS15:AX15"/>
    <mergeCell ref="AZ15:BE15"/>
    <mergeCell ref="I16:L16"/>
    <mergeCell ref="N16:Q16"/>
    <mergeCell ref="S16:V16"/>
    <mergeCell ref="V14:W14"/>
    <mergeCell ref="B15:G15"/>
    <mergeCell ref="I15:V15"/>
    <mergeCell ref="X15:AB15"/>
    <mergeCell ref="AE15:AJ15"/>
    <mergeCell ref="AL15:AO15"/>
    <mergeCell ref="AN19:AQ19"/>
    <mergeCell ref="AU19:AX19"/>
    <mergeCell ref="BB19:BE19"/>
    <mergeCell ref="BJ21:BU21"/>
    <mergeCell ref="AN22:AQ22"/>
    <mergeCell ref="AU22:AX22"/>
    <mergeCell ref="BB22:BE22"/>
    <mergeCell ref="BJ22:BU22"/>
    <mergeCell ref="AN17:AQ17"/>
    <mergeCell ref="AU17:AX17"/>
    <mergeCell ref="BB17:BE17"/>
    <mergeCell ref="AN18:AQ18"/>
    <mergeCell ref="AU18:AX18"/>
    <mergeCell ref="BB18:BE18"/>
    <mergeCell ref="AN23:AQ23"/>
    <mergeCell ref="AU23:AX23"/>
    <mergeCell ref="BB23:BE23"/>
    <mergeCell ref="BJ23:BU23"/>
    <mergeCell ref="AN24:AQ24"/>
    <mergeCell ref="AU24:AX24"/>
    <mergeCell ref="BB24:BE24"/>
    <mergeCell ref="BL24:BP24"/>
    <mergeCell ref="BQ24:BU24"/>
    <mergeCell ref="BW24:CC24"/>
    <mergeCell ref="B29:AB32"/>
    <mergeCell ref="AE29:BE32"/>
    <mergeCell ref="B35:J37"/>
    <mergeCell ref="K35:P35"/>
    <mergeCell ref="Q35:S37"/>
    <mergeCell ref="T35:AB35"/>
    <mergeCell ref="AC35:BE37"/>
    <mergeCell ref="K36:M37"/>
    <mergeCell ref="N36:P37"/>
    <mergeCell ref="T36:V37"/>
    <mergeCell ref="W36:Y37"/>
    <mergeCell ref="Z36:AB37"/>
    <mergeCell ref="B38:J38"/>
    <mergeCell ref="K38:M38"/>
    <mergeCell ref="N38:P38"/>
    <mergeCell ref="Q38:S38"/>
    <mergeCell ref="T38:V38"/>
    <mergeCell ref="W38:Y38"/>
    <mergeCell ref="Z38:AB38"/>
    <mergeCell ref="AC38:BE38"/>
    <mergeCell ref="B39:J39"/>
    <mergeCell ref="K39:M39"/>
    <mergeCell ref="N39:P39"/>
    <mergeCell ref="Q39:S39"/>
    <mergeCell ref="T39:V39"/>
    <mergeCell ref="W39:Y39"/>
    <mergeCell ref="Z39:AB39"/>
    <mergeCell ref="AC39:BE39"/>
    <mergeCell ref="BL62:BP62"/>
    <mergeCell ref="BQ62:BU62"/>
    <mergeCell ref="BW62:CC62"/>
    <mergeCell ref="B66:AB69"/>
    <mergeCell ref="AE66:BE69"/>
    <mergeCell ref="B89:AB92"/>
    <mergeCell ref="Z40:AB40"/>
    <mergeCell ref="AC40:BE40"/>
    <mergeCell ref="BJ40:BU40"/>
    <mergeCell ref="BL43:BP43"/>
    <mergeCell ref="BQ43:BU43"/>
    <mergeCell ref="BW43:CC43"/>
    <mergeCell ref="B40:J40"/>
    <mergeCell ref="K40:M40"/>
    <mergeCell ref="N40:P40"/>
    <mergeCell ref="Q40:S40"/>
    <mergeCell ref="T40:V40"/>
    <mergeCell ref="W40:Y40"/>
    <mergeCell ref="BA95:BE95"/>
    <mergeCell ref="B96:L96"/>
    <mergeCell ref="M96:V96"/>
    <mergeCell ref="W96:AF96"/>
    <mergeCell ref="AG96:AP96"/>
    <mergeCell ref="AQ96:AU96"/>
    <mergeCell ref="AV96:AZ96"/>
    <mergeCell ref="BA96:BE96"/>
    <mergeCell ref="B95:L95"/>
    <mergeCell ref="M95:V95"/>
    <mergeCell ref="W95:AF95"/>
    <mergeCell ref="AG95:AP95"/>
    <mergeCell ref="AQ95:AU95"/>
    <mergeCell ref="AV95:AZ95"/>
    <mergeCell ref="BA97:BE97"/>
    <mergeCell ref="B98:L98"/>
    <mergeCell ref="M98:V98"/>
    <mergeCell ref="W98:AF98"/>
    <mergeCell ref="AG98:AP98"/>
    <mergeCell ref="AQ98:AU98"/>
    <mergeCell ref="AV98:AZ98"/>
    <mergeCell ref="BA98:BE98"/>
    <mergeCell ref="B97:L97"/>
    <mergeCell ref="M97:V97"/>
    <mergeCell ref="W97:AF97"/>
    <mergeCell ref="AG97:AP97"/>
    <mergeCell ref="AQ97:AU97"/>
    <mergeCell ref="AV97:AZ97"/>
    <mergeCell ref="BB99:BE99"/>
    <mergeCell ref="B100:L100"/>
    <mergeCell ref="M100:V100"/>
    <mergeCell ref="W100:AF100"/>
    <mergeCell ref="AG100:AP100"/>
    <mergeCell ref="AQ100:AU100"/>
    <mergeCell ref="AV100:AZ100"/>
    <mergeCell ref="BA100:BE100"/>
    <mergeCell ref="B99:I99"/>
    <mergeCell ref="J99:W99"/>
    <mergeCell ref="X99:AI99"/>
    <mergeCell ref="AJ99:AS99"/>
    <mergeCell ref="AT99:AW99"/>
    <mergeCell ref="AX99:BA99"/>
    <mergeCell ref="BA101:BE101"/>
    <mergeCell ref="B102:L102"/>
    <mergeCell ref="M102:V102"/>
    <mergeCell ref="W102:AF102"/>
    <mergeCell ref="AG102:AP102"/>
    <mergeCell ref="AQ102:AU102"/>
    <mergeCell ref="AV102:AZ102"/>
    <mergeCell ref="BA102:BE102"/>
    <mergeCell ref="B101:L101"/>
    <mergeCell ref="M101:V101"/>
    <mergeCell ref="W101:AF101"/>
    <mergeCell ref="AG101:AP101"/>
    <mergeCell ref="AQ101:AU101"/>
    <mergeCell ref="AV101:AZ101"/>
    <mergeCell ref="M106:V106"/>
    <mergeCell ref="W106:AA106"/>
    <mergeCell ref="AB106:AF106"/>
    <mergeCell ref="AG106:BE106"/>
    <mergeCell ref="B103:L103"/>
    <mergeCell ref="M103:V103"/>
    <mergeCell ref="W103:AF103"/>
    <mergeCell ref="AG103:AP103"/>
    <mergeCell ref="AQ103:AU103"/>
    <mergeCell ref="AV103:AZ103"/>
    <mergeCell ref="BA103:BE103"/>
    <mergeCell ref="B106:L106"/>
    <mergeCell ref="BJ113:BU113"/>
    <mergeCell ref="BJ114:BU114"/>
    <mergeCell ref="BJ115:BU115"/>
    <mergeCell ref="BL116:BP116"/>
    <mergeCell ref="BQ116:BU116"/>
    <mergeCell ref="BW116:CC116"/>
    <mergeCell ref="B109:L109"/>
    <mergeCell ref="M109:V109"/>
    <mergeCell ref="W109:AA109"/>
    <mergeCell ref="AB109:AF109"/>
    <mergeCell ref="AG109:BE109"/>
    <mergeCell ref="B107:L107"/>
    <mergeCell ref="M107:V107"/>
    <mergeCell ref="W107:AA107"/>
    <mergeCell ref="AB107:AF107"/>
    <mergeCell ref="AG107:BE107"/>
    <mergeCell ref="B108:L108"/>
    <mergeCell ref="M108:V108"/>
    <mergeCell ref="W108:AA108"/>
    <mergeCell ref="AB108:AF108"/>
    <mergeCell ref="AG108:BE108"/>
  </mergeCells>
  <conditionalFormatting sqref="K38">
    <cfRule type="cellIs" dxfId="145" priority="176" operator="greaterThanOrEqual">
      <formula>$Q38</formula>
    </cfRule>
    <cfRule type="cellIs" dxfId="144" priority="177" operator="lessThan">
      <formula>$Q38*0.9</formula>
    </cfRule>
    <cfRule type="cellIs" dxfId="143" priority="178" operator="lessThan">
      <formula>$Q38</formula>
    </cfRule>
  </conditionalFormatting>
  <conditionalFormatting sqref="T38">
    <cfRule type="cellIs" dxfId="142" priority="173" operator="greaterThanOrEqual">
      <formula>$Q38</formula>
    </cfRule>
    <cfRule type="cellIs" dxfId="141" priority="174" operator="lessThan">
      <formula>$Q38*0.9</formula>
    </cfRule>
    <cfRule type="cellIs" dxfId="140" priority="175" operator="lessThan">
      <formula>$Q38</formula>
    </cfRule>
  </conditionalFormatting>
  <conditionalFormatting sqref="W38">
    <cfRule type="cellIs" dxfId="139" priority="170" operator="greaterThanOrEqual">
      <formula>$Q38</formula>
    </cfRule>
    <cfRule type="cellIs" dxfId="138" priority="171" operator="lessThan">
      <formula>$Q38*0.9</formula>
    </cfRule>
    <cfRule type="cellIs" dxfId="137" priority="172" operator="lessThan">
      <formula>$Q38</formula>
    </cfRule>
  </conditionalFormatting>
  <conditionalFormatting sqref="Z38">
    <cfRule type="cellIs" dxfId="136" priority="167" operator="greaterThanOrEqual">
      <formula>$Q38</formula>
    </cfRule>
    <cfRule type="cellIs" dxfId="135" priority="168" operator="lessThan">
      <formula>$Q38*0.9</formula>
    </cfRule>
    <cfRule type="cellIs" dxfId="134" priority="169" operator="lessThan">
      <formula>$Q38</formula>
    </cfRule>
  </conditionalFormatting>
  <conditionalFormatting sqref="K39">
    <cfRule type="cellIs" dxfId="133" priority="164" operator="greaterThanOrEqual">
      <formula>$Q39</formula>
    </cfRule>
    <cfRule type="cellIs" dxfId="132" priority="165" operator="lessThan">
      <formula>$Q39*0.9</formula>
    </cfRule>
    <cfRule type="cellIs" dxfId="131" priority="166" operator="lessThan">
      <formula>$Q39</formula>
    </cfRule>
  </conditionalFormatting>
  <conditionalFormatting sqref="T39">
    <cfRule type="cellIs" dxfId="130" priority="161" operator="greaterThanOrEqual">
      <formula>$Q39</formula>
    </cfRule>
    <cfRule type="cellIs" dxfId="129" priority="162" operator="lessThan">
      <formula>$Q39*0.9</formula>
    </cfRule>
    <cfRule type="cellIs" dxfId="128" priority="163" operator="lessThan">
      <formula>$Q39</formula>
    </cfRule>
  </conditionalFormatting>
  <conditionalFormatting sqref="W39">
    <cfRule type="cellIs" dxfId="127" priority="158" operator="greaterThanOrEqual">
      <formula>$Q39</formula>
    </cfRule>
    <cfRule type="cellIs" dxfId="126" priority="159" operator="lessThan">
      <formula>$Q39*0.9</formula>
    </cfRule>
    <cfRule type="cellIs" dxfId="125" priority="160" operator="lessThan">
      <formula>$Q39</formula>
    </cfRule>
  </conditionalFormatting>
  <conditionalFormatting sqref="Z39">
    <cfRule type="cellIs" dxfId="124" priority="155" operator="greaterThanOrEqual">
      <formula>$Q39</formula>
    </cfRule>
    <cfRule type="cellIs" dxfId="123" priority="156" operator="lessThan">
      <formula>$Q39*0.9</formula>
    </cfRule>
    <cfRule type="cellIs" dxfId="122" priority="157" operator="lessThan">
      <formula>$Q39</formula>
    </cfRule>
  </conditionalFormatting>
  <conditionalFormatting sqref="A1:BH6 Q38:AB39 AC88:AD92 B94:BE94 B109:BE1048576 BF35:BG38 B41:H43 AB41:BE43 BG39:BG41 BV15 BG42:BH1048576 CD1:XFD1048576 BW126:CC1048576 B33:BE34 B38:M39 B35:J37 BF30:BH34 AC35:BE37 B70:BE87 A67:A1048576 B93:AD93 A30:A61 BF39:BF1048576 B44:BE64 A20:D24 A25 B25:D28 U25:AB27 AY25:BA27 AR25:AT27 AK25:AM27 F25:F27 H25:H26 J25:L27">
    <cfRule type="cellIs" dxfId="121" priority="154" operator="equal">
      <formula>"XXX"</formula>
    </cfRule>
  </conditionalFormatting>
  <conditionalFormatting sqref="W40 T40 K40 Z40">
    <cfRule type="cellIs" dxfId="120" priority="151" operator="greaterThanOrEqual">
      <formula>$Q40</formula>
    </cfRule>
    <cfRule type="cellIs" dxfId="119" priority="152" operator="lessThan">
      <formula>$Q40*0.9</formula>
    </cfRule>
    <cfRule type="cellIs" dxfId="118" priority="153" operator="lessThan">
      <formula>$Q40</formula>
    </cfRule>
  </conditionalFormatting>
  <conditionalFormatting sqref="B40:M40 Q40:AB40">
    <cfRule type="cellIs" dxfId="117" priority="150" operator="equal">
      <formula>"XXX"</formula>
    </cfRule>
  </conditionalFormatting>
  <conditionalFormatting sqref="K40">
    <cfRule type="cellIs" dxfId="116" priority="147" stopIfTrue="1" operator="greaterThan">
      <formula>$Q40*1.1</formula>
    </cfRule>
    <cfRule type="cellIs" dxfId="115" priority="148" operator="greaterThan">
      <formula>$Q40</formula>
    </cfRule>
    <cfRule type="cellIs" dxfId="114" priority="149" operator="lessThan">
      <formula>$Q40</formula>
    </cfRule>
  </conditionalFormatting>
  <conditionalFormatting sqref="T40">
    <cfRule type="cellIs" dxfId="113" priority="144" stopIfTrue="1" operator="greaterThan">
      <formula>$Q40*1.1</formula>
    </cfRule>
    <cfRule type="cellIs" dxfId="112" priority="145" operator="greaterThan">
      <formula>$Q40</formula>
    </cfRule>
    <cfRule type="cellIs" dxfId="111" priority="146" operator="lessThan">
      <formula>$Q40</formula>
    </cfRule>
  </conditionalFormatting>
  <conditionalFormatting sqref="W40">
    <cfRule type="cellIs" dxfId="110" priority="141" stopIfTrue="1" operator="greaterThan">
      <formula>$Q40*1.1</formula>
    </cfRule>
    <cfRule type="cellIs" dxfId="109" priority="142" operator="greaterThan">
      <formula>$Q40</formula>
    </cfRule>
    <cfRule type="cellIs" dxfId="108" priority="143" operator="lessThan">
      <formula>$Q40</formula>
    </cfRule>
  </conditionalFormatting>
  <conditionalFormatting sqref="Z40">
    <cfRule type="cellIs" dxfId="107" priority="138" stopIfTrue="1" operator="greaterThan">
      <formula>$Q40*1.1</formula>
    </cfRule>
    <cfRule type="cellIs" dxfId="106" priority="139" operator="greaterThan">
      <formula>$Q40</formula>
    </cfRule>
    <cfRule type="cellIs" dxfId="105" priority="140" operator="lessThan">
      <formula>$Q40</formula>
    </cfRule>
  </conditionalFormatting>
  <conditionalFormatting sqref="A15:A19 AC15:AD15 A26:A29 F28:AD28 BF17:BH29 AC17:AD19 BF15:BH15 U24:AB24 A7:A11 BF8:BH11 A12:BH14 AC16:AG16 AI16:BH16 AJ17 AI22 F24 H20:H24 J24:L24 AC20:AH20 AC7:BH7">
    <cfRule type="cellIs" dxfId="104" priority="137" operator="equal">
      <formula>"XXX"</formula>
    </cfRule>
  </conditionalFormatting>
  <conditionalFormatting sqref="AE28:AG28 AI28:BE28 AY22:BA24 AR22:AT24 AK22:AM24">
    <cfRule type="cellIs" dxfId="103" priority="136" operator="equal">
      <formula>"XXX"</formula>
    </cfRule>
  </conditionalFormatting>
  <conditionalFormatting sqref="AI65:BE65 AE65:AG65">
    <cfRule type="cellIs" dxfId="102" priority="130" operator="equal">
      <formula>"XXX"</formula>
    </cfRule>
  </conditionalFormatting>
  <conditionalFormatting sqref="AJ22">
    <cfRule type="cellIs" dxfId="101" priority="134" operator="equal">
      <formula>"XXX"</formula>
    </cfRule>
  </conditionalFormatting>
  <conditionalFormatting sqref="BB17:BE18 BB22:BE22 BB23">
    <cfRule type="cellIs" dxfId="100" priority="133" operator="lessThan">
      <formula>0</formula>
    </cfRule>
  </conditionalFormatting>
  <conditionalFormatting sqref="A62:A66 AD65">
    <cfRule type="cellIs" dxfId="99" priority="132" operator="equal">
      <formula>"XXX"</formula>
    </cfRule>
  </conditionalFormatting>
  <conditionalFormatting sqref="F65:AB65 B65:D65">
    <cfRule type="cellIs" dxfId="98" priority="131" operator="equal">
      <formula>"XXX"</formula>
    </cfRule>
  </conditionalFormatting>
  <conditionalFormatting sqref="F88:AB88 B88:D88">
    <cfRule type="cellIs" dxfId="97" priority="129" operator="equal">
      <formula>"XXX"</formula>
    </cfRule>
  </conditionalFormatting>
  <conditionalFormatting sqref="N38">
    <cfRule type="cellIs" dxfId="96" priority="126" operator="greaterThanOrEqual">
      <formula>$Q38</formula>
    </cfRule>
    <cfRule type="cellIs" dxfId="95" priority="127" operator="lessThan">
      <formula>$Q38*0.9</formula>
    </cfRule>
    <cfRule type="cellIs" dxfId="94" priority="128" operator="lessThan">
      <formula>$Q38</formula>
    </cfRule>
  </conditionalFormatting>
  <conditionalFormatting sqref="N39">
    <cfRule type="cellIs" dxfId="93" priority="123" operator="greaterThanOrEqual">
      <formula>$Q39</formula>
    </cfRule>
    <cfRule type="cellIs" dxfId="92" priority="124" operator="lessThan">
      <formula>$Q39*0.9</formula>
    </cfRule>
    <cfRule type="cellIs" dxfId="91" priority="125" operator="lessThan">
      <formula>$Q39</formula>
    </cfRule>
  </conditionalFormatting>
  <conditionalFormatting sqref="N38:P39">
    <cfRule type="cellIs" dxfId="90" priority="122" operator="equal">
      <formula>"XXX"</formula>
    </cfRule>
  </conditionalFormatting>
  <conditionalFormatting sqref="N40">
    <cfRule type="cellIs" dxfId="89" priority="119" operator="greaterThanOrEqual">
      <formula>$Q40</formula>
    </cfRule>
    <cfRule type="cellIs" dxfId="88" priority="120" operator="lessThan">
      <formula>$Q40*0.9</formula>
    </cfRule>
    <cfRule type="cellIs" dxfId="87" priority="121" operator="lessThan">
      <formula>$Q40</formula>
    </cfRule>
  </conditionalFormatting>
  <conditionalFormatting sqref="N40:P40">
    <cfRule type="cellIs" dxfId="86" priority="118" operator="equal">
      <formula>"XXX"</formula>
    </cfRule>
  </conditionalFormatting>
  <conditionalFormatting sqref="N40">
    <cfRule type="cellIs" dxfId="85" priority="115" stopIfTrue="1" operator="greaterThan">
      <formula>$Q40*1.1</formula>
    </cfRule>
    <cfRule type="cellIs" dxfId="84" priority="116" operator="greaterThan">
      <formula>$Q40</formula>
    </cfRule>
    <cfRule type="cellIs" dxfId="83" priority="117" operator="lessThan">
      <formula>$Q40</formula>
    </cfRule>
  </conditionalFormatting>
  <conditionalFormatting sqref="I41:AA43">
    <cfRule type="cellIs" dxfId="82" priority="103" operator="equal">
      <formula>"XXX"</formula>
    </cfRule>
  </conditionalFormatting>
  <conditionalFormatting sqref="B41:H42 AB41:AC43">
    <cfRule type="cellIs" dxfId="81" priority="109" operator="equal">
      <formula>"XXX"</formula>
    </cfRule>
  </conditionalFormatting>
  <conditionalFormatting sqref="AU17:AX18 AU22:AX23">
    <cfRule type="cellIs" dxfId="80" priority="110" operator="lessThan">
      <formula>0</formula>
    </cfRule>
  </conditionalFormatting>
  <conditionalFormatting sqref="AC41:BE42">
    <cfRule type="cellIs" dxfId="79" priority="108" operator="equal">
      <formula>"XXX"</formula>
    </cfRule>
  </conditionalFormatting>
  <conditionalFormatting sqref="B43:H43">
    <cfRule type="cellIs" dxfId="78" priority="107" operator="equal">
      <formula>"XXX"</formula>
    </cfRule>
  </conditionalFormatting>
  <conditionalFormatting sqref="AC43:BE43">
    <cfRule type="cellIs" dxfId="77" priority="106" operator="equal">
      <formula>"XXX"</formula>
    </cfRule>
  </conditionalFormatting>
  <conditionalFormatting sqref="AB43">
    <cfRule type="cellIs" dxfId="76" priority="105" operator="equal">
      <formula>"XXX"</formula>
    </cfRule>
  </conditionalFormatting>
  <conditionalFormatting sqref="AE88:BE93">
    <cfRule type="cellIs" dxfId="75" priority="104" operator="equal">
      <formula>"XXX"</formula>
    </cfRule>
  </conditionalFormatting>
  <conditionalFormatting sqref="BH38:BH41">
    <cfRule type="cellIs" dxfId="74" priority="102" operator="equal">
      <formula>"XXX"</formula>
    </cfRule>
  </conditionalFormatting>
  <conditionalFormatting sqref="BH35">
    <cfRule type="cellIs" dxfId="73" priority="101" operator="equal">
      <formula>"XXX"</formula>
    </cfRule>
  </conditionalFormatting>
  <conditionalFormatting sqref="BH36">
    <cfRule type="cellIs" dxfId="72" priority="100" operator="equal">
      <formula>"XXX"</formula>
    </cfRule>
  </conditionalFormatting>
  <conditionalFormatting sqref="BH37">
    <cfRule type="cellIs" dxfId="71" priority="99" operator="equal">
      <formula>"XXX"</formula>
    </cfRule>
  </conditionalFormatting>
  <conditionalFormatting sqref="BW1:BX3 BY1:CC19 BW17:BX19 BX15:BX16">
    <cfRule type="cellIs" dxfId="70" priority="98" operator="equal">
      <formula>"XXX"</formula>
    </cfRule>
  </conditionalFormatting>
  <conditionalFormatting sqref="I24">
    <cfRule type="cellIs" dxfId="69" priority="93" operator="equal">
      <formula>"XXX"</formula>
    </cfRule>
  </conditionalFormatting>
  <conditionalFormatting sqref="I24">
    <cfRule type="cellIs" dxfId="68" priority="92" operator="equal">
      <formula>$A$1</formula>
    </cfRule>
  </conditionalFormatting>
  <conditionalFormatting sqref="B7:AB7">
    <cfRule type="cellIs" dxfId="67" priority="80" operator="equal">
      <formula>"XXX"</formula>
    </cfRule>
  </conditionalFormatting>
  <conditionalFormatting sqref="AD66:AD69">
    <cfRule type="cellIs" dxfId="66" priority="83" operator="equal">
      <formula>"XXX"</formula>
    </cfRule>
  </conditionalFormatting>
  <conditionalFormatting sqref="AC38:BE38">
    <cfRule type="cellIs" dxfId="65" priority="76" operator="equal">
      <formula>"XXX"</formula>
    </cfRule>
  </conditionalFormatting>
  <conditionalFormatting sqref="AC40:BE40">
    <cfRule type="cellIs" dxfId="64" priority="74" operator="equal">
      <formula>"XXX"</formula>
    </cfRule>
  </conditionalFormatting>
  <conditionalFormatting sqref="AC39:BE39">
    <cfRule type="cellIs" dxfId="63" priority="75" operator="equal">
      <formula>"XXX"</formula>
    </cfRule>
  </conditionalFormatting>
  <conditionalFormatting sqref="B104:BE105 BA103:BE103">
    <cfRule type="cellIs" dxfId="62" priority="70" operator="equal">
      <formula>"XXX"</formula>
    </cfRule>
  </conditionalFormatting>
  <conditionalFormatting sqref="B95:BE95 B97:BE100">
    <cfRule type="cellIs" dxfId="61" priority="69" operator="equal">
      <formula>"XXX"</formula>
    </cfRule>
  </conditionalFormatting>
  <conditionalFormatting sqref="B101:L101">
    <cfRule type="cellIs" dxfId="60" priority="65" operator="equal">
      <formula>"XXX"</formula>
    </cfRule>
  </conditionalFormatting>
  <conditionalFormatting sqref="B106:L107">
    <cfRule type="cellIs" dxfId="59" priority="63" operator="equal">
      <formula>"XXX"</formula>
    </cfRule>
  </conditionalFormatting>
  <conditionalFormatting sqref="B108:L108">
    <cfRule type="cellIs" dxfId="58" priority="64" operator="equal">
      <formula>"XXX"</formula>
    </cfRule>
  </conditionalFormatting>
  <conditionalFormatting sqref="M96:AF96 AQ96:AZ96">
    <cfRule type="cellIs" dxfId="57" priority="62" operator="equal">
      <formula>"XXX"</formula>
    </cfRule>
  </conditionalFormatting>
  <conditionalFormatting sqref="B66">
    <cfRule type="cellIs" dxfId="56" priority="73" operator="equal">
      <formula>"XXX"</formula>
    </cfRule>
  </conditionalFormatting>
  <conditionalFormatting sqref="AE66">
    <cfRule type="cellIs" dxfId="55" priority="72" operator="equal">
      <formula>"XXX"</formula>
    </cfRule>
  </conditionalFormatting>
  <conditionalFormatting sqref="B89">
    <cfRule type="cellIs" dxfId="54" priority="71" operator="equal">
      <formula>"XXX"</formula>
    </cfRule>
  </conditionalFormatting>
  <conditionalFormatting sqref="B96:L96">
    <cfRule type="cellIs" dxfId="53" priority="67" operator="equal">
      <formula>"XXX"</formula>
    </cfRule>
  </conditionalFormatting>
  <conditionalFormatting sqref="B102:L102">
    <cfRule type="cellIs" dxfId="52" priority="66" operator="equal">
      <formula>"XXX"</formula>
    </cfRule>
  </conditionalFormatting>
  <conditionalFormatting sqref="AG106:BE107">
    <cfRule type="cellIs" dxfId="51" priority="47" operator="equal">
      <formula>"XXX"</formula>
    </cfRule>
  </conditionalFormatting>
  <conditionalFormatting sqref="B103:AZ103">
    <cfRule type="cellIs" dxfId="50" priority="68" operator="equal">
      <formula>"XXX"</formula>
    </cfRule>
  </conditionalFormatting>
  <conditionalFormatting sqref="BA96:BE96">
    <cfRule type="cellIs" dxfId="49" priority="58" operator="equal">
      <formula>"XXX"</formula>
    </cfRule>
  </conditionalFormatting>
  <conditionalFormatting sqref="BA96">
    <cfRule type="cellIs" dxfId="48" priority="59" operator="equal">
      <formula>"Paused"</formula>
    </cfRule>
    <cfRule type="cellIs" dxfId="47" priority="60" operator="equal">
      <formula>"Open Issue"</formula>
    </cfRule>
    <cfRule type="cellIs" dxfId="46" priority="61" operator="equal">
      <formula>"On Track"</formula>
    </cfRule>
  </conditionalFormatting>
  <conditionalFormatting sqref="AG96:AP96">
    <cfRule type="cellIs" dxfId="45" priority="57" operator="equal">
      <formula>"XXX"</formula>
    </cfRule>
  </conditionalFormatting>
  <conditionalFormatting sqref="BA101:BE102">
    <cfRule type="cellIs" dxfId="44" priority="53" operator="equal">
      <formula>"XXX"</formula>
    </cfRule>
  </conditionalFormatting>
  <conditionalFormatting sqref="BA101:BA102">
    <cfRule type="cellIs" dxfId="43" priority="54" operator="equal">
      <formula>"Paused"</formula>
    </cfRule>
    <cfRule type="cellIs" dxfId="42" priority="55" operator="equal">
      <formula>"Open Issue"</formula>
    </cfRule>
    <cfRule type="cellIs" dxfId="41" priority="56" operator="equal">
      <formula>"On Track"</formula>
    </cfRule>
  </conditionalFormatting>
  <conditionalFormatting sqref="M101:AZ101">
    <cfRule type="cellIs" dxfId="40" priority="51" operator="equal">
      <formula>"XXX"</formula>
    </cfRule>
  </conditionalFormatting>
  <conditionalFormatting sqref="M102:AZ102">
    <cfRule type="cellIs" dxfId="39" priority="52" operator="equal">
      <formula>"XXX"</formula>
    </cfRule>
  </conditionalFormatting>
  <conditionalFormatting sqref="M108:AF108">
    <cfRule type="cellIs" dxfId="38" priority="50" operator="equal">
      <formula>"XXX"</formula>
    </cfRule>
  </conditionalFormatting>
  <conditionalFormatting sqref="M106:AF107">
    <cfRule type="cellIs" dxfId="37" priority="49" operator="equal">
      <formula>"XXX"</formula>
    </cfRule>
  </conditionalFormatting>
  <conditionalFormatting sqref="AG108:BE108">
    <cfRule type="cellIs" dxfId="36" priority="48" operator="equal">
      <formula>"XXX"</formula>
    </cfRule>
  </conditionalFormatting>
  <conditionalFormatting sqref="K35:AB35 Q36:AB37">
    <cfRule type="cellIs" dxfId="35" priority="46" operator="equal">
      <formula>"XXX"</formula>
    </cfRule>
  </conditionalFormatting>
  <conditionalFormatting sqref="K36:P37">
    <cfRule type="cellIs" dxfId="34" priority="45" operator="equal">
      <formula>"XXX"</formula>
    </cfRule>
  </conditionalFormatting>
  <conditionalFormatting sqref="BJ16">
    <cfRule type="expression" dxfId="33" priority="44">
      <formula>(AND(BJ$5=$BX$5,LEN(BJ$16)=0))</formula>
    </cfRule>
  </conditionalFormatting>
  <conditionalFormatting sqref="BJ16:BV16">
    <cfRule type="expression" dxfId="32" priority="43">
      <formula>(AND(BJ$5=$BX$5,LEN(BJ$16)=0))</formula>
    </cfRule>
  </conditionalFormatting>
  <conditionalFormatting sqref="Z16:Z21">
    <cfRule type="cellIs" dxfId="31" priority="42" operator="equal">
      <formula>"XXX"</formula>
    </cfRule>
  </conditionalFormatting>
  <conditionalFormatting sqref="Y16:Y18 Y21">
    <cfRule type="cellIs" dxfId="30" priority="41" operator="equal">
      <formula>"XXX"</formula>
    </cfRule>
  </conditionalFormatting>
  <conditionalFormatting sqref="Y19:Y20">
    <cfRule type="cellIs" dxfId="29" priority="40" operator="equal">
      <formula>"XXX"</formula>
    </cfRule>
  </conditionalFormatting>
  <conditionalFormatting sqref="Y22:Y23">
    <cfRule type="cellIs" dxfId="28" priority="39" operator="equal">
      <formula>"XXX"</formula>
    </cfRule>
  </conditionalFormatting>
  <conditionalFormatting sqref="F22">
    <cfRule type="cellIs" dxfId="27" priority="38" operator="equal">
      <formula>"XXX"</formula>
    </cfRule>
  </conditionalFormatting>
  <conditionalFormatting sqref="G22:G23">
    <cfRule type="cellIs" dxfId="26" priority="37" operator="equal">
      <formula>"XXX"</formula>
    </cfRule>
  </conditionalFormatting>
  <conditionalFormatting sqref="G22:G23">
    <cfRule type="cellIs" dxfId="25" priority="36" operator="notEqual">
      <formula>0</formula>
    </cfRule>
  </conditionalFormatting>
  <conditionalFormatting sqref="G25">
    <cfRule type="cellIs" dxfId="24" priority="35" operator="equal">
      <formula>"XXX"</formula>
    </cfRule>
  </conditionalFormatting>
  <conditionalFormatting sqref="G25">
    <cfRule type="cellIs" dxfId="23" priority="34" operator="notEqual">
      <formula>0</formula>
    </cfRule>
  </conditionalFormatting>
  <conditionalFormatting sqref="G26">
    <cfRule type="cellIs" dxfId="22" priority="33" operator="equal">
      <formula>"XXX"</formula>
    </cfRule>
  </conditionalFormatting>
  <conditionalFormatting sqref="G26">
    <cfRule type="expression" dxfId="21" priority="31">
      <formula>$G$25=0</formula>
    </cfRule>
    <cfRule type="cellIs" dxfId="20" priority="32" operator="notEqual">
      <formula>0</formula>
    </cfRule>
  </conditionalFormatting>
  <conditionalFormatting sqref="I26">
    <cfRule type="cellIs" dxfId="19" priority="30" operator="equal">
      <formula>"XXX"</formula>
    </cfRule>
  </conditionalFormatting>
  <conditionalFormatting sqref="I26">
    <cfRule type="cellIs" dxfId="18" priority="29" operator="equal">
      <formula>$A$1</formula>
    </cfRule>
  </conditionalFormatting>
  <conditionalFormatting sqref="I25">
    <cfRule type="cellIs" dxfId="17" priority="28" operator="equal">
      <formula>$A$1</formula>
    </cfRule>
  </conditionalFormatting>
  <conditionalFormatting sqref="I27">
    <cfRule type="cellIs" dxfId="16" priority="27" operator="equal">
      <formula>"XXX"</formula>
    </cfRule>
  </conditionalFormatting>
  <conditionalFormatting sqref="I27">
    <cfRule type="cellIs" dxfId="15" priority="26" operator="equal">
      <formula>$A$1</formula>
    </cfRule>
  </conditionalFormatting>
  <conditionalFormatting sqref="BJ82:BV97 BV75:BV81 BJ76:BU81 BW77:CC111">
    <cfRule type="cellIs" dxfId="14" priority="22" operator="equal">
      <formula>"XXX"</formula>
    </cfRule>
  </conditionalFormatting>
  <conditionalFormatting sqref="BW64:BX76">
    <cfRule type="cellIs" dxfId="13" priority="17" operator="equal">
      <formula>"XXX"</formula>
    </cfRule>
  </conditionalFormatting>
  <conditionalFormatting sqref="BW20:CC23">
    <cfRule type="cellIs" dxfId="12" priority="21" operator="equal">
      <formula>"XXX"</formula>
    </cfRule>
  </conditionalFormatting>
  <conditionalFormatting sqref="BW40:BX42 BW59:BW61 BY39:CC42 BX58:CC61">
    <cfRule type="cellIs" dxfId="11" priority="20" operator="equal">
      <formula>"XXX"</formula>
    </cfRule>
  </conditionalFormatting>
  <conditionalFormatting sqref="BW26:BX38">
    <cfRule type="cellIs" dxfId="10" priority="19" operator="equal">
      <formula>"XXX"</formula>
    </cfRule>
  </conditionalFormatting>
  <conditionalFormatting sqref="BW45:BX57">
    <cfRule type="cellIs" dxfId="9" priority="18" operator="equal">
      <formula>"XXX"</formula>
    </cfRule>
  </conditionalFormatting>
  <conditionalFormatting sqref="BW112:CC115">
    <cfRule type="cellIs" dxfId="8" priority="16" operator="equal">
      <formula>"XXX"</formula>
    </cfRule>
  </conditionalFormatting>
  <conditionalFormatting sqref="BW118:BX125">
    <cfRule type="cellIs" dxfId="7" priority="15" operator="equal">
      <formula>"XXX"</formula>
    </cfRule>
  </conditionalFormatting>
  <conditionalFormatting sqref="AC8:AD11">
    <cfRule type="cellIs" dxfId="6" priority="8" operator="equal">
      <formula>"XXX"</formula>
    </cfRule>
  </conditionalFormatting>
  <conditionalFormatting sqref="AE8">
    <cfRule type="cellIs" dxfId="5" priority="7" operator="equal">
      <formula>"XXX"</formula>
    </cfRule>
  </conditionalFormatting>
  <conditionalFormatting sqref="AC29:AD32">
    <cfRule type="cellIs" dxfId="4" priority="5" operator="equal">
      <formula>"XXX"</formula>
    </cfRule>
  </conditionalFormatting>
  <conditionalFormatting sqref="AE29">
    <cfRule type="cellIs" dxfId="3" priority="4" operator="equal">
      <formula>"XXX"</formula>
    </cfRule>
  </conditionalFormatting>
  <conditionalFormatting sqref="B29">
    <cfRule type="cellIs" dxfId="2" priority="2" operator="equal">
      <formula>"XXX"</formula>
    </cfRule>
  </conditionalFormatting>
  <conditionalFormatting sqref="B8">
    <cfRule type="cellIs" dxfId="1" priority="1" operator="equal">
      <formula>"XXX"</formula>
    </cfRule>
  </conditionalFormatting>
  <dataValidations count="5">
    <dataValidation type="whole" operator="lessThan" allowBlank="1" showInputMessage="1" showErrorMessage="1" errorTitle="Negative Value" error="This value must be entered as a negative number." sqref="BJ11:BV11 BJ9:BV9 BJ7:BV7" xr:uid="{00000000-0002-0000-2300-000000000000}">
      <formula1>0</formula1>
    </dataValidation>
    <dataValidation type="whole" operator="greaterThanOrEqual" allowBlank="1" showInputMessage="1" showErrorMessage="1" errorTitle="Positive Value" error="This value must be entered as a positive number." sqref="BJ10:BV10 BJ12:BV14 BJ8:BV8 BJ6:BV6" xr:uid="{00000000-0002-0000-2300-000001000000}">
      <formula1>0</formula1>
    </dataValidation>
    <dataValidation type="list" allowBlank="1" showInputMessage="1" showErrorMessage="1" sqref="BA96:BE96 BA101:BE102" xr:uid="{00000000-0002-0000-2300-000002000000}">
      <formula1>"Not Started, On Track, Open Issue, Paused, Completed"</formula1>
    </dataValidation>
    <dataValidation type="list" allowBlank="1" showInputMessage="1" showErrorMessage="1" sqref="AV96:AZ98 AV101:AZ103" xr:uid="{00000000-0002-0000-2300-000003000000}">
      <formula1>"Grow the Top Line, Capture Cost &amp; Productivity, Lead Our People, Deliver Financial Commitments"</formula1>
    </dataValidation>
    <dataValidation type="list" allowBlank="1" showInputMessage="1" showErrorMessage="1" sqref="BA97:BE98" xr:uid="{00000000-0002-0000-2300-000004000000}">
      <formula1>"PMBOK Initiate, PMBOK Plan, PMBOK Execute, PMBOK Monitor/ Control, PMBOK Close, DMAIC Define, DMAIC Measure, DMAIC Analyze, DMAIC Improve, DMAIC Control, Placeholder, Paused"</formula1>
    </dataValidation>
  </dataValidations>
  <printOptions horizontalCentered="1"/>
  <pageMargins left="0.25" right="0.25" top="0.25" bottom="0.5" header="0.3" footer="0.3"/>
  <pageSetup scale="66" orientation="landscape" r:id="rId1"/>
  <headerFooter>
    <oddFooter>&amp;R&amp;F | &amp;A
Printed &amp;D @ &amp;T
&amp;P</oddFooter>
  </headerFooter>
  <rowBreaks count="2" manualBreakCount="2">
    <brk id="41" max="57" man="1"/>
    <brk id="90"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135" operator="equal" id="{1492FCCA-79B0-4C98-817E-408E7DFDBC52}">
            <xm:f>AR!$A$1</xm:f>
            <x14:dxf>
              <font>
                <color theme="0"/>
              </font>
            </x14:dxf>
          </x14:cfRule>
          <xm:sqref>J24:J27</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acf6bee0-d0f3-47ac-a0ef-f0f575884ac1">
      <Terms xmlns="http://schemas.microsoft.com/office/infopath/2007/PartnerControls"/>
    </lcf76f155ced4ddcb4097134ff3c332f>
    <TaxCatchAll xmlns="1b3af1bf-25aa-4030-8e08-059c99c6cdaa" xsi:nil="true"/>
    <SharedWithUsers xmlns="2fb1925c-cb00-4391-8c06-14d6df6569d8">
      <UserInfo>
        <DisplayName>Kenney, Jason</DisplayName>
        <AccountId>23</AccountId>
        <AccountType/>
      </UserInfo>
    </SharedWithUsers>
  </documentManagement>
</p:properties>
</file>

<file path=customXml/item2.xml><?xml version="1.0" encoding="utf-8"?>
<?mso-contentType ?>
<SharedContentType xmlns="Microsoft.SharePoint.Taxonomy.ContentTypeSync" SourceId="5acfaaec-c0b5-444f-b194-f67401ef1536"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EB4C0721B14463428E99DED0993FAF7C" ma:contentTypeVersion="22" ma:contentTypeDescription="Create a new document." ma:contentTypeScope="" ma:versionID="bb1233e7a0354deaff9fa9151c9648f0">
  <xsd:schema xmlns:xsd="http://www.w3.org/2001/XMLSchema" xmlns:xs="http://www.w3.org/2001/XMLSchema" xmlns:p="http://schemas.microsoft.com/office/2006/metadata/properties" xmlns:ns2="acf6bee0-d0f3-47ac-a0ef-f0f575884ac1" xmlns:ns3="2fb1925c-cb00-4391-8c06-14d6df6569d8" xmlns:ns4="1b3af1bf-25aa-4030-8e08-059c99c6cdaa" targetNamespace="http://schemas.microsoft.com/office/2006/metadata/properties" ma:root="true" ma:fieldsID="933f9f14e929b5455169a5a7f4e54df9" ns2:_="" ns3:_="" ns4:_="">
    <xsd:import namespace="acf6bee0-d0f3-47ac-a0ef-f0f575884ac1"/>
    <xsd:import namespace="2fb1925c-cb00-4391-8c06-14d6df6569d8"/>
    <xsd:import namespace="1b3af1bf-25aa-4030-8e08-059c99c6cdaa"/>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LengthInSeconds" minOccurs="0"/>
                <xsd:element ref="ns2:lcf76f155ced4ddcb4097134ff3c332f" minOccurs="0"/>
                <xsd:element ref="ns4: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cf6bee0-d0f3-47ac-a0ef-f0f575884ac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5acfaaec-c0b5-444f-b194-f67401ef1536"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fb1925c-cb00-4391-8c06-14d6df6569d8"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b3af1bf-25aa-4030-8e08-059c99c6cdaa"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8ea27599-6688-4681-8d54-1e9424111d2b}" ma:internalName="TaxCatchAll" ma:showField="CatchAllData" ma:web="2fb1925c-cb00-4391-8c06-14d6df6569d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8527511-F775-4635-B6C8-A0757BBCD24A}">
  <ds:schemaRefs>
    <ds:schemaRef ds:uri="http://schemas.microsoft.com/office/2006/documentManagement/types"/>
    <ds:schemaRef ds:uri="http://schemas.microsoft.com/office/2006/metadata/properties"/>
    <ds:schemaRef ds:uri="http://purl.org/dc/elements/1.1/"/>
    <ds:schemaRef ds:uri="http://purl.org/dc/terms/"/>
    <ds:schemaRef ds:uri="http://purl.org/dc/dcmitype/"/>
    <ds:schemaRef ds:uri="http://schemas.microsoft.com/office/infopath/2007/PartnerControls"/>
    <ds:schemaRef ds:uri="http://www.w3.org/XML/1998/namespace"/>
    <ds:schemaRef ds:uri="http://schemas.openxmlformats.org/package/2006/metadata/core-properties"/>
    <ds:schemaRef ds:uri="1b3af1bf-25aa-4030-8e08-059c99c6cdaa"/>
    <ds:schemaRef ds:uri="2fb1925c-cb00-4391-8c06-14d6df6569d8"/>
    <ds:schemaRef ds:uri="acf6bee0-d0f3-47ac-a0ef-f0f575884ac1"/>
  </ds:schemaRefs>
</ds:datastoreItem>
</file>

<file path=customXml/itemProps2.xml><?xml version="1.0" encoding="utf-8"?>
<ds:datastoreItem xmlns:ds="http://schemas.openxmlformats.org/officeDocument/2006/customXml" ds:itemID="{F35036E4-5410-4C31-9ABA-9861BC7811C0}">
  <ds:schemaRefs>
    <ds:schemaRef ds:uri="Microsoft.SharePoint.Taxonomy.ContentTypeSync"/>
  </ds:schemaRefs>
</ds:datastoreItem>
</file>

<file path=customXml/itemProps3.xml><?xml version="1.0" encoding="utf-8"?>
<ds:datastoreItem xmlns:ds="http://schemas.openxmlformats.org/officeDocument/2006/customXml" ds:itemID="{7E88F49A-D4B8-42A2-8200-6DA7051B6D00}">
  <ds:schemaRefs>
    <ds:schemaRef ds:uri="http://schemas.microsoft.com/sharepoint/v3/contenttype/forms"/>
  </ds:schemaRefs>
</ds:datastoreItem>
</file>

<file path=customXml/itemProps4.xml><?xml version="1.0" encoding="utf-8"?>
<ds:datastoreItem xmlns:ds="http://schemas.openxmlformats.org/officeDocument/2006/customXml" ds:itemID="{A4CC19FE-9B99-4DF2-A194-32B379C1F7A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cf6bee0-d0f3-47ac-a0ef-f0f575884ac1"/>
    <ds:schemaRef ds:uri="2fb1925c-cb00-4391-8c06-14d6df6569d8"/>
    <ds:schemaRef ds:uri="1b3af1bf-25aa-4030-8e08-059c99c6cd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b1519f0f-2dbf-4e21-bf34-a686ce97588a}" enabled="0" method="" siteId="{b1519f0f-2dbf-4e21-bf34-a686ce97588a}"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50</vt:i4>
      </vt:variant>
    </vt:vector>
  </HeadingPairs>
  <TitlesOfParts>
    <vt:vector size="81" baseType="lpstr">
      <vt:lpstr>Admin2</vt:lpstr>
      <vt:lpstr>Admin3</vt:lpstr>
      <vt:lpstr>Admin4</vt:lpstr>
      <vt:lpstr>AC</vt:lpstr>
      <vt:lpstr>Cover</vt:lpstr>
      <vt:lpstr>Summary</vt:lpstr>
      <vt:lpstr>Turnover</vt:lpstr>
      <vt:lpstr>S&amp;B</vt:lpstr>
      <vt:lpstr>Acc Ops</vt:lpstr>
      <vt:lpstr>SOX</vt:lpstr>
      <vt:lpstr>AR</vt:lpstr>
      <vt:lpstr>CB</vt:lpstr>
      <vt:lpstr>FA</vt:lpstr>
      <vt:lpstr>GL</vt:lpstr>
      <vt:lpstr>Pay Ops</vt:lpstr>
      <vt:lpstr>AP</vt:lpstr>
      <vt:lpstr>PR</vt:lpstr>
      <vt:lpstr>Sup Ops</vt:lpstr>
      <vt:lpstr>PMO</vt:lpstr>
      <vt:lpstr>BSS</vt:lpstr>
      <vt:lpstr>CC</vt:lpstr>
      <vt:lpstr>HRSO</vt:lpstr>
      <vt:lpstr>ADJ</vt:lpstr>
      <vt:lpstr>MyHRT1</vt:lpstr>
      <vt:lpstr>SC</vt:lpstr>
      <vt:lpstr>PS</vt:lpstr>
      <vt:lpstr>HR Ops</vt:lpstr>
      <vt:lpstr>GBS_HR</vt:lpstr>
      <vt:lpstr>HRT</vt:lpstr>
      <vt:lpstr>MyTC</vt:lpstr>
      <vt:lpstr>MyCC</vt:lpstr>
      <vt:lpstr>AC!Print_Area</vt:lpstr>
      <vt:lpstr>'Acc Ops'!Print_Area</vt:lpstr>
      <vt:lpstr>ADJ!Print_Area</vt:lpstr>
      <vt:lpstr>Admin2!Print_Area</vt:lpstr>
      <vt:lpstr>Admin3!Print_Area</vt:lpstr>
      <vt:lpstr>AP!Print_Area</vt:lpstr>
      <vt:lpstr>AR!Print_Area</vt:lpstr>
      <vt:lpstr>BSS!Print_Area</vt:lpstr>
      <vt:lpstr>CB!Print_Area</vt:lpstr>
      <vt:lpstr>CC!Print_Area</vt:lpstr>
      <vt:lpstr>Cover!Print_Area</vt:lpstr>
      <vt:lpstr>FA!Print_Area</vt:lpstr>
      <vt:lpstr>GBS_HR!Print_Area</vt:lpstr>
      <vt:lpstr>GL!Print_Area</vt:lpstr>
      <vt:lpstr>'HR Ops'!Print_Area</vt:lpstr>
      <vt:lpstr>HRSO!Print_Area</vt:lpstr>
      <vt:lpstr>HRT!Print_Area</vt:lpstr>
      <vt:lpstr>MyCC!Print_Area</vt:lpstr>
      <vt:lpstr>MyHRT1!Print_Area</vt:lpstr>
      <vt:lpstr>MyTC!Print_Area</vt:lpstr>
      <vt:lpstr>'Pay Ops'!Print_Area</vt:lpstr>
      <vt:lpstr>PMO!Print_Area</vt:lpstr>
      <vt:lpstr>PR!Print_Area</vt:lpstr>
      <vt:lpstr>PS!Print_Area</vt:lpstr>
      <vt:lpstr>'S&amp;B'!Print_Area</vt:lpstr>
      <vt:lpstr>SC!Print_Area</vt:lpstr>
      <vt:lpstr>SOX!Print_Area</vt:lpstr>
      <vt:lpstr>Summary!Print_Area</vt:lpstr>
      <vt:lpstr>'Sup Ops'!Print_Area</vt:lpstr>
      <vt:lpstr>Turnover!Print_Area</vt:lpstr>
      <vt:lpstr>AC!Print_Titles</vt:lpstr>
      <vt:lpstr>ADJ!Print_Titles</vt:lpstr>
      <vt:lpstr>Admin2!Print_Titles</vt:lpstr>
      <vt:lpstr>AP!Print_Titles</vt:lpstr>
      <vt:lpstr>AR!Print_Titles</vt:lpstr>
      <vt:lpstr>BSS!Print_Titles</vt:lpstr>
      <vt:lpstr>CB!Print_Titles</vt:lpstr>
      <vt:lpstr>CC!Print_Titles</vt:lpstr>
      <vt:lpstr>FA!Print_Titles</vt:lpstr>
      <vt:lpstr>GL!Print_Titles</vt:lpstr>
      <vt:lpstr>HRSO!Print_Titles</vt:lpstr>
      <vt:lpstr>HRT!Print_Titles</vt:lpstr>
      <vt:lpstr>MyCC!Print_Titles</vt:lpstr>
      <vt:lpstr>MyHRT1!Print_Titles</vt:lpstr>
      <vt:lpstr>MyTC!Print_Titles</vt:lpstr>
      <vt:lpstr>PMO!Print_Titles</vt:lpstr>
      <vt:lpstr>PR!Print_Titles</vt:lpstr>
      <vt:lpstr>PS!Print_Titles</vt:lpstr>
      <vt:lpstr>SC!Print_Titles</vt:lpstr>
      <vt:lpstr>SOX!Print_Titles</vt:lpstr>
    </vt:vector>
  </TitlesOfParts>
  <Manager/>
  <Company>Aramark</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Schilling, Christopher</dc:creator>
  <cp:keywords/>
  <dc:description/>
  <cp:lastModifiedBy>Stott, Graham</cp:lastModifiedBy>
  <cp:revision/>
  <cp:lastPrinted>2023-11-15T15:32:50Z</cp:lastPrinted>
  <dcterms:created xsi:type="dcterms:W3CDTF">2017-08-18T14:47:49Z</dcterms:created>
  <dcterms:modified xsi:type="dcterms:W3CDTF">2023-12-19T03:06:42Z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y fmtid="{D5CDD505-2E9C-101B-9397-08002B2CF9AE}" pid="4" name="ContentTypeId">
    <vt:lpwstr>0x010100EB4C0721B14463428E99DED0993FAF7C</vt:lpwstr>
  </property>
  <property fmtid="{D5CDD505-2E9C-101B-9397-08002B2CF9AE}" pid="5" name="MediaServiceImageTags">
    <vt:lpwstr/>
  </property>
</Properties>
</file>